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rporate Link\Corporate\Salaries\2025\"/>
    </mc:Choice>
  </mc:AlternateContent>
  <bookViews>
    <workbookView xWindow="0" yWindow="0" windowWidth="23040" windowHeight="11280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definedNames>
    <definedName name="_xlnm._FilterDatabase" localSheetId="0" hidden="1">Sheet1!$A$6:$AC$54</definedName>
    <definedName name="_xlnm.Print_Area" localSheetId="0">Sheet1!$A$1:$U$54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3" i="1"/>
  <c r="F14" i="1"/>
  <c r="F15" i="1"/>
  <c r="F16" i="1"/>
  <c r="F17" i="1"/>
  <c r="F18" i="1"/>
  <c r="F19" i="1"/>
  <c r="F20" i="1"/>
  <c r="F22" i="1"/>
  <c r="F23" i="1"/>
  <c r="F24" i="1"/>
  <c r="F26" i="1"/>
  <c r="F27" i="1"/>
  <c r="F28" i="1"/>
  <c r="F30" i="1"/>
  <c r="F31" i="1"/>
  <c r="F32" i="1"/>
  <c r="F33" i="1"/>
  <c r="F38" i="1"/>
  <c r="F42" i="1"/>
  <c r="F43" i="1"/>
  <c r="K9" i="1"/>
  <c r="M9" i="1"/>
  <c r="Q9" i="1"/>
  <c r="R9" i="1"/>
  <c r="T9" i="1"/>
  <c r="K10" i="1"/>
  <c r="R10" i="1" l="1"/>
  <c r="Q10" i="1"/>
  <c r="M10" i="1"/>
  <c r="T10" i="1" s="1"/>
  <c r="Q53" i="1" l="1"/>
  <c r="Q52" i="1"/>
  <c r="Q51" i="1"/>
  <c r="Q50" i="1"/>
  <c r="Q49" i="1"/>
  <c r="Q48" i="1"/>
  <c r="Q47" i="1"/>
  <c r="Q42" i="1"/>
  <c r="S54" i="1"/>
  <c r="P54" i="1"/>
  <c r="O54" i="1"/>
  <c r="N54" i="1"/>
  <c r="L54" i="1"/>
  <c r="J54" i="1"/>
  <c r="I54" i="1"/>
  <c r="J23" i="2"/>
  <c r="F23" i="2"/>
  <c r="J22" i="2"/>
  <c r="F22" i="2"/>
  <c r="J21" i="2"/>
  <c r="F21" i="2"/>
  <c r="J20" i="2"/>
  <c r="F20" i="2"/>
  <c r="F19" i="2"/>
  <c r="D60" i="1"/>
  <c r="F176" i="1"/>
  <c r="F177" i="1" s="1"/>
  <c r="F171" i="1"/>
  <c r="F168" i="1"/>
  <c r="F162" i="1"/>
  <c r="F163" i="1" s="1"/>
  <c r="F164" i="1" s="1"/>
  <c r="F158" i="1"/>
  <c r="F156" i="1"/>
  <c r="F151" i="1"/>
  <c r="F138" i="1"/>
  <c r="F139" i="1" s="1"/>
  <c r="F140" i="1" s="1"/>
  <c r="F141" i="1" s="1"/>
  <c r="F142" i="1" s="1"/>
  <c r="F143" i="1" s="1"/>
  <c r="F144" i="1" s="1"/>
  <c r="F133" i="1"/>
  <c r="F132" i="1"/>
  <c r="F125" i="1"/>
  <c r="F126" i="1" s="1"/>
  <c r="F127" i="1" s="1"/>
  <c r="F128" i="1" s="1"/>
  <c r="F129" i="1" s="1"/>
  <c r="F113" i="1"/>
  <c r="F114" i="1" s="1"/>
  <c r="C112" i="1"/>
  <c r="F100" i="1"/>
  <c r="F101" i="1" s="1"/>
  <c r="F102" i="1" s="1"/>
  <c r="F103" i="1" s="1"/>
  <c r="F104" i="1" s="1"/>
  <c r="F105" i="1" s="1"/>
  <c r="F106" i="1" s="1"/>
  <c r="F107" i="1" s="1"/>
  <c r="F108" i="1" s="1"/>
  <c r="F109" i="1" s="1"/>
  <c r="F81" i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77" i="1"/>
  <c r="F78" i="1" s="1"/>
  <c r="F79" i="1" s="1"/>
  <c r="F80" i="1" s="1"/>
  <c r="U60" i="1"/>
  <c r="S59" i="1"/>
  <c r="U59" i="1" s="1"/>
  <c r="U62" i="1" s="1"/>
  <c r="K53" i="1"/>
  <c r="K52" i="1"/>
  <c r="T52" i="1" s="1"/>
  <c r="K51" i="1"/>
  <c r="T51" i="1" s="1"/>
  <c r="K50" i="1"/>
  <c r="K49" i="1"/>
  <c r="K48" i="1"/>
  <c r="K47" i="1"/>
  <c r="Q46" i="1"/>
  <c r="K46" i="1"/>
  <c r="Q45" i="1"/>
  <c r="K45" i="1"/>
  <c r="T45" i="1" s="1"/>
  <c r="Q44" i="1"/>
  <c r="M44" i="1"/>
  <c r="K44" i="1"/>
  <c r="Q43" i="1"/>
  <c r="M43" i="1"/>
  <c r="K43" i="1"/>
  <c r="Q41" i="1"/>
  <c r="M41" i="1"/>
  <c r="K41" i="1"/>
  <c r="Q40" i="1"/>
  <c r="M40" i="1"/>
  <c r="Q39" i="1"/>
  <c r="M39" i="1"/>
  <c r="K39" i="1"/>
  <c r="Q38" i="1"/>
  <c r="M38" i="1"/>
  <c r="K38" i="1"/>
  <c r="Q37" i="1"/>
  <c r="M37" i="1"/>
  <c r="K37" i="1"/>
  <c r="Q36" i="1"/>
  <c r="M36" i="1"/>
  <c r="K36" i="1"/>
  <c r="T36" i="1" s="1"/>
  <c r="Q35" i="1"/>
  <c r="M35" i="1"/>
  <c r="K35" i="1"/>
  <c r="Q34" i="1"/>
  <c r="M34" i="1"/>
  <c r="K34" i="1"/>
  <c r="Q33" i="1"/>
  <c r="K33" i="1"/>
  <c r="H33" i="1"/>
  <c r="M33" i="1"/>
  <c r="H32" i="1"/>
  <c r="K32" i="1"/>
  <c r="K30" i="1"/>
  <c r="R29" i="1"/>
  <c r="Q29" i="1"/>
  <c r="M29" i="1"/>
  <c r="K29" i="1"/>
  <c r="H28" i="1"/>
  <c r="K28" i="1"/>
  <c r="K27" i="1"/>
  <c r="K26" i="1"/>
  <c r="Q25" i="1"/>
  <c r="M25" i="1"/>
  <c r="K25" i="1"/>
  <c r="Q24" i="1"/>
  <c r="K23" i="1"/>
  <c r="H22" i="1"/>
  <c r="Q22" i="1"/>
  <c r="R21" i="1"/>
  <c r="Q21" i="1"/>
  <c r="M21" i="1"/>
  <c r="K21" i="1"/>
  <c r="H21" i="1"/>
  <c r="H20" i="1"/>
  <c r="R20" i="1"/>
  <c r="H19" i="1"/>
  <c r="R19" i="1"/>
  <c r="H18" i="1"/>
  <c r="R18" i="1"/>
  <c r="M17" i="1"/>
  <c r="K17" i="1"/>
  <c r="G17" i="1"/>
  <c r="H17" i="1" s="1"/>
  <c r="R17" i="1"/>
  <c r="H16" i="1"/>
  <c r="Q16" i="1"/>
  <c r="H15" i="1"/>
  <c r="R15" i="1"/>
  <c r="H14" i="1"/>
  <c r="R14" i="1"/>
  <c r="H13" i="1"/>
  <c r="R13" i="1"/>
  <c r="R12" i="1"/>
  <c r="Q12" i="1"/>
  <c r="M12" i="1"/>
  <c r="K12" i="1"/>
  <c r="H12" i="1"/>
  <c r="H11" i="1"/>
  <c r="H8" i="1"/>
  <c r="R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R7" i="1"/>
  <c r="H7" i="1"/>
  <c r="Q7" i="1"/>
  <c r="I4" i="1"/>
  <c r="M27" i="1" l="1"/>
  <c r="K15" i="1"/>
  <c r="K20" i="1"/>
  <c r="M30" i="1"/>
  <c r="Q15" i="1"/>
  <c r="T15" i="1" s="1"/>
  <c r="M20" i="1"/>
  <c r="M28" i="1"/>
  <c r="Q30" i="1"/>
  <c r="Q20" i="1"/>
  <c r="M26" i="1"/>
  <c r="Q18" i="1"/>
  <c r="M23" i="1"/>
  <c r="Q26" i="1"/>
  <c r="T48" i="1"/>
  <c r="Q23" i="1"/>
  <c r="R26" i="1"/>
  <c r="T26" i="1" s="1"/>
  <c r="Q28" i="1"/>
  <c r="K7" i="1"/>
  <c r="M7" i="1"/>
  <c r="T50" i="1"/>
  <c r="G54" i="1"/>
  <c r="K24" i="1"/>
  <c r="K14" i="1"/>
  <c r="M24" i="1"/>
  <c r="T24" i="1" s="1"/>
  <c r="K42" i="1"/>
  <c r="M14" i="1"/>
  <c r="K19" i="1"/>
  <c r="M22" i="1"/>
  <c r="M42" i="1"/>
  <c r="Q14" i="1"/>
  <c r="K16" i="1"/>
  <c r="M19" i="1"/>
  <c r="K13" i="1"/>
  <c r="M16" i="1"/>
  <c r="Q19" i="1"/>
  <c r="Q27" i="1"/>
  <c r="M32" i="1"/>
  <c r="M13" i="1"/>
  <c r="K18" i="1"/>
  <c r="R27" i="1"/>
  <c r="Q32" i="1"/>
  <c r="K22" i="1"/>
  <c r="K8" i="1"/>
  <c r="Q8" i="1"/>
  <c r="Q13" i="1"/>
  <c r="M18" i="1"/>
  <c r="F24" i="2"/>
  <c r="J24" i="2"/>
  <c r="T44" i="1"/>
  <c r="T40" i="1"/>
  <c r="T46" i="1"/>
  <c r="T49" i="1"/>
  <c r="T37" i="1"/>
  <c r="T25" i="1"/>
  <c r="T12" i="1"/>
  <c r="T38" i="1"/>
  <c r="T41" i="1"/>
  <c r="T47" i="1"/>
  <c r="T29" i="1"/>
  <c r="T35" i="1"/>
  <c r="T34" i="1"/>
  <c r="T21" i="1"/>
  <c r="T8" i="1"/>
  <c r="T39" i="1"/>
  <c r="T43" i="1"/>
  <c r="H25" i="2"/>
  <c r="T7" i="1"/>
  <c r="R11" i="1"/>
  <c r="Q11" i="1"/>
  <c r="M11" i="1"/>
  <c r="K11" i="1"/>
  <c r="Q31" i="1"/>
  <c r="M31" i="1"/>
  <c r="K31" i="1"/>
  <c r="H54" i="1"/>
  <c r="T33" i="1"/>
  <c r="F54" i="1"/>
  <c r="R28" i="1"/>
  <c r="R32" i="1"/>
  <c r="R16" i="1"/>
  <c r="Q17" i="1"/>
  <c r="T17" i="1" s="1"/>
  <c r="R22" i="1"/>
  <c r="T18" i="1" l="1"/>
  <c r="T23" i="1"/>
  <c r="T13" i="1"/>
  <c r="T42" i="1"/>
  <c r="T20" i="1"/>
  <c r="T32" i="1"/>
  <c r="T28" i="1"/>
  <c r="T19" i="1"/>
  <c r="T27" i="1"/>
  <c r="T14" i="1"/>
  <c r="T22" i="1"/>
  <c r="T16" i="1"/>
  <c r="T31" i="1"/>
  <c r="T11" i="1"/>
  <c r="Q54" i="1"/>
  <c r="R54" i="1"/>
  <c r="K54" i="1"/>
  <c r="M54" i="1"/>
  <c r="T54" i="1" l="1"/>
  <c r="D59" i="1"/>
  <c r="D61" i="1" s="1"/>
  <c r="U5" i="1"/>
</calcChain>
</file>

<file path=xl/sharedStrings.xml><?xml version="1.0" encoding="utf-8"?>
<sst xmlns="http://schemas.openxmlformats.org/spreadsheetml/2006/main" count="336" uniqueCount="163">
  <si>
    <t xml:space="preserve">Corporate Link </t>
  </si>
  <si>
    <t xml:space="preserve"> Salaries Disbursement Sheet</t>
  </si>
  <si>
    <t xml:space="preserve"> For the month of March 2025</t>
  </si>
  <si>
    <t>Fuel Price</t>
  </si>
  <si>
    <t>Salary Amount</t>
  </si>
  <si>
    <t>S. No</t>
  </si>
  <si>
    <t>Names</t>
  </si>
  <si>
    <t>Designation</t>
  </si>
  <si>
    <t>Location</t>
  </si>
  <si>
    <t xml:space="preserve">Gross Salary </t>
  </si>
  <si>
    <t>Fuel Entitlement</t>
  </si>
  <si>
    <t>Fuel</t>
  </si>
  <si>
    <t>Commission / Additional</t>
  </si>
  <si>
    <t>Hours</t>
  </si>
  <si>
    <t>Overtime Amount</t>
  </si>
  <si>
    <t>Sunday</t>
  </si>
  <si>
    <t>Sunday Amount</t>
  </si>
  <si>
    <t>Sunday Fuel</t>
  </si>
  <si>
    <t>Leaves</t>
  </si>
  <si>
    <t>Half Day</t>
  </si>
  <si>
    <t>Leave Deduction</t>
  </si>
  <si>
    <t>Half Day Deduction</t>
  </si>
  <si>
    <t>Net Salary</t>
  </si>
  <si>
    <t>ACCOUNTS</t>
  </si>
  <si>
    <t xml:space="preserve">Muhammad Noman </t>
  </si>
  <si>
    <t>Technical Head</t>
  </si>
  <si>
    <t>Head Office</t>
  </si>
  <si>
    <t>UBL/Acc</t>
  </si>
  <si>
    <t>Khizar</t>
  </si>
  <si>
    <t>Technical Engineer</t>
  </si>
  <si>
    <t>Daniyal Ashraf</t>
  </si>
  <si>
    <t>Marketing Manager</t>
  </si>
  <si>
    <t>UBL/Acc out</t>
  </si>
  <si>
    <t>Syed Pervez Hashmi</t>
  </si>
  <si>
    <t>M.Ismail Khan</t>
  </si>
  <si>
    <t>Dalda</t>
  </si>
  <si>
    <t>Cash</t>
  </si>
  <si>
    <t>Hayyan</t>
  </si>
  <si>
    <t>Muhammad Nabeel</t>
  </si>
  <si>
    <t>Muhammad Wassi</t>
  </si>
  <si>
    <t>Hilal</t>
  </si>
  <si>
    <t>Ibrahim</t>
  </si>
  <si>
    <t>Hammad Naveed</t>
  </si>
  <si>
    <t>Kashan Abbasi</t>
  </si>
  <si>
    <t>Syed Rehan Hussain Shah</t>
  </si>
  <si>
    <t>Mondelez</t>
  </si>
  <si>
    <t>Malik Suleman Shahid</t>
  </si>
  <si>
    <t>Dil Murad</t>
  </si>
  <si>
    <t>Zain</t>
  </si>
  <si>
    <t>Gul Ahmed</t>
  </si>
  <si>
    <t>Rizwan</t>
  </si>
  <si>
    <t>Zakir</t>
  </si>
  <si>
    <t>Amir</t>
  </si>
  <si>
    <t>Driver</t>
  </si>
  <si>
    <t>cash</t>
  </si>
  <si>
    <t>Farhan</t>
  </si>
  <si>
    <t xml:space="preserve">Arsalan </t>
  </si>
  <si>
    <t>Sales And Service Engineer</t>
  </si>
  <si>
    <t>Ahsan Ali</t>
  </si>
  <si>
    <t>Aslam Khan</t>
  </si>
  <si>
    <t>Affnaan</t>
  </si>
  <si>
    <t>Kolson Karachi</t>
  </si>
  <si>
    <t>Shahzad</t>
  </si>
  <si>
    <t>Office Boy</t>
  </si>
  <si>
    <t>Abdul Rahim</t>
  </si>
  <si>
    <t>Maryam</t>
  </si>
  <si>
    <t>Accounts Executive</t>
  </si>
  <si>
    <t>Muhammad Haseeb</t>
  </si>
  <si>
    <t>Lahore Office</t>
  </si>
  <si>
    <t>M. Safi Ullah</t>
  </si>
  <si>
    <t>Muhammad Danish</t>
  </si>
  <si>
    <t xml:space="preserve">Muhammad Hajan </t>
  </si>
  <si>
    <t>Syed Atiq Ur Rehman</t>
  </si>
  <si>
    <t>Muhammad Usama Khan</t>
  </si>
  <si>
    <t>Piyasi</t>
  </si>
  <si>
    <t>Service Engineer</t>
  </si>
  <si>
    <t xml:space="preserve">Moin Uddin </t>
  </si>
  <si>
    <t>Trainee Engineer</t>
  </si>
  <si>
    <t>Hyderabad</t>
  </si>
  <si>
    <t>Abdul Basit</t>
  </si>
  <si>
    <t xml:space="preserve">Barkat Ali </t>
  </si>
  <si>
    <t>Kolson Lahore</t>
  </si>
  <si>
    <t xml:space="preserve">Aijaz </t>
  </si>
  <si>
    <t xml:space="preserve">Abdullah </t>
  </si>
  <si>
    <t xml:space="preserve">Noman   </t>
  </si>
  <si>
    <t xml:space="preserve">Farhan Mehmood </t>
  </si>
  <si>
    <t xml:space="preserve">Ammar </t>
  </si>
  <si>
    <t xml:space="preserve">Rehman </t>
  </si>
  <si>
    <t>Adnan</t>
  </si>
  <si>
    <t>Jan SHeer</t>
  </si>
  <si>
    <t xml:space="preserve">Adeel </t>
  </si>
  <si>
    <t xml:space="preserve">Azam Khan </t>
  </si>
  <si>
    <t>Total Salaries</t>
  </si>
  <si>
    <t>Companies</t>
  </si>
  <si>
    <t>Printer</t>
  </si>
  <si>
    <t xml:space="preserve">Qty </t>
  </si>
  <si>
    <t>Cartridges</t>
  </si>
  <si>
    <t>Total Salary Amount</t>
  </si>
  <si>
    <t>SUFI KHI</t>
  </si>
  <si>
    <t>Total Commissions</t>
  </si>
  <si>
    <t xml:space="preserve">NFL </t>
  </si>
  <si>
    <t>Total for the month of Oct - 2024</t>
  </si>
  <si>
    <t>Deducted</t>
  </si>
  <si>
    <t>Remaining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</si>
  <si>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</si>
  <si>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</si>
  <si>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</si>
  <si>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</si>
  <si>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</si>
  <si>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</si>
  <si>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</si>
  <si>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</si>
  <si>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</si>
  <si>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</si>
  <si>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</si>
  <si>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July </t>
  </si>
  <si>
    <t xml:space="preserve">Sep </t>
  </si>
  <si>
    <t>Oct</t>
  </si>
  <si>
    <t>Nov</t>
  </si>
  <si>
    <t>Feb</t>
  </si>
  <si>
    <t>July</t>
  </si>
  <si>
    <t>Aug</t>
  </si>
  <si>
    <t>Sep</t>
  </si>
  <si>
    <t>New Loan</t>
  </si>
  <si>
    <t>Dec</t>
  </si>
  <si>
    <t>Ismail</t>
  </si>
  <si>
    <t>50,000 Received</t>
  </si>
  <si>
    <t xml:space="preserve">Dec Advance </t>
  </si>
  <si>
    <t>5000 Received</t>
  </si>
  <si>
    <t xml:space="preserve">aug </t>
  </si>
  <si>
    <t>SHEHROZ</t>
  </si>
  <si>
    <t xml:space="preserve">Farhan </t>
  </si>
  <si>
    <t xml:space="preserve">Aug </t>
  </si>
  <si>
    <t xml:space="preserve">Zain </t>
  </si>
  <si>
    <t xml:space="preserve">Khizar </t>
  </si>
  <si>
    <t xml:space="preserve">remaining </t>
  </si>
  <si>
    <t xml:space="preserve">Nabeel </t>
  </si>
  <si>
    <t xml:space="preserve">Feb </t>
  </si>
  <si>
    <t xml:space="preserve">Rana haseeb </t>
  </si>
  <si>
    <t>18/09/2024</t>
  </si>
  <si>
    <t xml:space="preserve">All technician late </t>
  </si>
  <si>
    <t xml:space="preserve">Wassi Present </t>
  </si>
  <si>
    <t>19-09/2024</t>
  </si>
  <si>
    <t xml:space="preserve">Usama In Office </t>
  </si>
  <si>
    <t>CORPORATE LINK</t>
  </si>
  <si>
    <t>Office  # 502, 5th Floor, Al-Amin Tower, Gulshan-e-Iqbal, Karachi</t>
  </si>
  <si>
    <t>Monthly Salary Slip</t>
  </si>
  <si>
    <t>Employee Name</t>
  </si>
  <si>
    <t>Salary Month</t>
  </si>
  <si>
    <t>EARNINGS</t>
  </si>
  <si>
    <t>DEDUCTION</t>
  </si>
  <si>
    <t>Basic</t>
  </si>
  <si>
    <t>Advance</t>
  </si>
  <si>
    <t>Loan</t>
  </si>
  <si>
    <t xml:space="preserve">Sunday </t>
  </si>
  <si>
    <t>Others</t>
  </si>
  <si>
    <t>Commissions/Additional</t>
  </si>
  <si>
    <t>Total Addition</t>
  </si>
  <si>
    <t>Total Deduction</t>
  </si>
  <si>
    <t>(This is a computer generated slip and does not require signature)</t>
  </si>
  <si>
    <t>Gul Ahmed - GTM  5</t>
  </si>
  <si>
    <t>Gul Ahmed - GTM  7</t>
  </si>
  <si>
    <t>Loan / Other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</si>
</sst>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6">
    <font>
      <sz val="11"/>
      <color theme="1"/>
      <name val="Calibri"/>
      <charset val="134"/>
      <scheme val="minor"/>
    </font>
    <font>
      <b/>
      <sz val="24"/>
      <color theme="1"/>
      <name val="Century"/>
      <charset val="134"/>
    </font>
    <font>
      <sz val="16"/>
      <color theme="1"/>
      <name val="Century"/>
      <charset val="134"/>
    </font>
    <font>
      <b/>
      <sz val="18"/>
      <color theme="1"/>
      <name val="Century Gothic"/>
      <charset val="134"/>
    </font>
    <font>
      <b/>
      <sz val="12"/>
      <color theme="1"/>
      <name val="Century Gothic"/>
      <charset val="134"/>
    </font>
    <font>
      <sz val="12"/>
      <color theme="1"/>
      <name val="Century Gothic"/>
      <charset val="134"/>
    </font>
    <font>
      <sz val="11"/>
      <color theme="1"/>
      <name val="Century Gothic"/>
      <charset val="134"/>
    </font>
    <font>
      <b/>
      <sz val="11"/>
      <color theme="1"/>
      <name val="Century Gothic"/>
      <charset val="134"/>
    </font>
    <font>
      <b/>
      <sz val="14"/>
      <color theme="1"/>
      <name val="Calibri"/>
      <charset val="134"/>
      <scheme val="minor"/>
    </font>
    <font>
      <b/>
      <sz val="22"/>
      <color rgb="FF0070C0"/>
      <name val="Century Gothic"/>
      <charset val="134"/>
    </font>
    <font>
      <b/>
      <sz val="14"/>
      <color theme="1"/>
      <name val="Century Gothic"/>
      <charset val="134"/>
    </font>
    <font>
      <b/>
      <sz val="10"/>
      <color theme="1"/>
      <name val="Century Gothic"/>
      <charset val="134"/>
    </font>
    <font>
      <b/>
      <sz val="12"/>
      <color rgb="FFFF0000"/>
      <name val="Century Gothic"/>
      <charset val="134"/>
    </font>
    <font>
      <sz val="11"/>
      <color rgb="FFFF0000"/>
      <name val="Century Gothic"/>
      <charset val="134"/>
    </font>
    <font>
      <sz val="11"/>
      <color theme="1"/>
      <name val="Calibri"/>
      <charset val="134"/>
      <scheme val="minor"/>
    </font>
    <font>
      <sz val="11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3" borderId="0" xfId="0" applyFont="1" applyFill="1"/>
    <xf numFmtId="0" fontId="6" fillId="0" borderId="0" xfId="0" applyFont="1" applyFill="1"/>
    <xf numFmtId="0" fontId="6" fillId="0" borderId="0" xfId="0" applyFont="1"/>
    <xf numFmtId="164" fontId="6" fillId="0" borderId="0" xfId="1" applyNumberFormat="1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1" fillId="4" borderId="24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164" fontId="6" fillId="0" borderId="0" xfId="0" applyNumberFormat="1" applyFont="1"/>
    <xf numFmtId="0" fontId="6" fillId="0" borderId="24" xfId="0" applyFont="1" applyBorder="1" applyAlignment="1">
      <alignment horizontal="center"/>
    </xf>
    <xf numFmtId="0" fontId="6" fillId="0" borderId="24" xfId="0" applyFont="1" applyBorder="1"/>
    <xf numFmtId="164" fontId="6" fillId="0" borderId="24" xfId="1" applyNumberFormat="1" applyFont="1" applyBorder="1"/>
    <xf numFmtId="164" fontId="6" fillId="3" borderId="24" xfId="1" applyNumberFormat="1" applyFont="1" applyFill="1" applyBorder="1"/>
    <xf numFmtId="0" fontId="6" fillId="3" borderId="24" xfId="0" applyFont="1" applyFill="1" applyBorder="1"/>
    <xf numFmtId="0" fontId="6" fillId="3" borderId="24" xfId="0" applyFont="1" applyFill="1" applyBorder="1" applyAlignment="1">
      <alignment vertical="center"/>
    </xf>
    <xf numFmtId="0" fontId="6" fillId="0" borderId="24" xfId="0" applyFont="1" applyFill="1" applyBorder="1"/>
    <xf numFmtId="164" fontId="6" fillId="0" borderId="24" xfId="1" applyNumberFormat="1" applyFont="1" applyFill="1" applyBorder="1"/>
    <xf numFmtId="164" fontId="7" fillId="5" borderId="24" xfId="1" applyNumberFormat="1" applyFont="1" applyFill="1" applyBorder="1" applyAlignment="1">
      <alignment horizontal="center"/>
    </xf>
    <xf numFmtId="43" fontId="6" fillId="0" borderId="0" xfId="0" applyNumberFormat="1" applyFont="1"/>
    <xf numFmtId="0" fontId="7" fillId="0" borderId="25" xfId="0" applyFont="1" applyBorder="1"/>
    <xf numFmtId="164" fontId="7" fillId="0" borderId="26" xfId="0" applyNumberFormat="1" applyFont="1" applyBorder="1"/>
    <xf numFmtId="164" fontId="7" fillId="0" borderId="0" xfId="0" applyNumberFormat="1" applyFont="1" applyBorder="1"/>
    <xf numFmtId="164" fontId="6" fillId="0" borderId="0" xfId="1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12" fillId="6" borderId="0" xfId="0" applyFont="1" applyFill="1"/>
    <xf numFmtId="0" fontId="12" fillId="6" borderId="0" xfId="0" applyFont="1" applyFill="1" applyAlignment="1">
      <alignment horizontal="center"/>
    </xf>
    <xf numFmtId="164" fontId="7" fillId="4" borderId="24" xfId="1" applyNumberFormat="1" applyFont="1" applyFill="1" applyBorder="1" applyAlignment="1">
      <alignment horizontal="center" vertical="center" wrapText="1"/>
    </xf>
    <xf numFmtId="165" fontId="6" fillId="0" borderId="24" xfId="1" applyNumberFormat="1" applyFont="1" applyBorder="1"/>
    <xf numFmtId="165" fontId="6" fillId="3" borderId="24" xfId="1" applyNumberFormat="1" applyFont="1" applyFill="1" applyBorder="1"/>
    <xf numFmtId="165" fontId="6" fillId="0" borderId="24" xfId="1" applyNumberFormat="1" applyFont="1" applyFill="1" applyBorder="1"/>
    <xf numFmtId="0" fontId="7" fillId="0" borderId="0" xfId="0" applyFont="1"/>
    <xf numFmtId="164" fontId="7" fillId="0" borderId="0" xfId="1" applyNumberFormat="1" applyFont="1"/>
    <xf numFmtId="164" fontId="6" fillId="0" borderId="0" xfId="0" applyNumberFormat="1" applyFont="1" applyAlignment="1">
      <alignment vertical="center"/>
    </xf>
    <xf numFmtId="164" fontId="7" fillId="0" borderId="0" xfId="0" applyNumberFormat="1" applyFont="1"/>
    <xf numFmtId="0" fontId="7" fillId="3" borderId="0" xfId="0" applyFont="1" applyFill="1" applyAlignment="1">
      <alignment horizontal="center" vertical="center"/>
    </xf>
    <xf numFmtId="164" fontId="6" fillId="3" borderId="0" xfId="1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164" fontId="13" fillId="0" borderId="24" xfId="1" applyNumberFormat="1" applyFont="1" applyBorder="1" applyAlignment="1">
      <alignment horizontal="center"/>
    </xf>
    <xf numFmtId="164" fontId="13" fillId="0" borderId="24" xfId="1" applyNumberFormat="1" applyFont="1" applyBorder="1"/>
    <xf numFmtId="164" fontId="7" fillId="7" borderId="24" xfId="1" applyNumberFormat="1" applyFont="1" applyFill="1" applyBorder="1"/>
    <xf numFmtId="0" fontId="6" fillId="0" borderId="24" xfId="0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Fill="1" applyBorder="1" applyAlignment="1"/>
    <xf numFmtId="164" fontId="13" fillId="3" borderId="24" xfId="1" applyNumberFormat="1" applyFont="1" applyFill="1" applyBorder="1"/>
    <xf numFmtId="0" fontId="6" fillId="3" borderId="24" xfId="0" applyFont="1" applyFill="1" applyBorder="1" applyAlignment="1">
      <alignment horizontal="center" vertical="center"/>
    </xf>
    <xf numFmtId="164" fontId="6" fillId="3" borderId="0" xfId="1" applyNumberFormat="1" applyFont="1" applyFill="1" applyBorder="1" applyAlignment="1">
      <alignment horizontal="right" vertical="center"/>
    </xf>
    <xf numFmtId="164" fontId="6" fillId="3" borderId="0" xfId="1" applyNumberFormat="1" applyFont="1" applyFill="1" applyBorder="1" applyAlignment="1"/>
    <xf numFmtId="164" fontId="13" fillId="0" borderId="24" xfId="1" applyNumberFormat="1" applyFont="1" applyFill="1" applyBorder="1" applyAlignment="1">
      <alignment horizontal="center"/>
    </xf>
    <xf numFmtId="164" fontId="13" fillId="0" borderId="24" xfId="1" applyNumberFormat="1" applyFont="1" applyFill="1" applyBorder="1"/>
    <xf numFmtId="0" fontId="6" fillId="0" borderId="24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right" vertical="center"/>
    </xf>
    <xf numFmtId="0" fontId="7" fillId="0" borderId="24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164" fontId="6" fillId="0" borderId="0" xfId="1" applyNumberFormat="1" applyFont="1" applyBorder="1" applyAlignment="1"/>
    <xf numFmtId="0" fontId="7" fillId="3" borderId="0" xfId="0" applyFont="1" applyFill="1" applyAlignment="1">
      <alignment vertical="center"/>
    </xf>
    <xf numFmtId="0" fontId="7" fillId="4" borderId="24" xfId="0" applyFont="1" applyFill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13" fillId="0" borderId="0" xfId="0" applyFont="1" applyAlignment="1">
      <alignment horizontal="right" vertical="center" wrapText="1"/>
    </xf>
    <xf numFmtId="164" fontId="6" fillId="0" borderId="24" xfId="0" applyNumberFormat="1" applyFont="1" applyBorder="1"/>
    <xf numFmtId="0" fontId="7" fillId="0" borderId="27" xfId="0" applyFont="1" applyBorder="1"/>
    <xf numFmtId="164" fontId="7" fillId="0" borderId="28" xfId="0" applyNumberFormat="1" applyFont="1" applyBorder="1"/>
    <xf numFmtId="0" fontId="7" fillId="0" borderId="27" xfId="0" applyFont="1" applyBorder="1" applyAlignment="1">
      <alignment horizontal="center" wrapText="1"/>
    </xf>
    <xf numFmtId="0" fontId="6" fillId="0" borderId="29" xfId="0" applyFont="1" applyBorder="1"/>
    <xf numFmtId="0" fontId="6" fillId="0" borderId="30" xfId="0" applyFont="1" applyBorder="1"/>
    <xf numFmtId="0" fontId="6" fillId="0" borderId="0" xfId="0" applyFont="1" applyBorder="1"/>
    <xf numFmtId="0" fontId="6" fillId="0" borderId="0" xfId="0" applyNumberFormat="1" applyFont="1" applyFill="1" applyBorder="1" applyAlignment="1"/>
    <xf numFmtId="0" fontId="13" fillId="0" borderId="0" xfId="0" applyFont="1"/>
    <xf numFmtId="0" fontId="7" fillId="0" borderId="24" xfId="0" applyFont="1" applyBorder="1"/>
    <xf numFmtId="164" fontId="13" fillId="0" borderId="0" xfId="1" applyNumberFormat="1" applyFont="1"/>
    <xf numFmtId="164" fontId="6" fillId="0" borderId="0" xfId="1" applyNumberFormat="1" applyFont="1" applyBorder="1"/>
    <xf numFmtId="3" fontId="6" fillId="0" borderId="24" xfId="0" applyNumberFormat="1" applyFont="1" applyBorder="1"/>
    <xf numFmtId="164" fontId="13" fillId="0" borderId="0" xfId="0" applyNumberFormat="1" applyFont="1" applyBorder="1"/>
    <xf numFmtId="3" fontId="6" fillId="0" borderId="0" xfId="0" applyNumberFormat="1" applyFont="1"/>
    <xf numFmtId="0" fontId="6" fillId="0" borderId="24" xfId="0" applyFont="1" applyBorder="1" applyAlignment="1">
      <alignment wrapText="1"/>
    </xf>
    <xf numFmtId="0" fontId="7" fillId="0" borderId="0" xfId="0" applyFont="1" applyAlignment="1">
      <alignment horizontal="center"/>
    </xf>
    <xf numFmtId="164" fontId="13" fillId="0" borderId="0" xfId="1" applyNumberFormat="1" applyFont="1" applyFill="1" applyBorder="1"/>
    <xf numFmtId="0" fontId="6" fillId="0" borderId="0" xfId="0" applyFont="1" applyAlignment="1">
      <alignment horizontal="center" vertical="center"/>
    </xf>
    <xf numFmtId="164" fontId="6" fillId="0" borderId="24" xfId="1" applyNumberFormat="1" applyFont="1" applyBorder="1" applyAlignment="1">
      <alignment wrapText="1"/>
    </xf>
    <xf numFmtId="3" fontId="6" fillId="0" borderId="0" xfId="0" applyNumberFormat="1" applyFont="1" applyBorder="1"/>
    <xf numFmtId="164" fontId="6" fillId="0" borderId="0" xfId="1" applyNumberFormat="1" applyFont="1" applyBorder="1" applyAlignment="1">
      <alignment wrapText="1"/>
    </xf>
    <xf numFmtId="0" fontId="6" fillId="6" borderId="0" xfId="0" applyFont="1" applyFill="1" applyBorder="1"/>
    <xf numFmtId="0" fontId="7" fillId="6" borderId="24" xfId="0" applyFont="1" applyFill="1" applyBorder="1"/>
    <xf numFmtId="3" fontId="6" fillId="6" borderId="24" xfId="0" applyNumberFormat="1" applyFont="1" applyFill="1" applyBorder="1"/>
    <xf numFmtId="164" fontId="6" fillId="6" borderId="24" xfId="1" applyNumberFormat="1" applyFont="1" applyFill="1" applyBorder="1" applyAlignment="1">
      <alignment wrapText="1"/>
    </xf>
    <xf numFmtId="164" fontId="6" fillId="6" borderId="24" xfId="1" applyNumberFormat="1" applyFont="1" applyFill="1" applyBorder="1"/>
    <xf numFmtId="0" fontId="6" fillId="6" borderId="24" xfId="0" applyFont="1" applyFill="1" applyBorder="1" applyAlignment="1">
      <alignment wrapText="1"/>
    </xf>
    <xf numFmtId="164" fontId="6" fillId="6" borderId="24" xfId="0" applyNumberFormat="1" applyFont="1" applyFill="1" applyBorder="1"/>
    <xf numFmtId="164" fontId="6" fillId="0" borderId="0" xfId="1" applyNumberFormat="1" applyFont="1" applyAlignment="1">
      <alignment wrapText="1"/>
    </xf>
    <xf numFmtId="0" fontId="5" fillId="0" borderId="0" xfId="0" applyFont="1"/>
    <xf numFmtId="0" fontId="15" fillId="0" borderId="24" xfId="0" applyFont="1" applyBorder="1"/>
    <xf numFmtId="164" fontId="15" fillId="6" borderId="0" xfId="0" applyNumberFormat="1" applyFont="1" applyFill="1"/>
    <xf numFmtId="0" fontId="15" fillId="6" borderId="24" xfId="0" applyFont="1" applyFill="1" applyBorder="1" applyAlignment="1">
      <alignment horizontal="center"/>
    </xf>
    <xf numFmtId="0" fontId="15" fillId="6" borderId="24" xfId="0" applyFont="1" applyFill="1" applyBorder="1"/>
    <xf numFmtId="164" fontId="15" fillId="6" borderId="24" xfId="1" applyNumberFormat="1" applyFont="1" applyFill="1" applyBorder="1"/>
    <xf numFmtId="165" fontId="15" fillId="6" borderId="24" xfId="1" applyNumberFormat="1" applyFont="1" applyFill="1" applyBorder="1"/>
    <xf numFmtId="164" fontId="15" fillId="6" borderId="24" xfId="1" applyNumberFormat="1" applyFont="1" applyFill="1" applyBorder="1" applyAlignment="1">
      <alignment horizontal="center"/>
    </xf>
    <xf numFmtId="164" fontId="7" fillId="6" borderId="24" xfId="1" applyNumberFormat="1" applyFont="1" applyFill="1" applyBorder="1"/>
    <xf numFmtId="0" fontId="15" fillId="6" borderId="24" xfId="0" applyFont="1" applyFill="1" applyBorder="1" applyAlignment="1">
      <alignment horizontal="center" vertical="center"/>
    </xf>
    <xf numFmtId="164" fontId="15" fillId="6" borderId="0" xfId="1" applyNumberFormat="1" applyFont="1" applyFill="1" applyBorder="1" applyAlignment="1">
      <alignment horizontal="right" vertical="center"/>
    </xf>
    <xf numFmtId="164" fontId="15" fillId="6" borderId="0" xfId="1" applyNumberFormat="1" applyFont="1" applyFill="1" applyBorder="1" applyAlignment="1"/>
    <xf numFmtId="0" fontId="15" fillId="6" borderId="0" xfId="0" applyFont="1" applyFill="1"/>
    <xf numFmtId="0" fontId="9" fillId="0" borderId="0" xfId="0" applyFont="1" applyAlignment="1">
      <alignment horizontal="left" vertical="center"/>
    </xf>
    <xf numFmtId="164" fontId="7" fillId="5" borderId="24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64" fontId="7" fillId="0" borderId="14" xfId="1" applyNumberFormat="1" applyFont="1" applyBorder="1" applyAlignment="1">
      <alignment horizontal="right"/>
    </xf>
    <xf numFmtId="164" fontId="7" fillId="0" borderId="15" xfId="1" applyNumberFormat="1" applyFont="1" applyBorder="1" applyAlignment="1">
      <alignment horizontal="right"/>
    </xf>
    <xf numFmtId="164" fontId="7" fillId="0" borderId="16" xfId="1" applyNumberFormat="1" applyFont="1" applyBorder="1" applyAlignment="1">
      <alignment horizontal="right"/>
    </xf>
    <xf numFmtId="0" fontId="8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6" fillId="0" borderId="11" xfId="1" applyNumberFormat="1" applyFont="1" applyBorder="1" applyAlignment="1">
      <alignment horizontal="right"/>
    </xf>
    <xf numFmtId="164" fontId="6" fillId="0" borderId="13" xfId="1" applyNumberFormat="1" applyFont="1" applyBorder="1" applyAlignment="1">
      <alignment horizontal="right"/>
    </xf>
    <xf numFmtId="0" fontId="6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4" fontId="6" fillId="0" borderId="11" xfId="1" applyNumberFormat="1" applyFont="1" applyBorder="1" applyAlignment="1">
      <alignment horizontal="center"/>
    </xf>
    <xf numFmtId="164" fontId="6" fillId="0" borderId="13" xfId="1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6" fillId="0" borderId="8" xfId="1" applyNumberFormat="1" applyFont="1" applyBorder="1" applyAlignment="1">
      <alignment horizontal="center"/>
    </xf>
    <xf numFmtId="164" fontId="6" fillId="0" borderId="10" xfId="1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6" fillId="0" borderId="8" xfId="1" applyNumberFormat="1" applyFont="1" applyBorder="1" applyAlignment="1">
      <alignment horizontal="right"/>
    </xf>
    <xf numFmtId="164" fontId="6" fillId="0" borderId="10" xfId="1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7" fontId="5" fillId="0" borderId="11" xfId="0" applyNumberFormat="1" applyFont="1" applyBorder="1" applyAlignment="1">
      <alignment horizontal="center" vertical="center"/>
    </xf>
    <xf numFmtId="17" fontId="5" fillId="0" borderId="12" xfId="0" applyNumberFormat="1" applyFont="1" applyBorder="1" applyAlignment="1">
      <alignment horizontal="center" vertical="center"/>
    </xf>
    <xf numFmtId="17" fontId="5" fillId="0" borderId="13" xfId="0" applyNumberFormat="1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6" fillId="0" borderId="5" xfId="1" applyNumberFormat="1" applyFont="1" applyBorder="1" applyAlignment="1">
      <alignment horizontal="right"/>
    </xf>
    <xf numFmtId="164" fontId="6" fillId="0" borderId="7" xfId="1" applyNumberFormat="1" applyFont="1" applyBorder="1" applyAlignment="1">
      <alignment horizontal="right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2031054</xdr:colOff>
      <xdr:row>0</xdr:row>
      <xdr:rowOff>47520</xdr:rowOff>
    </xdr:from>
    <xdr:ext cx="1164796" cy="116599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666365" y="46990"/>
          <a:ext cx="1164590" cy="116649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wnloads\Salaries%20of%20JUL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ies"/>
      <sheetName val="Sheet1"/>
    </sheetNames>
    <sheetDataSet>
      <sheetData sheetId="0">
        <row r="7">
          <cell r="C7" t="str">
            <v xml:space="preserve">Muhammad Noman </v>
          </cell>
          <cell r="D7" t="str">
            <v>Technical Head</v>
          </cell>
          <cell r="E7">
            <v>155000</v>
          </cell>
          <cell r="F7"/>
          <cell r="G7">
            <v>20000</v>
          </cell>
          <cell r="H7">
            <v>30300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/>
          <cell r="P7">
            <v>0</v>
          </cell>
          <cell r="Q7">
            <v>0</v>
          </cell>
          <cell r="R7">
            <v>0</v>
          </cell>
          <cell r="S7">
            <v>205300</v>
          </cell>
        </row>
        <row r="8">
          <cell r="C8" t="str">
            <v>Khizar</v>
          </cell>
          <cell r="D8" t="str">
            <v>Technical Engineer</v>
          </cell>
          <cell r="E8">
            <v>71000</v>
          </cell>
          <cell r="F8">
            <v>30</v>
          </cell>
          <cell r="G8">
            <v>8280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79280</v>
          </cell>
        </row>
        <row r="9">
          <cell r="C9" t="str">
            <v>Daniyal Ashraf</v>
          </cell>
          <cell r="D9" t="str">
            <v>Marketing Manager</v>
          </cell>
          <cell r="E9">
            <v>135000</v>
          </cell>
          <cell r="F9">
            <v>0</v>
          </cell>
          <cell r="G9">
            <v>15000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C10" t="str">
            <v>Syed Pervez Hashmi</v>
          </cell>
          <cell r="D10" t="str">
            <v>Marketing Manager</v>
          </cell>
          <cell r="E10">
            <v>135000</v>
          </cell>
          <cell r="F10">
            <v>0</v>
          </cell>
          <cell r="G10">
            <v>15000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C11" t="str">
            <v>M.Ismail Khan</v>
          </cell>
          <cell r="D11" t="str">
            <v>Technical Engineer</v>
          </cell>
          <cell r="E11">
            <v>35000</v>
          </cell>
          <cell r="F11">
            <v>32</v>
          </cell>
          <cell r="G11">
            <v>8832</v>
          </cell>
          <cell r="H11">
            <v>0</v>
          </cell>
          <cell r="I11">
            <v>12</v>
          </cell>
          <cell r="J11">
            <v>1726.027397260274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45558.027397260274</v>
          </cell>
        </row>
        <row r="12">
          <cell r="C12" t="str">
            <v>Syed Shehroz Ahmed</v>
          </cell>
          <cell r="D12" t="str">
            <v>Accounts Executive</v>
          </cell>
          <cell r="E12">
            <v>26000</v>
          </cell>
          <cell r="F12">
            <v>30</v>
          </cell>
          <cell r="G12">
            <v>8280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-20000</v>
          </cell>
          <cell r="S12">
            <v>14280</v>
          </cell>
        </row>
        <row r="13">
          <cell r="C13" t="str">
            <v>Muhammad Nabeel</v>
          </cell>
          <cell r="D13" t="str">
            <v>Technical Engineer</v>
          </cell>
          <cell r="E13">
            <v>40000</v>
          </cell>
          <cell r="F13">
            <v>45</v>
          </cell>
          <cell r="G13">
            <v>12420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52420</v>
          </cell>
        </row>
        <row r="14">
          <cell r="C14" t="str">
            <v>Muhammad Wassi</v>
          </cell>
          <cell r="D14" t="str">
            <v>Technical Engineer</v>
          </cell>
          <cell r="E14">
            <v>41000</v>
          </cell>
          <cell r="F14">
            <v>44</v>
          </cell>
          <cell r="G14">
            <v>12144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-1347.9452054794519</v>
          </cell>
          <cell r="Q14">
            <v>0</v>
          </cell>
          <cell r="R14"/>
          <cell r="S14">
            <v>51796.054794520547</v>
          </cell>
        </row>
        <row r="15">
          <cell r="C15" t="str">
            <v>Ibrahim</v>
          </cell>
          <cell r="D15" t="str">
            <v>Technical Engineer</v>
          </cell>
          <cell r="E15">
            <v>27500</v>
          </cell>
          <cell r="F15">
            <v>32</v>
          </cell>
          <cell r="G15">
            <v>8832</v>
          </cell>
          <cell r="H15">
            <v>0</v>
          </cell>
          <cell r="I15">
            <v>12</v>
          </cell>
          <cell r="J15">
            <v>1356.1643835616437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37688.164383561641</v>
          </cell>
        </row>
        <row r="16">
          <cell r="C16" t="str">
            <v>Hammad Naveed</v>
          </cell>
          <cell r="D16" t="str">
            <v>Technical Engineer</v>
          </cell>
          <cell r="E16">
            <v>31500</v>
          </cell>
          <cell r="F16">
            <v>16</v>
          </cell>
          <cell r="G16">
            <v>4416</v>
          </cell>
          <cell r="H16">
            <v>0</v>
          </cell>
          <cell r="I16">
            <v>8</v>
          </cell>
          <cell r="J16">
            <v>1035.6164383561643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36951.616438356163</v>
          </cell>
        </row>
        <row r="17">
          <cell r="C17" t="str">
            <v>Kashan Abbasi</v>
          </cell>
          <cell r="D17" t="str">
            <v>Senior Sales &amp; Technical Engineer</v>
          </cell>
          <cell r="E17">
            <v>42000</v>
          </cell>
          <cell r="F17">
            <v>42</v>
          </cell>
          <cell r="G17">
            <v>11592</v>
          </cell>
          <cell r="H17">
            <v>1000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54592</v>
          </cell>
        </row>
        <row r="18">
          <cell r="C18" t="str">
            <v>Abdul Raheem</v>
          </cell>
          <cell r="D18" t="str">
            <v>Office Boy</v>
          </cell>
          <cell r="E18">
            <v>20500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20500</v>
          </cell>
        </row>
        <row r="19">
          <cell r="C19" t="str">
            <v>Syed Rehan Hussain Shah</v>
          </cell>
          <cell r="D19" t="str">
            <v>Technical Engineer</v>
          </cell>
          <cell r="E19">
            <v>29000</v>
          </cell>
          <cell r="F19">
            <v>25</v>
          </cell>
          <cell r="G19">
            <v>6900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35900</v>
          </cell>
        </row>
        <row r="20">
          <cell r="C20" t="str">
            <v>Malik Suleman Shahid</v>
          </cell>
          <cell r="D20" t="str">
            <v>Technical Engineer</v>
          </cell>
          <cell r="E20">
            <v>29000</v>
          </cell>
          <cell r="F20">
            <v>25</v>
          </cell>
          <cell r="G20">
            <v>6900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35900</v>
          </cell>
        </row>
        <row r="21">
          <cell r="C21" t="str">
            <v>Dil Murad</v>
          </cell>
          <cell r="D21" t="str">
            <v>Technical Engineer</v>
          </cell>
          <cell r="E21">
            <v>38500</v>
          </cell>
          <cell r="F21">
            <v>25</v>
          </cell>
          <cell r="G21">
            <v>6900</v>
          </cell>
          <cell r="H21">
            <v>10000</v>
          </cell>
          <cell r="I21">
            <v>0</v>
          </cell>
          <cell r="J21">
            <v>0</v>
          </cell>
          <cell r="K21">
            <v>1</v>
          </cell>
          <cell r="L21">
            <v>1265.7534246575342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56665.753424657538</v>
          </cell>
        </row>
        <row r="22">
          <cell r="C22" t="str">
            <v>Muhammad Aqib</v>
          </cell>
          <cell r="D22" t="str">
            <v>Technical Engineer</v>
          </cell>
          <cell r="E22">
            <v>25000</v>
          </cell>
          <cell r="F22">
            <v>0</v>
          </cell>
          <cell r="G22">
            <v>0</v>
          </cell>
          <cell r="H22">
            <v>0</v>
          </cell>
          <cell r="I22">
            <v>21</v>
          </cell>
          <cell r="J22">
            <v>2157.5342465753424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27157.534246575342</v>
          </cell>
        </row>
        <row r="23">
          <cell r="C23" t="str">
            <v>Zain</v>
          </cell>
          <cell r="D23" t="str">
            <v>Technical Engineer</v>
          </cell>
          <cell r="E23">
            <v>25000</v>
          </cell>
          <cell r="F23">
            <v>40</v>
          </cell>
          <cell r="G23">
            <v>11040</v>
          </cell>
          <cell r="H23">
            <v>0</v>
          </cell>
          <cell r="I23">
            <v>28</v>
          </cell>
          <cell r="J23">
            <v>2876.7123287671229</v>
          </cell>
          <cell r="K23">
            <v>1</v>
          </cell>
          <cell r="L23">
            <v>821.91780821917803</v>
          </cell>
          <cell r="M23">
            <v>0</v>
          </cell>
          <cell r="N23">
            <v>1</v>
          </cell>
          <cell r="O23">
            <v>0</v>
          </cell>
          <cell r="P23">
            <v>-821.91780821917803</v>
          </cell>
          <cell r="Q23">
            <v>0</v>
          </cell>
          <cell r="R23">
            <v>0</v>
          </cell>
          <cell r="S23">
            <v>38916.71232876712</v>
          </cell>
        </row>
        <row r="24">
          <cell r="C24" t="str">
            <v>Rizwan</v>
          </cell>
          <cell r="D24" t="str">
            <v>Technical Engineer</v>
          </cell>
          <cell r="E24">
            <v>42000</v>
          </cell>
          <cell r="F24">
            <v>0</v>
          </cell>
          <cell r="G24">
            <v>5000</v>
          </cell>
          <cell r="H24">
            <v>0</v>
          </cell>
          <cell r="I24">
            <v>48</v>
          </cell>
          <cell r="J24">
            <v>8284.9315068493161</v>
          </cell>
          <cell r="K24">
            <v>1</v>
          </cell>
          <cell r="L24">
            <v>1380.8219178082193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-2000</v>
          </cell>
          <cell r="S24">
            <v>54665.753424657538</v>
          </cell>
        </row>
        <row r="25">
          <cell r="C25" t="str">
            <v>Zakir</v>
          </cell>
          <cell r="D25" t="str">
            <v>Technical Engineer</v>
          </cell>
          <cell r="E25">
            <v>25000</v>
          </cell>
          <cell r="F25">
            <v>0</v>
          </cell>
          <cell r="G25">
            <v>0</v>
          </cell>
          <cell r="H25">
            <v>0</v>
          </cell>
          <cell r="I25">
            <v>35</v>
          </cell>
          <cell r="J25">
            <v>3595.8904109589039</v>
          </cell>
          <cell r="K25">
            <v>1</v>
          </cell>
          <cell r="L25">
            <v>821.91780821917803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-2000</v>
          </cell>
          <cell r="S25">
            <v>27417.808219178085</v>
          </cell>
        </row>
        <row r="26">
          <cell r="C26" t="str">
            <v>Amir</v>
          </cell>
          <cell r="D26" t="str">
            <v>Driver</v>
          </cell>
          <cell r="E26">
            <v>30000</v>
          </cell>
          <cell r="F26">
            <v>0</v>
          </cell>
          <cell r="G26">
            <v>0</v>
          </cell>
          <cell r="H26">
            <v>7500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37500</v>
          </cell>
        </row>
        <row r="27">
          <cell r="C27" t="str">
            <v>Farhan</v>
          </cell>
          <cell r="D27" t="str">
            <v>Driver</v>
          </cell>
          <cell r="E27">
            <v>25000</v>
          </cell>
          <cell r="F27"/>
          <cell r="G27">
            <v>0</v>
          </cell>
          <cell r="H27">
            <v>7500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32500</v>
          </cell>
        </row>
        <row r="28">
          <cell r="C28" t="str">
            <v xml:space="preserve">Arsalan </v>
          </cell>
          <cell r="D28" t="str">
            <v>Sales And Service Engineer</v>
          </cell>
          <cell r="E28">
            <v>30000</v>
          </cell>
          <cell r="F28">
            <v>0</v>
          </cell>
          <cell r="G28">
            <v>4000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34000</v>
          </cell>
        </row>
        <row r="29">
          <cell r="C29" t="str">
            <v>Ahsan Ali</v>
          </cell>
          <cell r="D29" t="str">
            <v>Technical Engineer</v>
          </cell>
          <cell r="E29">
            <v>23000</v>
          </cell>
          <cell r="F29">
            <v>0</v>
          </cell>
          <cell r="G29">
            <v>4000</v>
          </cell>
          <cell r="H29">
            <v>0</v>
          </cell>
          <cell r="I29">
            <v>0</v>
          </cell>
          <cell r="J29">
            <v>0</v>
          </cell>
          <cell r="K29">
            <v>1</v>
          </cell>
          <cell r="L29">
            <v>756.16438356164383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-5000</v>
          </cell>
          <cell r="S29">
            <v>22756.164383561645</v>
          </cell>
        </row>
        <row r="30">
          <cell r="C30" t="str">
            <v>Aslam Khan</v>
          </cell>
          <cell r="D30" t="str">
            <v>Technical Engineer</v>
          </cell>
          <cell r="E30">
            <v>36500</v>
          </cell>
          <cell r="F30">
            <v>25</v>
          </cell>
          <cell r="G30">
            <v>6900</v>
          </cell>
          <cell r="H30">
            <v>0</v>
          </cell>
          <cell r="I30">
            <v>0</v>
          </cell>
          <cell r="J30">
            <v>0</v>
          </cell>
          <cell r="K30">
            <v>1</v>
          </cell>
          <cell r="L30">
            <v>1200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44600</v>
          </cell>
        </row>
        <row r="31">
          <cell r="C31" t="str">
            <v>Affnaan</v>
          </cell>
          <cell r="D31" t="str">
            <v>Technical Engineer</v>
          </cell>
          <cell r="E31">
            <v>25000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25000</v>
          </cell>
        </row>
        <row r="32">
          <cell r="C32" t="str">
            <v>Zahid</v>
          </cell>
          <cell r="D32" t="str">
            <v>Office Boy</v>
          </cell>
          <cell r="E32">
            <v>13000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13000</v>
          </cell>
        </row>
        <row r="33">
          <cell r="C33" t="str">
            <v>Maryam</v>
          </cell>
          <cell r="D33" t="str">
            <v>Accounts Executive</v>
          </cell>
          <cell r="E33">
            <v>30000</v>
          </cell>
          <cell r="F33">
            <v>0</v>
          </cell>
          <cell r="G33">
            <v>7000</v>
          </cell>
          <cell r="H33">
            <v>3000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-10000</v>
          </cell>
          <cell r="S33">
            <v>30000</v>
          </cell>
        </row>
        <row r="34">
          <cell r="C34" t="str">
            <v>Muhammad Haseeb</v>
          </cell>
          <cell r="D34" t="str">
            <v>Technical Engineer</v>
          </cell>
          <cell r="E34">
            <v>68000</v>
          </cell>
          <cell r="F34">
            <v>0</v>
          </cell>
          <cell r="G34">
            <v>7000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75000</v>
          </cell>
        </row>
        <row r="35">
          <cell r="C35" t="str">
            <v>M. Safi Ullah</v>
          </cell>
          <cell r="D35" t="str">
            <v>Technical Engineer</v>
          </cell>
          <cell r="E35">
            <v>25000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25000</v>
          </cell>
        </row>
        <row r="36">
          <cell r="C36" t="str">
            <v>Muhammad Danish</v>
          </cell>
          <cell r="D36" t="str">
            <v>Technical Engineer</v>
          </cell>
          <cell r="E36">
            <v>33000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33000</v>
          </cell>
        </row>
        <row r="37">
          <cell r="C37" t="str">
            <v xml:space="preserve">Muhammad Hajan </v>
          </cell>
          <cell r="D37" t="str">
            <v>Technical Engineer</v>
          </cell>
          <cell r="E37">
            <v>33000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33000</v>
          </cell>
        </row>
        <row r="38">
          <cell r="C38" t="str">
            <v>Syed Atiq Ur Rehman</v>
          </cell>
          <cell r="D38" t="str">
            <v>Technical Engineer</v>
          </cell>
          <cell r="E38">
            <v>33000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33000</v>
          </cell>
        </row>
        <row r="39">
          <cell r="C39" t="str">
            <v>Muhammad Usama Khan</v>
          </cell>
          <cell r="D39" t="str">
            <v>Technical Engineer</v>
          </cell>
          <cell r="E39">
            <v>35000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35000</v>
          </cell>
        </row>
        <row r="40">
          <cell r="C40" t="str">
            <v>Piyasi</v>
          </cell>
          <cell r="D40" t="str">
            <v>Service Engineer</v>
          </cell>
          <cell r="E40">
            <v>33000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/>
          <cell r="N40"/>
          <cell r="O40"/>
          <cell r="P40">
            <v>0</v>
          </cell>
          <cell r="Q40"/>
          <cell r="R40"/>
          <cell r="S40">
            <v>33000</v>
          </cell>
        </row>
        <row r="41">
          <cell r="C41" t="str">
            <v>Ali Hasan (Hyd)</v>
          </cell>
          <cell r="D41" t="str">
            <v>Trainee Engineer</v>
          </cell>
          <cell r="E41">
            <v>20000</v>
          </cell>
          <cell r="F41">
            <v>0</v>
          </cell>
          <cell r="G41">
            <v>7000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1</v>
          </cell>
          <cell r="O41">
            <v>0</v>
          </cell>
          <cell r="P41">
            <v>-657.53424657534242</v>
          </cell>
          <cell r="Q41">
            <v>0</v>
          </cell>
          <cell r="R41">
            <v>0</v>
          </cell>
          <cell r="S41">
            <v>26342.465753424658</v>
          </cell>
        </row>
      </sheetData>
      <sheetData sheetId="1">
        <row r="13">
          <cell r="G13" t="str">
            <v xml:space="preserve">Arsalan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197"/>
  <sheetViews>
    <sheetView showGridLines="0" tabSelected="1" zoomScale="63" zoomScaleNormal="70" zoomScaleSheetLayoutView="70" workbookViewId="0">
      <selection activeCell="I3" sqref="I3"/>
    </sheetView>
  </sheetViews>
  <sheetFormatPr defaultColWidth="9.109375" defaultRowHeight="13.8"/>
  <cols>
    <col min="1" max="1" width="5.33203125" style="16" customWidth="1"/>
    <col min="2" max="2" width="7.44140625" style="16" customWidth="1"/>
    <col min="3" max="3" width="27.21875" style="16" customWidth="1"/>
    <col min="4" max="4" width="22.88671875" style="16" customWidth="1"/>
    <col min="5" max="5" width="16.33203125" style="16" customWidth="1"/>
    <col min="6" max="6" width="18" style="16" customWidth="1"/>
    <col min="7" max="7" width="15.44140625" style="16" customWidth="1"/>
    <col min="8" max="8" width="12.6640625" style="16" customWidth="1"/>
    <col min="9" max="9" width="16.6640625" style="16" customWidth="1"/>
    <col min="10" max="10" width="11.6640625" style="16" customWidth="1"/>
    <col min="11" max="11" width="14.6640625" style="16" customWidth="1"/>
    <col min="12" max="12" width="11.44140625" style="16" customWidth="1"/>
    <col min="13" max="13" width="12.6640625" style="17" customWidth="1"/>
    <col min="14" max="14" width="9.6640625" style="17" customWidth="1"/>
    <col min="15" max="16" width="12.6640625" style="17" customWidth="1"/>
    <col min="17" max="17" width="13.44140625" style="16" customWidth="1"/>
    <col min="18" max="18" width="12.6640625" style="16" customWidth="1"/>
    <col min="19" max="19" width="14" style="16" customWidth="1"/>
    <col min="20" max="20" width="15.33203125" style="16" customWidth="1"/>
    <col min="21" max="21" width="16.44140625" style="16" customWidth="1"/>
    <col min="22" max="22" width="26.6640625" style="16" customWidth="1"/>
    <col min="23" max="23" width="15.88671875" style="16" customWidth="1"/>
    <col min="24" max="24" width="17" style="16" customWidth="1"/>
    <col min="25" max="25" width="13" style="17" customWidth="1"/>
    <col min="26" max="27" width="9.109375" style="16"/>
    <col min="28" max="28" width="10.109375" style="16" customWidth="1"/>
    <col min="29" max="29" width="11.6640625" style="16" customWidth="1"/>
    <col min="30" max="16384" width="9.109375" style="16"/>
  </cols>
  <sheetData>
    <row r="2" spans="1:25" s="11" customFormat="1" ht="27.6">
      <c r="B2" s="118" t="s">
        <v>0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8"/>
      <c r="O2" s="18"/>
      <c r="P2" s="18"/>
      <c r="Q2" s="18"/>
      <c r="R2" s="18"/>
      <c r="S2" s="18"/>
      <c r="Y2" s="37"/>
    </row>
    <row r="3" spans="1:25" s="11" customFormat="1" ht="16.95" customHeight="1">
      <c r="B3" s="19" t="s">
        <v>1</v>
      </c>
      <c r="M3" s="37"/>
      <c r="N3" s="37"/>
      <c r="O3" s="37"/>
      <c r="P3" s="37"/>
      <c r="X3" s="48"/>
      <c r="Y3" s="37"/>
    </row>
    <row r="4" spans="1:25" s="12" customFormat="1" ht="16.95" customHeight="1">
      <c r="B4" s="20" t="s">
        <v>2</v>
      </c>
      <c r="I4" s="12">
        <f>21*2*26/35</f>
        <v>31.2</v>
      </c>
      <c r="K4" s="38"/>
      <c r="M4" s="39"/>
      <c r="N4" s="39"/>
      <c r="O4" s="39"/>
      <c r="P4" s="39"/>
      <c r="Y4" s="39"/>
    </row>
    <row r="5" spans="1:25" ht="15">
      <c r="I5" s="40" t="s">
        <v>3</v>
      </c>
      <c r="J5" s="41">
        <v>258</v>
      </c>
      <c r="T5" s="46" t="s">
        <v>4</v>
      </c>
      <c r="U5" s="49">
        <f>T54</f>
        <v>2152024.0821917811</v>
      </c>
    </row>
    <row r="6" spans="1:25" s="13" customFormat="1" ht="51.75" customHeight="1">
      <c r="B6" s="21" t="s">
        <v>5</v>
      </c>
      <c r="C6" s="22" t="s">
        <v>6</v>
      </c>
      <c r="D6" s="22" t="s">
        <v>7</v>
      </c>
      <c r="E6" s="22" t="s">
        <v>8</v>
      </c>
      <c r="F6" s="22" t="s">
        <v>9</v>
      </c>
      <c r="G6" s="22" t="s">
        <v>10</v>
      </c>
      <c r="H6" s="22" t="s">
        <v>11</v>
      </c>
      <c r="I6" s="22" t="s">
        <v>12</v>
      </c>
      <c r="J6" s="22" t="s">
        <v>13</v>
      </c>
      <c r="K6" s="42" t="s">
        <v>14</v>
      </c>
      <c r="L6" s="42" t="s">
        <v>15</v>
      </c>
      <c r="M6" s="42" t="s">
        <v>16</v>
      </c>
      <c r="N6" s="42" t="s">
        <v>17</v>
      </c>
      <c r="O6" s="22" t="s">
        <v>18</v>
      </c>
      <c r="P6" s="22" t="s">
        <v>19</v>
      </c>
      <c r="Q6" s="22" t="s">
        <v>20</v>
      </c>
      <c r="R6" s="22" t="s">
        <v>21</v>
      </c>
      <c r="S6" s="22" t="s">
        <v>162</v>
      </c>
      <c r="T6" s="22" t="s">
        <v>22</v>
      </c>
      <c r="U6" s="22" t="s">
        <v>23</v>
      </c>
      <c r="V6" s="50"/>
      <c r="W6" s="51"/>
      <c r="X6" s="52"/>
      <c r="Y6" s="52"/>
    </row>
    <row r="7" spans="1:25" ht="13.8" customHeight="1">
      <c r="A7" s="23"/>
      <c r="B7" s="24">
        <v>1</v>
      </c>
      <c r="C7" s="25" t="s">
        <v>24</v>
      </c>
      <c r="D7" s="25" t="s">
        <v>25</v>
      </c>
      <c r="E7" s="25" t="s">
        <v>26</v>
      </c>
      <c r="F7" s="26">
        <f>141000+14000+25000</f>
        <v>180000</v>
      </c>
      <c r="G7" s="26"/>
      <c r="H7" s="26">
        <f>9000+11000+10000</f>
        <v>30000</v>
      </c>
      <c r="I7" s="26">
        <v>13808</v>
      </c>
      <c r="J7" s="26">
        <v>0</v>
      </c>
      <c r="K7" s="26">
        <f t="shared" ref="K7:K21" si="0">F7*12/365/8*J7</f>
        <v>0</v>
      </c>
      <c r="L7" s="26">
        <v>0</v>
      </c>
      <c r="M7" s="26">
        <f>F7*12/365*L7</f>
        <v>0</v>
      </c>
      <c r="N7" s="26">
        <v>0</v>
      </c>
      <c r="O7" s="43">
        <v>0</v>
      </c>
      <c r="P7" s="26"/>
      <c r="Q7" s="53">
        <f t="shared" ref="Q7:Q43" si="1">-F7*12/365*O7</f>
        <v>0</v>
      </c>
      <c r="R7" s="54">
        <f t="shared" ref="R7:R22" si="2">-F7*12/365*P7/2</f>
        <v>0</v>
      </c>
      <c r="S7" s="54"/>
      <c r="T7" s="55">
        <f>F7+H7+I7+K7+M7+N7+Q7+R7+S7</f>
        <v>223808</v>
      </c>
      <c r="U7" s="56" t="s">
        <v>27</v>
      </c>
      <c r="V7" s="57"/>
      <c r="W7" s="58"/>
      <c r="Y7" s="16"/>
    </row>
    <row r="8" spans="1:25" ht="13.8" customHeight="1">
      <c r="A8" s="23"/>
      <c r="B8" s="24">
        <f t="shared" ref="B8:B43" si="3">+B7+1</f>
        <v>2</v>
      </c>
      <c r="C8" s="25" t="s">
        <v>28</v>
      </c>
      <c r="D8" s="25" t="s">
        <v>29</v>
      </c>
      <c r="E8" s="25" t="s">
        <v>26</v>
      </c>
      <c r="F8" s="27">
        <f>63000-6000+8000+1000+5000</f>
        <v>71000</v>
      </c>
      <c r="G8" s="26">
        <v>30</v>
      </c>
      <c r="H8" s="26">
        <f>G8*$J$5</f>
        <v>7740</v>
      </c>
      <c r="I8" s="26">
        <v>0</v>
      </c>
      <c r="J8" s="26">
        <v>4</v>
      </c>
      <c r="K8" s="26">
        <f t="shared" si="0"/>
        <v>1167.1232876712329</v>
      </c>
      <c r="L8" s="26">
        <v>0</v>
      </c>
      <c r="M8" s="26">
        <v>0</v>
      </c>
      <c r="N8" s="26">
        <v>0</v>
      </c>
      <c r="O8" s="43"/>
      <c r="P8" s="26">
        <v>0</v>
      </c>
      <c r="Q8" s="53">
        <f t="shared" si="1"/>
        <v>0</v>
      </c>
      <c r="R8" s="54">
        <f t="shared" si="2"/>
        <v>0</v>
      </c>
      <c r="S8" s="54">
        <v>-10000</v>
      </c>
      <c r="T8" s="55">
        <f>F8+H8+I8+K8+M8+N8+Q8+R8+S8</f>
        <v>69907.123287671231</v>
      </c>
      <c r="U8" s="56" t="s">
        <v>27</v>
      </c>
      <c r="V8" s="57"/>
      <c r="W8" s="58"/>
      <c r="Y8" s="16"/>
    </row>
    <row r="9" spans="1:25" ht="13.8" customHeight="1">
      <c r="A9" s="23"/>
      <c r="B9" s="24">
        <f t="shared" si="3"/>
        <v>3</v>
      </c>
      <c r="C9" s="25" t="s">
        <v>30</v>
      </c>
      <c r="D9" s="25" t="s">
        <v>31</v>
      </c>
      <c r="E9" s="25" t="s">
        <v>26</v>
      </c>
      <c r="F9" s="26">
        <f>85000+50000+25000</f>
        <v>160000</v>
      </c>
      <c r="G9" s="26">
        <v>0</v>
      </c>
      <c r="H9" s="26">
        <v>15000</v>
      </c>
      <c r="I9" s="26">
        <v>0</v>
      </c>
      <c r="J9" s="26"/>
      <c r="K9" s="26">
        <f t="shared" si="0"/>
        <v>0</v>
      </c>
      <c r="L9" s="26">
        <v>0</v>
      </c>
      <c r="M9" s="26">
        <f t="shared" ref="M9:M14" si="4">F9*12/365*L9</f>
        <v>0</v>
      </c>
      <c r="N9" s="26">
        <v>0</v>
      </c>
      <c r="O9" s="43"/>
      <c r="P9" s="26">
        <v>0</v>
      </c>
      <c r="Q9" s="53">
        <f t="shared" si="1"/>
        <v>0</v>
      </c>
      <c r="R9" s="54">
        <f t="shared" si="2"/>
        <v>0</v>
      </c>
      <c r="S9" s="54">
        <v>0</v>
      </c>
      <c r="T9" s="55">
        <f>F9+H9+I9+K9+M9+N9+Q9+R9+S9</f>
        <v>175000</v>
      </c>
      <c r="U9" s="56" t="s">
        <v>32</v>
      </c>
      <c r="V9" s="57"/>
      <c r="W9" s="58"/>
      <c r="Y9" s="16"/>
    </row>
    <row r="10" spans="1:25" ht="13.8" customHeight="1">
      <c r="A10" s="23"/>
      <c r="B10" s="24">
        <f t="shared" si="3"/>
        <v>4</v>
      </c>
      <c r="C10" s="25" t="s">
        <v>33</v>
      </c>
      <c r="D10" s="25" t="s">
        <v>31</v>
      </c>
      <c r="E10" s="25" t="s">
        <v>26</v>
      </c>
      <c r="F10" s="26">
        <f>85000+50000</f>
        <v>135000</v>
      </c>
      <c r="G10" s="26">
        <v>0</v>
      </c>
      <c r="H10" s="26">
        <v>15000</v>
      </c>
      <c r="I10" s="26">
        <v>0</v>
      </c>
      <c r="J10" s="26"/>
      <c r="K10" s="26">
        <f t="shared" si="0"/>
        <v>0</v>
      </c>
      <c r="L10" s="26">
        <v>0</v>
      </c>
      <c r="M10" s="26">
        <f t="shared" si="4"/>
        <v>0</v>
      </c>
      <c r="N10" s="26">
        <v>0</v>
      </c>
      <c r="O10" s="43"/>
      <c r="P10" s="26">
        <v>0</v>
      </c>
      <c r="Q10" s="53">
        <f t="shared" si="1"/>
        <v>0</v>
      </c>
      <c r="R10" s="54">
        <f t="shared" si="2"/>
        <v>0</v>
      </c>
      <c r="S10" s="54">
        <v>0</v>
      </c>
      <c r="T10" s="55">
        <f>F10+H10+I10+K10+M10+N10+Q10+R10+S10</f>
        <v>150000</v>
      </c>
      <c r="U10" s="56" t="s">
        <v>27</v>
      </c>
      <c r="V10" s="57"/>
      <c r="W10" s="58"/>
      <c r="Y10" s="16"/>
    </row>
    <row r="11" spans="1:25" ht="13.8" customHeight="1">
      <c r="A11" s="23"/>
      <c r="B11" s="24">
        <f>+B10+1</f>
        <v>5</v>
      </c>
      <c r="C11" s="25" t="s">
        <v>34</v>
      </c>
      <c r="D11" s="25" t="s">
        <v>29</v>
      </c>
      <c r="E11" s="25" t="s">
        <v>35</v>
      </c>
      <c r="F11" s="27">
        <f>30000-2000+4000+3000+5000</f>
        <v>40000</v>
      </c>
      <c r="G11" s="26">
        <v>32</v>
      </c>
      <c r="H11" s="26">
        <f t="shared" ref="H11:H21" si="5">G11*$J$5</f>
        <v>8256</v>
      </c>
      <c r="I11" s="26">
        <v>0</v>
      </c>
      <c r="J11" s="26">
        <v>22</v>
      </c>
      <c r="K11" s="26">
        <f t="shared" si="0"/>
        <v>3616.4383561643835</v>
      </c>
      <c r="L11" s="26">
        <v>0</v>
      </c>
      <c r="M11" s="26">
        <f t="shared" si="4"/>
        <v>0</v>
      </c>
      <c r="N11" s="26">
        <v>0</v>
      </c>
      <c r="O11" s="43"/>
      <c r="P11" s="26">
        <v>0</v>
      </c>
      <c r="Q11" s="53">
        <f t="shared" si="1"/>
        <v>0</v>
      </c>
      <c r="R11" s="54">
        <f t="shared" si="2"/>
        <v>0</v>
      </c>
      <c r="S11" s="54">
        <v>-3000</v>
      </c>
      <c r="T11" s="55">
        <f t="shared" ref="T11:T41" si="6">F11+H11+I11+K11+M11+N11+Q11+R11+S11</f>
        <v>48872.438356164384</v>
      </c>
      <c r="U11" s="56" t="s">
        <v>36</v>
      </c>
      <c r="V11" s="57"/>
      <c r="W11" s="58"/>
      <c r="X11" s="46"/>
      <c r="Y11" s="16"/>
    </row>
    <row r="12" spans="1:25" ht="13.8" customHeight="1">
      <c r="A12" s="23"/>
      <c r="B12" s="24">
        <f t="shared" si="3"/>
        <v>6</v>
      </c>
      <c r="C12" s="25" t="s">
        <v>37</v>
      </c>
      <c r="D12" s="25" t="s">
        <v>29</v>
      </c>
      <c r="E12" s="25" t="s">
        <v>35</v>
      </c>
      <c r="F12" s="26">
        <v>30000</v>
      </c>
      <c r="G12" s="26">
        <v>30</v>
      </c>
      <c r="H12" s="26">
        <f t="shared" si="5"/>
        <v>7740</v>
      </c>
      <c r="I12" s="26">
        <v>0</v>
      </c>
      <c r="J12" s="26">
        <v>8</v>
      </c>
      <c r="K12" s="26">
        <f t="shared" si="0"/>
        <v>986.30136986301375</v>
      </c>
      <c r="L12" s="26">
        <v>0</v>
      </c>
      <c r="M12" s="26">
        <f t="shared" si="4"/>
        <v>0</v>
      </c>
      <c r="N12" s="26">
        <v>0</v>
      </c>
      <c r="O12" s="43">
        <v>2</v>
      </c>
      <c r="P12" s="26">
        <v>0</v>
      </c>
      <c r="Q12" s="53">
        <f t="shared" si="1"/>
        <v>-1972.6027397260275</v>
      </c>
      <c r="R12" s="54">
        <f t="shared" si="2"/>
        <v>0</v>
      </c>
      <c r="S12" s="54">
        <v>0</v>
      </c>
      <c r="T12" s="55">
        <f t="shared" si="6"/>
        <v>36753.698630136991</v>
      </c>
      <c r="U12" s="56" t="s">
        <v>36</v>
      </c>
      <c r="V12" s="57"/>
      <c r="W12" s="58"/>
      <c r="Y12" s="16"/>
    </row>
    <row r="13" spans="1:25" ht="13.8" customHeight="1">
      <c r="A13" s="23"/>
      <c r="B13" s="24">
        <f t="shared" si="3"/>
        <v>7</v>
      </c>
      <c r="C13" s="25" t="s">
        <v>38</v>
      </c>
      <c r="D13" s="25" t="s">
        <v>29</v>
      </c>
      <c r="E13" s="25" t="s">
        <v>26</v>
      </c>
      <c r="F13" s="26">
        <f>38000-4000+6000</f>
        <v>40000</v>
      </c>
      <c r="G13" s="26">
        <v>45</v>
      </c>
      <c r="H13" s="26">
        <f t="shared" si="5"/>
        <v>11610</v>
      </c>
      <c r="I13" s="26">
        <v>0</v>
      </c>
      <c r="J13" s="26">
        <v>30</v>
      </c>
      <c r="K13" s="26">
        <f t="shared" si="0"/>
        <v>4931.5068493150684</v>
      </c>
      <c r="L13" s="26">
        <v>0</v>
      </c>
      <c r="M13" s="26">
        <f t="shared" si="4"/>
        <v>0</v>
      </c>
      <c r="N13" s="26">
        <v>0</v>
      </c>
      <c r="O13" s="43">
        <v>3</v>
      </c>
      <c r="P13" s="26">
        <v>0</v>
      </c>
      <c r="Q13" s="53">
        <f t="shared" si="1"/>
        <v>-3945.2054794520545</v>
      </c>
      <c r="R13" s="54">
        <f t="shared" si="2"/>
        <v>0</v>
      </c>
      <c r="S13" s="54">
        <v>-3000</v>
      </c>
      <c r="T13" s="55">
        <f t="shared" si="6"/>
        <v>49596.301369863017</v>
      </c>
      <c r="U13" s="56" t="s">
        <v>36</v>
      </c>
      <c r="V13" s="57"/>
      <c r="W13" s="58"/>
      <c r="Y13" s="16"/>
    </row>
    <row r="14" spans="1:25" s="14" customFormat="1" ht="13.8" customHeight="1">
      <c r="A14" s="23"/>
      <c r="B14" s="24">
        <f t="shared" si="3"/>
        <v>8</v>
      </c>
      <c r="C14" s="28" t="s">
        <v>39</v>
      </c>
      <c r="D14" s="28" t="s">
        <v>29</v>
      </c>
      <c r="E14" s="28" t="s">
        <v>40</v>
      </c>
      <c r="F14" s="27">
        <f>35000-2000+4000+4000+8000</f>
        <v>49000</v>
      </c>
      <c r="G14" s="27">
        <v>44</v>
      </c>
      <c r="H14" s="27">
        <f t="shared" si="5"/>
        <v>11352</v>
      </c>
      <c r="I14" s="27">
        <v>0</v>
      </c>
      <c r="J14" s="27">
        <v>0</v>
      </c>
      <c r="K14" s="26">
        <f t="shared" si="0"/>
        <v>0</v>
      </c>
      <c r="L14" s="27">
        <v>0</v>
      </c>
      <c r="M14" s="27">
        <f t="shared" si="4"/>
        <v>0</v>
      </c>
      <c r="N14" s="27">
        <v>0</v>
      </c>
      <c r="O14" s="44">
        <v>2</v>
      </c>
      <c r="P14" s="27">
        <v>0</v>
      </c>
      <c r="Q14" s="53">
        <f t="shared" si="1"/>
        <v>-3221.9178082191779</v>
      </c>
      <c r="R14" s="59">
        <f t="shared" si="2"/>
        <v>0</v>
      </c>
      <c r="S14" s="59"/>
      <c r="T14" s="55">
        <f t="shared" si="6"/>
        <v>57130.082191780821</v>
      </c>
      <c r="U14" s="60" t="s">
        <v>27</v>
      </c>
      <c r="V14" s="61"/>
      <c r="W14" s="62"/>
    </row>
    <row r="15" spans="1:25" ht="13.8" customHeight="1">
      <c r="A15" s="23"/>
      <c r="B15" s="24">
        <f t="shared" si="3"/>
        <v>9</v>
      </c>
      <c r="C15" s="28" t="s">
        <v>41</v>
      </c>
      <c r="D15" s="25" t="s">
        <v>29</v>
      </c>
      <c r="E15" s="25" t="s">
        <v>35</v>
      </c>
      <c r="F15" s="27">
        <f>25000-2500+2500+2500+4000</f>
        <v>31500</v>
      </c>
      <c r="G15" s="26">
        <v>32</v>
      </c>
      <c r="H15" s="26">
        <f t="shared" si="5"/>
        <v>8256</v>
      </c>
      <c r="I15" s="26">
        <v>0</v>
      </c>
      <c r="J15" s="26">
        <v>25</v>
      </c>
      <c r="K15" s="26">
        <f t="shared" si="0"/>
        <v>3236.3013698630134</v>
      </c>
      <c r="L15" s="26">
        <v>0</v>
      </c>
      <c r="M15" s="26">
        <v>0</v>
      </c>
      <c r="N15" s="26">
        <v>0</v>
      </c>
      <c r="O15" s="43"/>
      <c r="P15" s="26">
        <v>0</v>
      </c>
      <c r="Q15" s="53">
        <f t="shared" si="1"/>
        <v>0</v>
      </c>
      <c r="R15" s="54">
        <f t="shared" si="2"/>
        <v>0</v>
      </c>
      <c r="S15" s="54">
        <v>0</v>
      </c>
      <c r="T15" s="55">
        <f t="shared" si="6"/>
        <v>42992.301369863017</v>
      </c>
      <c r="U15" s="60" t="s">
        <v>36</v>
      </c>
      <c r="V15" s="57"/>
      <c r="W15" s="58"/>
      <c r="X15" s="46"/>
      <c r="Y15" s="16"/>
    </row>
    <row r="16" spans="1:25" s="14" customFormat="1" ht="13.8" customHeight="1">
      <c r="A16" s="23"/>
      <c r="B16" s="24">
        <f t="shared" si="3"/>
        <v>10</v>
      </c>
      <c r="C16" s="28" t="s">
        <v>42</v>
      </c>
      <c r="D16" s="28" t="s">
        <v>29</v>
      </c>
      <c r="E16" s="28" t="s">
        <v>35</v>
      </c>
      <c r="F16" s="27">
        <f>27500-1000+2000+3000</f>
        <v>31500</v>
      </c>
      <c r="G16" s="27">
        <v>16</v>
      </c>
      <c r="H16" s="27">
        <f t="shared" si="5"/>
        <v>4128</v>
      </c>
      <c r="I16" s="27">
        <v>0</v>
      </c>
      <c r="J16" s="27">
        <v>55</v>
      </c>
      <c r="K16" s="26">
        <f t="shared" si="0"/>
        <v>7119.8630136986294</v>
      </c>
      <c r="L16" s="27"/>
      <c r="M16" s="27">
        <f>F16*12/365*L16</f>
        <v>0</v>
      </c>
      <c r="N16" s="27">
        <v>0</v>
      </c>
      <c r="O16" s="44"/>
      <c r="P16" s="27">
        <v>0</v>
      </c>
      <c r="Q16" s="53">
        <f t="shared" si="1"/>
        <v>0</v>
      </c>
      <c r="R16" s="59">
        <f t="shared" si="2"/>
        <v>0</v>
      </c>
      <c r="S16" s="59"/>
      <c r="T16" s="55">
        <f t="shared" si="6"/>
        <v>42747.863013698632</v>
      </c>
      <c r="U16" s="60" t="s">
        <v>27</v>
      </c>
      <c r="V16" s="61"/>
      <c r="W16" s="62"/>
    </row>
    <row r="17" spans="1:25" s="14" customFormat="1" ht="13.8" customHeight="1">
      <c r="A17" s="23"/>
      <c r="B17" s="24">
        <f t="shared" si="3"/>
        <v>11</v>
      </c>
      <c r="C17" s="28" t="s">
        <v>43</v>
      </c>
      <c r="D17" s="28" t="s">
        <v>29</v>
      </c>
      <c r="E17" s="28" t="s">
        <v>26</v>
      </c>
      <c r="F17" s="27">
        <f>31000+5000+6000</f>
        <v>42000</v>
      </c>
      <c r="G17" s="27">
        <f>42</f>
        <v>42</v>
      </c>
      <c r="H17" s="27">
        <f t="shared" si="5"/>
        <v>10836</v>
      </c>
      <c r="I17" s="27">
        <v>3000</v>
      </c>
      <c r="J17" s="27">
        <v>50</v>
      </c>
      <c r="K17" s="26">
        <f t="shared" si="0"/>
        <v>8630.1369863013697</v>
      </c>
      <c r="L17" s="27"/>
      <c r="M17" s="27">
        <f>F17*12/365*L17</f>
        <v>0</v>
      </c>
      <c r="N17" s="27">
        <v>0</v>
      </c>
      <c r="O17" s="44">
        <v>1</v>
      </c>
      <c r="P17" s="27">
        <v>0</v>
      </c>
      <c r="Q17" s="53">
        <f t="shared" si="1"/>
        <v>-1380.8219178082193</v>
      </c>
      <c r="R17" s="59">
        <f t="shared" si="2"/>
        <v>0</v>
      </c>
      <c r="S17" s="59">
        <v>-10000</v>
      </c>
      <c r="T17" s="55">
        <f t="shared" si="6"/>
        <v>53085.315068493146</v>
      </c>
      <c r="U17" s="60" t="s">
        <v>27</v>
      </c>
      <c r="V17" s="61"/>
      <c r="W17" s="62"/>
    </row>
    <row r="18" spans="1:25" s="14" customFormat="1" ht="13.8" customHeight="1">
      <c r="A18" s="23"/>
      <c r="B18" s="24">
        <f t="shared" si="3"/>
        <v>12</v>
      </c>
      <c r="C18" s="28" t="s">
        <v>44</v>
      </c>
      <c r="D18" s="28" t="s">
        <v>29</v>
      </c>
      <c r="E18" s="28" t="s">
        <v>45</v>
      </c>
      <c r="F18" s="27">
        <f>26000-2000+2500+2500</f>
        <v>29000</v>
      </c>
      <c r="G18" s="27">
        <v>25</v>
      </c>
      <c r="H18" s="27">
        <f t="shared" si="5"/>
        <v>6450</v>
      </c>
      <c r="I18" s="27">
        <v>0</v>
      </c>
      <c r="J18" s="27"/>
      <c r="K18" s="26">
        <f t="shared" si="0"/>
        <v>0</v>
      </c>
      <c r="L18" s="27"/>
      <c r="M18" s="27">
        <f>F18*12/365*L18*2</f>
        <v>0</v>
      </c>
      <c r="N18" s="27">
        <v>0</v>
      </c>
      <c r="O18" s="44"/>
      <c r="P18" s="27">
        <v>0</v>
      </c>
      <c r="Q18" s="53">
        <f t="shared" si="1"/>
        <v>0</v>
      </c>
      <c r="R18" s="59">
        <f t="shared" si="2"/>
        <v>0</v>
      </c>
      <c r="S18" s="59">
        <v>0</v>
      </c>
      <c r="T18" s="55">
        <f t="shared" si="6"/>
        <v>35450</v>
      </c>
      <c r="U18" s="60" t="s">
        <v>27</v>
      </c>
      <c r="V18" s="61"/>
      <c r="W18" s="62"/>
    </row>
    <row r="19" spans="1:25" s="14" customFormat="1" ht="15" customHeight="1">
      <c r="A19" s="23"/>
      <c r="B19" s="24">
        <f t="shared" si="3"/>
        <v>13</v>
      </c>
      <c r="C19" s="29" t="s">
        <v>46</v>
      </c>
      <c r="D19" s="28" t="s">
        <v>29</v>
      </c>
      <c r="E19" s="28" t="s">
        <v>45</v>
      </c>
      <c r="F19" s="27">
        <f>26000-2000+2500+2500</f>
        <v>29000</v>
      </c>
      <c r="G19" s="27">
        <v>25</v>
      </c>
      <c r="H19" s="27">
        <f t="shared" si="5"/>
        <v>6450</v>
      </c>
      <c r="I19" s="27">
        <v>0</v>
      </c>
      <c r="J19" s="27"/>
      <c r="K19" s="26">
        <f t="shared" si="0"/>
        <v>0</v>
      </c>
      <c r="L19" s="27"/>
      <c r="M19" s="27">
        <f>F19*12/365*L19*2</f>
        <v>0</v>
      </c>
      <c r="N19" s="27">
        <v>0</v>
      </c>
      <c r="O19" s="44"/>
      <c r="P19" s="27">
        <v>0</v>
      </c>
      <c r="Q19" s="53">
        <f t="shared" si="1"/>
        <v>0</v>
      </c>
      <c r="R19" s="59">
        <f t="shared" si="2"/>
        <v>0</v>
      </c>
      <c r="S19" s="59">
        <v>0</v>
      </c>
      <c r="T19" s="55">
        <f t="shared" si="6"/>
        <v>35450</v>
      </c>
      <c r="U19" s="60" t="s">
        <v>27</v>
      </c>
      <c r="V19" s="61"/>
      <c r="W19" s="62"/>
    </row>
    <row r="20" spans="1:25" s="14" customFormat="1" ht="13.8" customHeight="1">
      <c r="A20" s="23"/>
      <c r="B20" s="24">
        <f t="shared" si="3"/>
        <v>14</v>
      </c>
      <c r="C20" s="28" t="s">
        <v>47</v>
      </c>
      <c r="D20" s="28" t="s">
        <v>29</v>
      </c>
      <c r="E20" s="28" t="s">
        <v>45</v>
      </c>
      <c r="F20" s="27">
        <f>26000-2000+2500+3000+4000+5000</f>
        <v>38500</v>
      </c>
      <c r="G20" s="27">
        <v>25</v>
      </c>
      <c r="H20" s="27">
        <f t="shared" si="5"/>
        <v>6450</v>
      </c>
      <c r="I20" s="27">
        <v>10000</v>
      </c>
      <c r="J20" s="27"/>
      <c r="K20" s="26">
        <f t="shared" si="0"/>
        <v>0</v>
      </c>
      <c r="L20" s="27">
        <v>3</v>
      </c>
      <c r="M20" s="27">
        <f>F20*12/365*L20*2</f>
        <v>7594.5205479452052</v>
      </c>
      <c r="N20" s="27">
        <v>0</v>
      </c>
      <c r="O20" s="44"/>
      <c r="P20" s="27">
        <v>0</v>
      </c>
      <c r="Q20" s="53">
        <f t="shared" si="1"/>
        <v>0</v>
      </c>
      <c r="R20" s="59">
        <f t="shared" si="2"/>
        <v>0</v>
      </c>
      <c r="S20" s="59">
        <v>0</v>
      </c>
      <c r="T20" s="55">
        <f t="shared" si="6"/>
        <v>62544.520547945205</v>
      </c>
      <c r="U20" s="60" t="s">
        <v>27</v>
      </c>
      <c r="V20" s="61"/>
      <c r="W20" s="62"/>
    </row>
    <row r="21" spans="1:25" s="15" customFormat="1">
      <c r="A21" s="23"/>
      <c r="B21" s="24">
        <f t="shared" si="3"/>
        <v>15</v>
      </c>
      <c r="C21" s="30" t="s">
        <v>48</v>
      </c>
      <c r="D21" s="30" t="s">
        <v>29</v>
      </c>
      <c r="E21" s="30" t="s">
        <v>49</v>
      </c>
      <c r="F21" s="31">
        <v>40000</v>
      </c>
      <c r="G21" s="31">
        <v>40</v>
      </c>
      <c r="H21" s="31">
        <f t="shared" si="5"/>
        <v>10320</v>
      </c>
      <c r="I21" s="31">
        <v>0</v>
      </c>
      <c r="J21" s="31">
        <v>41</v>
      </c>
      <c r="K21" s="31">
        <f t="shared" si="0"/>
        <v>6739.7260273972597</v>
      </c>
      <c r="L21" s="31"/>
      <c r="M21" s="31">
        <f t="shared" ref="M21:M26" si="7">F21*12/365*L21</f>
        <v>0</v>
      </c>
      <c r="N21" s="31">
        <v>0</v>
      </c>
      <c r="O21" s="45"/>
      <c r="P21" s="31">
        <v>0</v>
      </c>
      <c r="Q21" s="63">
        <f t="shared" si="1"/>
        <v>0</v>
      </c>
      <c r="R21" s="64">
        <f t="shared" si="2"/>
        <v>0</v>
      </c>
      <c r="S21" s="64">
        <v>-5000</v>
      </c>
      <c r="T21" s="55">
        <f t="shared" si="6"/>
        <v>52059.726027397257</v>
      </c>
      <c r="U21" s="65" t="s">
        <v>27</v>
      </c>
      <c r="V21" s="66"/>
      <c r="W21" s="58"/>
    </row>
    <row r="22" spans="1:25" s="14" customFormat="1">
      <c r="A22" s="23"/>
      <c r="B22" s="24">
        <f t="shared" si="3"/>
        <v>16</v>
      </c>
      <c r="C22" s="28" t="s">
        <v>50</v>
      </c>
      <c r="D22" s="28" t="s">
        <v>29</v>
      </c>
      <c r="E22" s="30" t="s">
        <v>49</v>
      </c>
      <c r="F22" s="27">
        <f>33000+4000+5000</f>
        <v>42000</v>
      </c>
      <c r="G22" s="27">
        <v>0</v>
      </c>
      <c r="H22" s="27">
        <f>4000+1000</f>
        <v>5000</v>
      </c>
      <c r="I22" s="27">
        <v>0</v>
      </c>
      <c r="J22" s="27">
        <v>70.5</v>
      </c>
      <c r="K22" s="26">
        <f>F22*12/365/8*J22*2</f>
        <v>24336.986301369863</v>
      </c>
      <c r="L22" s="27"/>
      <c r="M22" s="27">
        <f>F22*12/365*L22*2</f>
        <v>0</v>
      </c>
      <c r="N22" s="27">
        <v>0</v>
      </c>
      <c r="O22" s="44"/>
      <c r="P22" s="27">
        <v>0</v>
      </c>
      <c r="Q22" s="53">
        <f t="shared" si="1"/>
        <v>0</v>
      </c>
      <c r="R22" s="59">
        <f t="shared" si="2"/>
        <v>0</v>
      </c>
      <c r="S22" s="59">
        <v>-2000</v>
      </c>
      <c r="T22" s="55">
        <f t="shared" si="6"/>
        <v>69336.986301369863</v>
      </c>
      <c r="U22" s="60" t="s">
        <v>27</v>
      </c>
      <c r="V22" s="61"/>
      <c r="W22" s="62"/>
    </row>
    <row r="23" spans="1:25" s="14" customFormat="1">
      <c r="A23" s="23"/>
      <c r="B23" s="24">
        <f t="shared" si="3"/>
        <v>17</v>
      </c>
      <c r="C23" s="28" t="s">
        <v>51</v>
      </c>
      <c r="D23" s="28" t="s">
        <v>29</v>
      </c>
      <c r="E23" s="30" t="s">
        <v>49</v>
      </c>
      <c r="F23" s="27">
        <f>22000+3000+5000</f>
        <v>30000</v>
      </c>
      <c r="G23" s="27">
        <v>0</v>
      </c>
      <c r="H23" s="27">
        <v>0</v>
      </c>
      <c r="I23" s="27">
        <v>0</v>
      </c>
      <c r="J23" s="27">
        <v>44</v>
      </c>
      <c r="K23" s="26">
        <f t="shared" ref="K23:K39" si="8">F23*12/365/8*J23</f>
        <v>5424.6575342465758</v>
      </c>
      <c r="L23" s="27"/>
      <c r="M23" s="27">
        <f t="shared" si="7"/>
        <v>0</v>
      </c>
      <c r="N23" s="27">
        <v>0</v>
      </c>
      <c r="O23" s="44">
        <v>2</v>
      </c>
      <c r="P23" s="27">
        <v>0</v>
      </c>
      <c r="Q23" s="53">
        <f t="shared" si="1"/>
        <v>-1972.6027397260275</v>
      </c>
      <c r="R23" s="59">
        <v>0</v>
      </c>
      <c r="S23" s="59">
        <v>0</v>
      </c>
      <c r="T23" s="55">
        <f t="shared" si="6"/>
        <v>33452.054794520547</v>
      </c>
      <c r="U23" s="60" t="s">
        <v>32</v>
      </c>
      <c r="V23" s="61"/>
      <c r="W23" s="62"/>
    </row>
    <row r="24" spans="1:25" s="14" customFormat="1" ht="13.8" customHeight="1">
      <c r="A24" s="23"/>
      <c r="B24" s="24">
        <f t="shared" si="3"/>
        <v>18</v>
      </c>
      <c r="C24" s="28" t="s">
        <v>52</v>
      </c>
      <c r="D24" s="28" t="s">
        <v>53</v>
      </c>
      <c r="E24" s="28" t="s">
        <v>26</v>
      </c>
      <c r="F24" s="27">
        <f>25000+5000</f>
        <v>30000</v>
      </c>
      <c r="G24" s="27">
        <v>0</v>
      </c>
      <c r="H24" s="27">
        <v>0</v>
      </c>
      <c r="I24" s="27">
        <v>7500</v>
      </c>
      <c r="J24" s="27"/>
      <c r="K24" s="26">
        <f t="shared" si="8"/>
        <v>0</v>
      </c>
      <c r="L24" s="27"/>
      <c r="M24" s="27">
        <f t="shared" si="7"/>
        <v>0</v>
      </c>
      <c r="N24" s="27">
        <v>0</v>
      </c>
      <c r="O24" s="44"/>
      <c r="P24" s="27">
        <v>0</v>
      </c>
      <c r="Q24" s="53">
        <f t="shared" si="1"/>
        <v>0</v>
      </c>
      <c r="R24" s="59">
        <v>0</v>
      </c>
      <c r="S24" s="59">
        <v>-2500</v>
      </c>
      <c r="T24" s="55">
        <f t="shared" si="6"/>
        <v>35000</v>
      </c>
      <c r="U24" s="60" t="s">
        <v>54</v>
      </c>
      <c r="V24" s="61"/>
      <c r="W24" s="62"/>
    </row>
    <row r="25" spans="1:25" s="14" customFormat="1" ht="13.8" customHeight="1">
      <c r="A25" s="23"/>
      <c r="B25" s="24">
        <f t="shared" si="3"/>
        <v>19</v>
      </c>
      <c r="C25" s="28" t="s">
        <v>55</v>
      </c>
      <c r="D25" s="28" t="s">
        <v>53</v>
      </c>
      <c r="E25" s="28" t="s">
        <v>26</v>
      </c>
      <c r="F25" s="27">
        <v>28000</v>
      </c>
      <c r="G25" s="27"/>
      <c r="H25" s="27">
        <v>0</v>
      </c>
      <c r="I25" s="27">
        <v>7500</v>
      </c>
      <c r="J25" s="27"/>
      <c r="K25" s="26">
        <f t="shared" si="8"/>
        <v>0</v>
      </c>
      <c r="L25" s="27"/>
      <c r="M25" s="27">
        <f t="shared" si="7"/>
        <v>0</v>
      </c>
      <c r="N25" s="27">
        <v>0</v>
      </c>
      <c r="O25" s="44"/>
      <c r="P25" s="27">
        <v>0</v>
      </c>
      <c r="Q25" s="53">
        <f t="shared" si="1"/>
        <v>0</v>
      </c>
      <c r="R25" s="59">
        <v>0</v>
      </c>
      <c r="S25" s="59">
        <v>-2500</v>
      </c>
      <c r="T25" s="55">
        <f t="shared" si="6"/>
        <v>33000</v>
      </c>
      <c r="U25" s="60" t="s">
        <v>54</v>
      </c>
      <c r="V25" s="61"/>
      <c r="W25" s="62"/>
    </row>
    <row r="26" spans="1:25" s="14" customFormat="1" ht="13.8" customHeight="1">
      <c r="A26" s="23"/>
      <c r="B26" s="24">
        <f t="shared" si="3"/>
        <v>20</v>
      </c>
      <c r="C26" s="28" t="s">
        <v>56</v>
      </c>
      <c r="D26" s="28" t="s">
        <v>57</v>
      </c>
      <c r="E26" s="28" t="s">
        <v>26</v>
      </c>
      <c r="F26" s="27">
        <f>25000-4000+2000+3000+4000</f>
        <v>30000</v>
      </c>
      <c r="G26" s="27">
        <v>0</v>
      </c>
      <c r="H26" s="27">
        <v>4000</v>
      </c>
      <c r="I26" s="27">
        <v>0</v>
      </c>
      <c r="J26" s="27"/>
      <c r="K26" s="26">
        <f t="shared" si="8"/>
        <v>0</v>
      </c>
      <c r="L26" s="27"/>
      <c r="M26" s="27">
        <f t="shared" si="7"/>
        <v>0</v>
      </c>
      <c r="N26" s="27">
        <v>0</v>
      </c>
      <c r="O26" s="44"/>
      <c r="P26" s="27">
        <v>0</v>
      </c>
      <c r="Q26" s="53">
        <f t="shared" si="1"/>
        <v>0</v>
      </c>
      <c r="R26" s="59">
        <f>-F26*12/365*P26/2</f>
        <v>0</v>
      </c>
      <c r="S26" s="59">
        <v>0</v>
      </c>
      <c r="T26" s="55">
        <f t="shared" si="6"/>
        <v>34000</v>
      </c>
      <c r="U26" s="60" t="s">
        <v>36</v>
      </c>
      <c r="V26" s="61"/>
      <c r="W26" s="62"/>
    </row>
    <row r="27" spans="1:25" s="14" customFormat="1" ht="13.8" customHeight="1">
      <c r="A27" s="23"/>
      <c r="B27" s="24">
        <f t="shared" si="3"/>
        <v>21</v>
      </c>
      <c r="C27" s="28" t="s">
        <v>58</v>
      </c>
      <c r="D27" s="28" t="s">
        <v>29</v>
      </c>
      <c r="E27" s="28" t="s">
        <v>45</v>
      </c>
      <c r="F27" s="27">
        <f>15500+2500+5000</f>
        <v>23000</v>
      </c>
      <c r="G27" s="27">
        <v>0</v>
      </c>
      <c r="H27" s="27">
        <v>4000</v>
      </c>
      <c r="I27" s="27">
        <v>0</v>
      </c>
      <c r="J27" s="27"/>
      <c r="K27" s="26">
        <f t="shared" si="8"/>
        <v>0</v>
      </c>
      <c r="L27" s="27"/>
      <c r="M27" s="27">
        <f>F27*12/365*L27*2</f>
        <v>0</v>
      </c>
      <c r="N27" s="27">
        <v>0</v>
      </c>
      <c r="O27" s="44"/>
      <c r="P27" s="27">
        <v>0</v>
      </c>
      <c r="Q27" s="53">
        <f t="shared" si="1"/>
        <v>0</v>
      </c>
      <c r="R27" s="59">
        <f>-F27*12/365*P27/2</f>
        <v>0</v>
      </c>
      <c r="S27" s="59"/>
      <c r="T27" s="55">
        <f t="shared" si="6"/>
        <v>27000</v>
      </c>
      <c r="U27" s="60" t="s">
        <v>32</v>
      </c>
      <c r="V27" s="61"/>
      <c r="W27" s="62"/>
    </row>
    <row r="28" spans="1:25" s="14" customFormat="1" ht="13.8" customHeight="1">
      <c r="A28" s="23"/>
      <c r="B28" s="24">
        <f t="shared" si="3"/>
        <v>22</v>
      </c>
      <c r="C28" s="28" t="s">
        <v>59</v>
      </c>
      <c r="D28" s="28" t="s">
        <v>29</v>
      </c>
      <c r="E28" s="28" t="s">
        <v>45</v>
      </c>
      <c r="F28" s="27">
        <f>26000-2000+2500+1000+4000+5000</f>
        <v>36500</v>
      </c>
      <c r="G28" s="27">
        <v>25</v>
      </c>
      <c r="H28" s="27">
        <f>G28*$J$5</f>
        <v>6450</v>
      </c>
      <c r="I28" s="27">
        <v>0</v>
      </c>
      <c r="J28" s="27"/>
      <c r="K28" s="26">
        <f t="shared" si="8"/>
        <v>0</v>
      </c>
      <c r="L28" s="27">
        <v>3</v>
      </c>
      <c r="M28" s="27">
        <f>F28*12/365*L28*2</f>
        <v>7200</v>
      </c>
      <c r="N28" s="27">
        <v>0</v>
      </c>
      <c r="O28" s="44"/>
      <c r="P28" s="27">
        <v>0</v>
      </c>
      <c r="Q28" s="53">
        <f t="shared" si="1"/>
        <v>0</v>
      </c>
      <c r="R28" s="59">
        <f>-F28*12/365*P28/2</f>
        <v>0</v>
      </c>
      <c r="S28" s="59">
        <v>0</v>
      </c>
      <c r="T28" s="55">
        <f t="shared" si="6"/>
        <v>50150</v>
      </c>
      <c r="U28" s="60" t="s">
        <v>32</v>
      </c>
      <c r="V28" s="61"/>
      <c r="W28" s="62"/>
    </row>
    <row r="29" spans="1:25" ht="13.8" customHeight="1">
      <c r="A29" s="23"/>
      <c r="B29" s="24">
        <f t="shared" si="3"/>
        <v>23</v>
      </c>
      <c r="C29" s="25" t="s">
        <v>60</v>
      </c>
      <c r="D29" s="25" t="s">
        <v>29</v>
      </c>
      <c r="E29" s="25" t="s">
        <v>61</v>
      </c>
      <c r="F29" s="26">
        <v>27000</v>
      </c>
      <c r="G29" s="26">
        <v>0</v>
      </c>
      <c r="H29" s="26">
        <v>3000</v>
      </c>
      <c r="I29" s="26">
        <v>0</v>
      </c>
      <c r="J29" s="26">
        <v>4</v>
      </c>
      <c r="K29" s="26">
        <f t="shared" si="8"/>
        <v>443.83561643835617</v>
      </c>
      <c r="L29" s="26"/>
      <c r="M29" s="26">
        <f t="shared" ref="M29:M44" si="9">F29*12/365*L29</f>
        <v>0</v>
      </c>
      <c r="N29" s="26">
        <v>0</v>
      </c>
      <c r="O29" s="43"/>
      <c r="P29" s="26">
        <v>0</v>
      </c>
      <c r="Q29" s="53">
        <f t="shared" si="1"/>
        <v>0</v>
      </c>
      <c r="R29" s="54">
        <f>-F29*12/365*P29/2</f>
        <v>0</v>
      </c>
      <c r="S29" s="54">
        <v>0</v>
      </c>
      <c r="T29" s="55">
        <f t="shared" si="6"/>
        <v>30443.835616438355</v>
      </c>
      <c r="U29" s="67" t="s">
        <v>36</v>
      </c>
      <c r="V29" s="57"/>
      <c r="W29" s="58"/>
      <c r="Y29" s="16"/>
    </row>
    <row r="30" spans="1:25" ht="13.8" customHeight="1">
      <c r="A30" s="23"/>
      <c r="B30" s="24">
        <f t="shared" si="3"/>
        <v>24</v>
      </c>
      <c r="C30" s="25" t="s">
        <v>62</v>
      </c>
      <c r="D30" s="25" t="s">
        <v>63</v>
      </c>
      <c r="E30" s="25" t="s">
        <v>26</v>
      </c>
      <c r="F30" s="26">
        <f>12000+2000</f>
        <v>14000</v>
      </c>
      <c r="G30" s="26">
        <v>0</v>
      </c>
      <c r="H30" s="26">
        <v>0</v>
      </c>
      <c r="I30" s="26">
        <v>0</v>
      </c>
      <c r="J30" s="26"/>
      <c r="K30" s="26">
        <f t="shared" si="8"/>
        <v>0</v>
      </c>
      <c r="L30" s="26"/>
      <c r="M30" s="26">
        <f t="shared" si="9"/>
        <v>0</v>
      </c>
      <c r="N30" s="26">
        <v>0</v>
      </c>
      <c r="O30" s="43"/>
      <c r="P30" s="26">
        <v>0</v>
      </c>
      <c r="Q30" s="53">
        <f t="shared" si="1"/>
        <v>0</v>
      </c>
      <c r="R30" s="54">
        <v>0</v>
      </c>
      <c r="S30" s="54"/>
      <c r="T30" s="55"/>
      <c r="U30" s="67" t="s">
        <v>36</v>
      </c>
      <c r="V30" s="57"/>
      <c r="W30" s="58"/>
      <c r="Y30" s="16"/>
    </row>
    <row r="31" spans="1:25" ht="13.8" customHeight="1">
      <c r="A31" s="23"/>
      <c r="B31" s="24">
        <f t="shared" si="3"/>
        <v>25</v>
      </c>
      <c r="C31" s="25" t="s">
        <v>64</v>
      </c>
      <c r="D31" s="25" t="s">
        <v>63</v>
      </c>
      <c r="E31" s="25" t="s">
        <v>26</v>
      </c>
      <c r="F31" s="26">
        <f>20500+2500</f>
        <v>23000</v>
      </c>
      <c r="G31" s="26">
        <v>0</v>
      </c>
      <c r="H31" s="26">
        <v>0</v>
      </c>
      <c r="I31" s="26">
        <v>0</v>
      </c>
      <c r="J31" s="26"/>
      <c r="K31" s="26">
        <f t="shared" si="8"/>
        <v>0</v>
      </c>
      <c r="L31" s="26"/>
      <c r="M31" s="26">
        <f t="shared" si="9"/>
        <v>0</v>
      </c>
      <c r="N31" s="26">
        <v>0</v>
      </c>
      <c r="O31" s="43">
        <v>1</v>
      </c>
      <c r="P31" s="26">
        <v>0</v>
      </c>
      <c r="Q31" s="53">
        <f t="shared" si="1"/>
        <v>-756.16438356164383</v>
      </c>
      <c r="R31" s="54">
        <v>0</v>
      </c>
      <c r="S31" s="54">
        <v>0</v>
      </c>
      <c r="T31" s="55">
        <f t="shared" si="6"/>
        <v>22243.835616438355</v>
      </c>
      <c r="U31" s="56" t="s">
        <v>27</v>
      </c>
      <c r="V31" s="57"/>
      <c r="W31" s="58"/>
      <c r="Y31" s="16"/>
    </row>
    <row r="32" spans="1:25" ht="13.8" customHeight="1">
      <c r="A32" s="23"/>
      <c r="B32" s="24">
        <f t="shared" si="3"/>
        <v>26</v>
      </c>
      <c r="C32" s="25" t="s">
        <v>65</v>
      </c>
      <c r="D32" s="25" t="s">
        <v>66</v>
      </c>
      <c r="E32" s="25" t="s">
        <v>26</v>
      </c>
      <c r="F32" s="26">
        <f>26000+4000+6000+4000</f>
        <v>40000</v>
      </c>
      <c r="G32" s="26">
        <v>0</v>
      </c>
      <c r="H32" s="26">
        <f>4000+3000</f>
        <v>7000</v>
      </c>
      <c r="I32" s="26">
        <v>3000</v>
      </c>
      <c r="J32" s="26"/>
      <c r="K32" s="26">
        <f t="shared" si="8"/>
        <v>0</v>
      </c>
      <c r="L32" s="26"/>
      <c r="M32" s="26">
        <f t="shared" si="9"/>
        <v>0</v>
      </c>
      <c r="N32" s="26">
        <v>0</v>
      </c>
      <c r="O32" s="43">
        <v>1</v>
      </c>
      <c r="P32" s="26">
        <v>0</v>
      </c>
      <c r="Q32" s="53">
        <f t="shared" si="1"/>
        <v>-1315.0684931506848</v>
      </c>
      <c r="R32" s="54">
        <f>-F32*12/365*P32/2</f>
        <v>0</v>
      </c>
      <c r="S32" s="54"/>
      <c r="T32" s="55">
        <f t="shared" si="6"/>
        <v>48684.931506849316</v>
      </c>
      <c r="U32" s="56" t="s">
        <v>27</v>
      </c>
      <c r="V32" s="57"/>
      <c r="W32" s="58"/>
      <c r="Y32" s="16"/>
    </row>
    <row r="33" spans="1:25" ht="13.8" customHeight="1">
      <c r="A33" s="23"/>
      <c r="B33" s="24">
        <f t="shared" si="3"/>
        <v>27</v>
      </c>
      <c r="C33" s="25" t="s">
        <v>67</v>
      </c>
      <c r="D33" s="25" t="s">
        <v>29</v>
      </c>
      <c r="E33" s="25" t="s">
        <v>68</v>
      </c>
      <c r="F33" s="26">
        <f>68000+7000</f>
        <v>75000</v>
      </c>
      <c r="G33" s="26">
        <v>0</v>
      </c>
      <c r="H33" s="26">
        <f>5000+2000</f>
        <v>7000</v>
      </c>
      <c r="I33" s="26">
        <v>0</v>
      </c>
      <c r="J33" s="26"/>
      <c r="K33" s="26">
        <f t="shared" si="8"/>
        <v>0</v>
      </c>
      <c r="L33" s="26"/>
      <c r="M33" s="26">
        <f t="shared" si="9"/>
        <v>0</v>
      </c>
      <c r="N33" s="26">
        <v>0</v>
      </c>
      <c r="O33" s="43"/>
      <c r="P33" s="26">
        <v>0</v>
      </c>
      <c r="Q33" s="53">
        <f t="shared" si="1"/>
        <v>0</v>
      </c>
      <c r="R33" s="54">
        <v>0</v>
      </c>
      <c r="S33" s="54">
        <v>-20000</v>
      </c>
      <c r="T33" s="55">
        <f t="shared" si="6"/>
        <v>62000</v>
      </c>
      <c r="U33" s="56" t="s">
        <v>32</v>
      </c>
      <c r="V33" s="57"/>
      <c r="W33" s="58"/>
      <c r="Y33" s="16"/>
    </row>
    <row r="34" spans="1:25" s="15" customFormat="1" ht="13.8" customHeight="1">
      <c r="A34" s="23"/>
      <c r="B34" s="24">
        <f t="shared" si="3"/>
        <v>28</v>
      </c>
      <c r="C34" s="30" t="s">
        <v>69</v>
      </c>
      <c r="D34" s="30" t="s">
        <v>29</v>
      </c>
      <c r="E34" s="30" t="s">
        <v>26</v>
      </c>
      <c r="F34" s="31">
        <v>25000</v>
      </c>
      <c r="G34" s="31">
        <v>0</v>
      </c>
      <c r="H34" s="31">
        <v>3000</v>
      </c>
      <c r="I34" s="31">
        <v>0</v>
      </c>
      <c r="J34" s="31"/>
      <c r="K34" s="26">
        <f t="shared" si="8"/>
        <v>0</v>
      </c>
      <c r="L34" s="31"/>
      <c r="M34" s="31">
        <f t="shared" si="9"/>
        <v>0</v>
      </c>
      <c r="N34" s="31">
        <v>0</v>
      </c>
      <c r="O34" s="45">
        <v>0</v>
      </c>
      <c r="P34" s="31">
        <v>0</v>
      </c>
      <c r="Q34" s="63">
        <f t="shared" si="1"/>
        <v>0</v>
      </c>
      <c r="R34" s="64">
        <v>0</v>
      </c>
      <c r="S34" s="64">
        <v>0</v>
      </c>
      <c r="T34" s="55">
        <f t="shared" si="6"/>
        <v>28000</v>
      </c>
      <c r="U34" s="68" t="s">
        <v>36</v>
      </c>
      <c r="V34" s="66"/>
      <c r="W34" s="58"/>
    </row>
    <row r="35" spans="1:25" ht="13.8" customHeight="1">
      <c r="A35" s="23"/>
      <c r="B35" s="24">
        <f t="shared" si="3"/>
        <v>29</v>
      </c>
      <c r="C35" s="25" t="s">
        <v>70</v>
      </c>
      <c r="D35" s="25" t="s">
        <v>29</v>
      </c>
      <c r="E35" s="25" t="s">
        <v>61</v>
      </c>
      <c r="F35" s="26">
        <v>33000</v>
      </c>
      <c r="G35" s="26">
        <v>0</v>
      </c>
      <c r="H35" s="26">
        <v>0</v>
      </c>
      <c r="I35" s="26">
        <v>0</v>
      </c>
      <c r="J35" s="26"/>
      <c r="K35" s="26">
        <f t="shared" si="8"/>
        <v>0</v>
      </c>
      <c r="L35" s="26"/>
      <c r="M35" s="26">
        <f t="shared" si="9"/>
        <v>0</v>
      </c>
      <c r="N35" s="26">
        <v>0</v>
      </c>
      <c r="O35" s="43"/>
      <c r="P35" s="26">
        <v>0</v>
      </c>
      <c r="Q35" s="53">
        <f t="shared" si="1"/>
        <v>0</v>
      </c>
      <c r="R35" s="54">
        <v>0</v>
      </c>
      <c r="S35" s="54">
        <v>0</v>
      </c>
      <c r="T35" s="55">
        <f t="shared" si="6"/>
        <v>33000</v>
      </c>
      <c r="U35" s="67" t="s">
        <v>36</v>
      </c>
      <c r="V35" s="57"/>
      <c r="W35" s="58"/>
      <c r="Y35" s="16"/>
    </row>
    <row r="36" spans="1:25" s="15" customFormat="1" ht="13.8" customHeight="1">
      <c r="A36" s="23"/>
      <c r="B36" s="24">
        <f t="shared" si="3"/>
        <v>30</v>
      </c>
      <c r="C36" s="30" t="s">
        <v>71</v>
      </c>
      <c r="D36" s="30" t="s">
        <v>29</v>
      </c>
      <c r="E36" s="25" t="s">
        <v>61</v>
      </c>
      <c r="F36" s="31">
        <v>33000</v>
      </c>
      <c r="G36" s="31">
        <v>0</v>
      </c>
      <c r="H36" s="31">
        <v>0</v>
      </c>
      <c r="I36" s="31">
        <v>0</v>
      </c>
      <c r="J36" s="31"/>
      <c r="K36" s="26">
        <f t="shared" si="8"/>
        <v>0</v>
      </c>
      <c r="L36" s="31"/>
      <c r="M36" s="31">
        <f t="shared" si="9"/>
        <v>0</v>
      </c>
      <c r="N36" s="31">
        <v>0</v>
      </c>
      <c r="O36" s="45"/>
      <c r="P36" s="31">
        <v>0</v>
      </c>
      <c r="Q36" s="63">
        <f t="shared" si="1"/>
        <v>0</v>
      </c>
      <c r="R36" s="64">
        <v>0</v>
      </c>
      <c r="S36" s="64">
        <v>0</v>
      </c>
      <c r="T36" s="55">
        <f t="shared" si="6"/>
        <v>33000</v>
      </c>
      <c r="U36" s="68" t="s">
        <v>36</v>
      </c>
      <c r="V36" s="66"/>
      <c r="W36" s="58"/>
    </row>
    <row r="37" spans="1:25" s="15" customFormat="1" ht="13.8" customHeight="1">
      <c r="A37" s="23"/>
      <c r="B37" s="24">
        <f t="shared" si="3"/>
        <v>31</v>
      </c>
      <c r="C37" s="30" t="s">
        <v>72</v>
      </c>
      <c r="D37" s="30" t="s">
        <v>29</v>
      </c>
      <c r="E37" s="25" t="s">
        <v>61</v>
      </c>
      <c r="F37" s="31">
        <v>33000</v>
      </c>
      <c r="G37" s="31">
        <v>0</v>
      </c>
      <c r="H37" s="31">
        <v>0</v>
      </c>
      <c r="I37" s="31">
        <v>0</v>
      </c>
      <c r="J37" s="31"/>
      <c r="K37" s="26">
        <f t="shared" si="8"/>
        <v>0</v>
      </c>
      <c r="L37" s="31"/>
      <c r="M37" s="31">
        <f t="shared" si="9"/>
        <v>0</v>
      </c>
      <c r="N37" s="31">
        <v>0</v>
      </c>
      <c r="O37" s="45"/>
      <c r="P37" s="31">
        <v>0</v>
      </c>
      <c r="Q37" s="63">
        <f t="shared" si="1"/>
        <v>0</v>
      </c>
      <c r="R37" s="64">
        <v>0</v>
      </c>
      <c r="S37" s="64">
        <v>0</v>
      </c>
      <c r="T37" s="55">
        <f t="shared" si="6"/>
        <v>33000</v>
      </c>
      <c r="U37" s="68" t="s">
        <v>36</v>
      </c>
      <c r="V37" s="66"/>
      <c r="W37" s="58"/>
    </row>
    <row r="38" spans="1:25" ht="13.8" customHeight="1">
      <c r="A38" s="23"/>
      <c r="B38" s="24">
        <f t="shared" si="3"/>
        <v>32</v>
      </c>
      <c r="C38" s="25" t="s">
        <v>73</v>
      </c>
      <c r="D38" s="25" t="s">
        <v>29</v>
      </c>
      <c r="E38" s="25" t="s">
        <v>26</v>
      </c>
      <c r="F38" s="26">
        <f>34000+1000</f>
        <v>35000</v>
      </c>
      <c r="G38" s="26">
        <v>0</v>
      </c>
      <c r="H38" s="26">
        <v>0</v>
      </c>
      <c r="I38" s="26">
        <v>0</v>
      </c>
      <c r="J38" s="26">
        <v>12</v>
      </c>
      <c r="K38" s="26">
        <f t="shared" si="8"/>
        <v>1726.027397260274</v>
      </c>
      <c r="L38" s="26"/>
      <c r="M38" s="26">
        <f t="shared" si="9"/>
        <v>0</v>
      </c>
      <c r="N38" s="26">
        <v>0</v>
      </c>
      <c r="O38" s="43">
        <v>1</v>
      </c>
      <c r="P38" s="26">
        <v>0</v>
      </c>
      <c r="Q38" s="53">
        <f t="shared" si="1"/>
        <v>-1150.6849315068494</v>
      </c>
      <c r="R38" s="54">
        <v>0</v>
      </c>
      <c r="S38" s="54">
        <v>0</v>
      </c>
      <c r="T38" s="55">
        <f t="shared" si="6"/>
        <v>35575.342465753427</v>
      </c>
      <c r="U38" s="67" t="s">
        <v>36</v>
      </c>
      <c r="V38" s="57"/>
      <c r="W38" s="58"/>
      <c r="Y38" s="16"/>
    </row>
    <row r="39" spans="1:25" ht="13.8" customHeight="1">
      <c r="A39" s="23"/>
      <c r="B39" s="24">
        <f t="shared" si="3"/>
        <v>33</v>
      </c>
      <c r="C39" s="25" t="s">
        <v>74</v>
      </c>
      <c r="D39" s="25" t="s">
        <v>75</v>
      </c>
      <c r="E39" s="25" t="s">
        <v>61</v>
      </c>
      <c r="F39" s="26">
        <v>33000</v>
      </c>
      <c r="G39" s="26">
        <v>0</v>
      </c>
      <c r="H39" s="26">
        <v>0</v>
      </c>
      <c r="I39" s="26">
        <v>0</v>
      </c>
      <c r="J39" s="26">
        <v>4</v>
      </c>
      <c r="K39" s="26">
        <f t="shared" si="8"/>
        <v>542.46575342465758</v>
      </c>
      <c r="L39" s="26"/>
      <c r="M39" s="26">
        <f t="shared" si="9"/>
        <v>0</v>
      </c>
      <c r="N39" s="26"/>
      <c r="O39" s="43"/>
      <c r="P39" s="26"/>
      <c r="Q39" s="53">
        <f t="shared" si="1"/>
        <v>0</v>
      </c>
      <c r="R39" s="54"/>
      <c r="S39" s="54"/>
      <c r="T39" s="55">
        <f t="shared" si="6"/>
        <v>33542.465753424658</v>
      </c>
      <c r="U39" s="67" t="s">
        <v>36</v>
      </c>
      <c r="V39" s="57"/>
      <c r="W39" s="58"/>
      <c r="Y39" s="16"/>
    </row>
    <row r="40" spans="1:25" ht="13.8" customHeight="1">
      <c r="A40" s="23"/>
      <c r="B40" s="24">
        <f t="shared" si="3"/>
        <v>34</v>
      </c>
      <c r="C40" s="25" t="s">
        <v>76</v>
      </c>
      <c r="D40" s="25" t="s">
        <v>77</v>
      </c>
      <c r="E40" s="25" t="s">
        <v>78</v>
      </c>
      <c r="F40" s="31">
        <v>30000</v>
      </c>
      <c r="G40" s="26">
        <v>0</v>
      </c>
      <c r="H40" s="26">
        <v>2000</v>
      </c>
      <c r="I40" s="26">
        <v>0</v>
      </c>
      <c r="J40" s="26"/>
      <c r="K40" s="26"/>
      <c r="L40" s="26"/>
      <c r="M40" s="26">
        <f t="shared" si="9"/>
        <v>0</v>
      </c>
      <c r="N40" s="26">
        <v>0</v>
      </c>
      <c r="O40" s="43"/>
      <c r="P40" s="26">
        <v>0</v>
      </c>
      <c r="Q40" s="53">
        <f t="shared" si="1"/>
        <v>0</v>
      </c>
      <c r="R40" s="54">
        <v>0</v>
      </c>
      <c r="S40" s="54">
        <v>0</v>
      </c>
      <c r="T40" s="55">
        <f t="shared" si="6"/>
        <v>32000</v>
      </c>
      <c r="U40" s="56" t="s">
        <v>32</v>
      </c>
      <c r="V40" s="57"/>
      <c r="W40" s="58"/>
      <c r="Y40" s="16"/>
    </row>
    <row r="41" spans="1:25" ht="13.8" customHeight="1">
      <c r="A41" s="23"/>
      <c r="B41" s="24">
        <f t="shared" si="3"/>
        <v>35</v>
      </c>
      <c r="C41" s="25" t="s">
        <v>79</v>
      </c>
      <c r="D41" s="25" t="s">
        <v>77</v>
      </c>
      <c r="E41" s="25" t="s">
        <v>35</v>
      </c>
      <c r="F41" s="26">
        <v>20000</v>
      </c>
      <c r="G41" s="26"/>
      <c r="H41" s="26">
        <v>5000</v>
      </c>
      <c r="I41" s="26"/>
      <c r="J41" s="26">
        <v>15</v>
      </c>
      <c r="K41" s="26">
        <f t="shared" ref="K41:K53" si="10">F41*12/365/8*J41</f>
        <v>1232.8767123287671</v>
      </c>
      <c r="L41" s="26"/>
      <c r="M41" s="26">
        <f t="shared" si="9"/>
        <v>0</v>
      </c>
      <c r="N41" s="26"/>
      <c r="O41" s="43"/>
      <c r="P41" s="26"/>
      <c r="Q41" s="53">
        <f t="shared" si="1"/>
        <v>0</v>
      </c>
      <c r="R41" s="54"/>
      <c r="S41" s="54"/>
      <c r="T41" s="55">
        <f t="shared" si="6"/>
        <v>26232.876712328769</v>
      </c>
      <c r="U41" s="56" t="s">
        <v>36</v>
      </c>
      <c r="V41" s="57"/>
      <c r="W41" s="58"/>
      <c r="Y41" s="16"/>
    </row>
    <row r="42" spans="1:25" ht="13.8" customHeight="1">
      <c r="A42" s="23"/>
      <c r="B42" s="24">
        <f t="shared" si="3"/>
        <v>36</v>
      </c>
      <c r="C42" s="25" t="s">
        <v>80</v>
      </c>
      <c r="D42" s="25" t="s">
        <v>77</v>
      </c>
      <c r="E42" s="25" t="s">
        <v>81</v>
      </c>
      <c r="F42" s="26">
        <f>35000+2000</f>
        <v>37000</v>
      </c>
      <c r="G42" s="26"/>
      <c r="H42" s="26"/>
      <c r="I42" s="26"/>
      <c r="J42" s="26"/>
      <c r="K42" s="26">
        <f t="shared" si="10"/>
        <v>0</v>
      </c>
      <c r="L42" s="26"/>
      <c r="M42" s="26">
        <f t="shared" si="9"/>
        <v>0</v>
      </c>
      <c r="N42" s="26"/>
      <c r="O42" s="43"/>
      <c r="P42" s="26"/>
      <c r="Q42" s="53">
        <f t="shared" si="1"/>
        <v>0</v>
      </c>
      <c r="R42" s="54"/>
      <c r="S42" s="54"/>
      <c r="T42" s="55">
        <f t="shared" ref="T42:T52" si="11">F42+H42+I42+K42+M42+N42+Q42+R42+S42</f>
        <v>37000</v>
      </c>
      <c r="U42" s="56" t="s">
        <v>32</v>
      </c>
      <c r="V42" s="57"/>
      <c r="W42" s="58"/>
      <c r="Y42" s="16"/>
    </row>
    <row r="43" spans="1:25" ht="13.8" customHeight="1">
      <c r="A43" s="23"/>
      <c r="B43" s="24">
        <f t="shared" si="3"/>
        <v>37</v>
      </c>
      <c r="C43" s="25" t="s">
        <v>82</v>
      </c>
      <c r="D43" s="25" t="s">
        <v>29</v>
      </c>
      <c r="E43" s="25" t="s">
        <v>81</v>
      </c>
      <c r="F43" s="26">
        <f>32000+3000</f>
        <v>35000</v>
      </c>
      <c r="G43" s="26"/>
      <c r="H43" s="26">
        <v>0</v>
      </c>
      <c r="I43" s="26"/>
      <c r="J43" s="26"/>
      <c r="K43" s="26">
        <f t="shared" si="10"/>
        <v>0</v>
      </c>
      <c r="L43" s="26"/>
      <c r="M43" s="26">
        <f t="shared" si="9"/>
        <v>0</v>
      </c>
      <c r="N43" s="26"/>
      <c r="O43" s="43"/>
      <c r="P43" s="26"/>
      <c r="Q43" s="53">
        <f t="shared" si="1"/>
        <v>0</v>
      </c>
      <c r="R43" s="54"/>
      <c r="S43" s="54"/>
      <c r="T43" s="55">
        <f t="shared" si="11"/>
        <v>35000</v>
      </c>
      <c r="U43" s="56" t="s">
        <v>32</v>
      </c>
      <c r="V43" s="57"/>
      <c r="W43" s="58"/>
      <c r="Y43" s="16"/>
    </row>
    <row r="44" spans="1:25">
      <c r="A44" s="23"/>
      <c r="B44" s="24">
        <v>40</v>
      </c>
      <c r="C44" s="25" t="s">
        <v>83</v>
      </c>
      <c r="D44" s="25" t="s">
        <v>29</v>
      </c>
      <c r="E44" s="106" t="s">
        <v>49</v>
      </c>
      <c r="F44" s="26">
        <v>25000</v>
      </c>
      <c r="G44" s="26"/>
      <c r="H44" s="26"/>
      <c r="I44" s="26"/>
      <c r="J44" s="26">
        <v>30</v>
      </c>
      <c r="K44" s="26">
        <f t="shared" si="10"/>
        <v>3082.1917808219177</v>
      </c>
      <c r="L44" s="26"/>
      <c r="M44" s="26">
        <f t="shared" si="9"/>
        <v>0</v>
      </c>
      <c r="N44" s="26"/>
      <c r="O44" s="43">
        <v>1</v>
      </c>
      <c r="P44" s="26"/>
      <c r="Q44" s="53">
        <f t="shared" ref="Q44:Q53" si="12">-F44*12/365*O44</f>
        <v>-821.91780821917803</v>
      </c>
      <c r="R44" s="59">
        <v>0</v>
      </c>
      <c r="S44" s="54"/>
      <c r="T44" s="55">
        <f t="shared" si="11"/>
        <v>27260.273972602739</v>
      </c>
      <c r="U44" s="56"/>
      <c r="V44" s="57"/>
      <c r="W44" s="58"/>
      <c r="Y44" s="16"/>
    </row>
    <row r="45" spans="1:25">
      <c r="A45" s="23"/>
      <c r="B45" s="24">
        <v>41</v>
      </c>
      <c r="C45" s="25" t="s">
        <v>84</v>
      </c>
      <c r="D45" s="25" t="s">
        <v>29</v>
      </c>
      <c r="E45" s="106" t="s">
        <v>161</v>
      </c>
      <c r="F45" s="26">
        <v>25000</v>
      </c>
      <c r="G45" s="26"/>
      <c r="H45" s="26"/>
      <c r="I45" s="26"/>
      <c r="J45" s="26">
        <v>74</v>
      </c>
      <c r="K45" s="26">
        <f t="shared" si="10"/>
        <v>7602.7397260273965</v>
      </c>
      <c r="L45" s="26"/>
      <c r="M45" s="26"/>
      <c r="N45" s="26"/>
      <c r="O45" s="43"/>
      <c r="P45" s="26"/>
      <c r="Q45" s="53">
        <f t="shared" si="12"/>
        <v>0</v>
      </c>
      <c r="R45" s="59">
        <v>0</v>
      </c>
      <c r="S45" s="54"/>
      <c r="T45" s="55">
        <f t="shared" si="11"/>
        <v>32602.739726027397</v>
      </c>
      <c r="U45" s="56"/>
      <c r="V45" s="57"/>
      <c r="W45" s="58"/>
      <c r="Y45" s="16"/>
    </row>
    <row r="46" spans="1:25">
      <c r="A46" s="23"/>
      <c r="B46" s="24">
        <v>42</v>
      </c>
      <c r="C46" s="25" t="s">
        <v>85</v>
      </c>
      <c r="D46" s="25" t="s">
        <v>29</v>
      </c>
      <c r="E46" s="25" t="s">
        <v>49</v>
      </c>
      <c r="F46" s="26">
        <v>30000</v>
      </c>
      <c r="G46" s="26"/>
      <c r="H46" s="26"/>
      <c r="I46" s="26"/>
      <c r="J46" s="26">
        <v>26</v>
      </c>
      <c r="K46" s="26">
        <f t="shared" si="10"/>
        <v>3205.4794520547948</v>
      </c>
      <c r="L46" s="26"/>
      <c r="M46" s="26"/>
      <c r="N46" s="26"/>
      <c r="O46" s="43"/>
      <c r="P46" s="26"/>
      <c r="Q46" s="53">
        <f t="shared" si="12"/>
        <v>0</v>
      </c>
      <c r="R46" s="59">
        <v>0</v>
      </c>
      <c r="S46" s="54"/>
      <c r="T46" s="55">
        <f t="shared" si="11"/>
        <v>33205.479452054795</v>
      </c>
      <c r="U46" s="56"/>
      <c r="V46" s="57"/>
      <c r="W46" s="58"/>
      <c r="Y46" s="16"/>
    </row>
    <row r="47" spans="1:25">
      <c r="A47" s="23"/>
      <c r="B47" s="24">
        <v>43</v>
      </c>
      <c r="C47" s="25" t="s">
        <v>86</v>
      </c>
      <c r="D47" s="25" t="s">
        <v>29</v>
      </c>
      <c r="E47" s="25" t="s">
        <v>35</v>
      </c>
      <c r="F47" s="26">
        <v>20000</v>
      </c>
      <c r="G47" s="26"/>
      <c r="H47" s="26">
        <v>5000</v>
      </c>
      <c r="I47" s="26"/>
      <c r="J47" s="26">
        <v>5</v>
      </c>
      <c r="K47" s="26">
        <f t="shared" si="10"/>
        <v>410.95890410958901</v>
      </c>
      <c r="L47" s="26"/>
      <c r="M47" s="26"/>
      <c r="N47" s="26"/>
      <c r="O47" s="43"/>
      <c r="P47" s="26"/>
      <c r="Q47" s="53">
        <f t="shared" si="12"/>
        <v>0</v>
      </c>
      <c r="R47" s="54"/>
      <c r="S47" s="54">
        <v>-3000</v>
      </c>
      <c r="T47" s="55">
        <f t="shared" si="11"/>
        <v>22410.95890410959</v>
      </c>
      <c r="U47" s="56"/>
      <c r="V47" s="57"/>
      <c r="W47" s="58"/>
      <c r="Y47" s="16"/>
    </row>
    <row r="48" spans="1:25">
      <c r="A48" s="23"/>
      <c r="B48" s="24">
        <v>44</v>
      </c>
      <c r="C48" s="25" t="s">
        <v>87</v>
      </c>
      <c r="D48" s="25" t="s">
        <v>29</v>
      </c>
      <c r="E48" s="106" t="s">
        <v>160</v>
      </c>
      <c r="F48" s="26">
        <v>25000</v>
      </c>
      <c r="G48" s="26"/>
      <c r="H48" s="26"/>
      <c r="I48" s="26"/>
      <c r="J48" s="26">
        <v>7</v>
      </c>
      <c r="K48" s="26">
        <f t="shared" si="10"/>
        <v>719.17808219178073</v>
      </c>
      <c r="L48" s="26"/>
      <c r="M48" s="26"/>
      <c r="N48" s="26"/>
      <c r="O48" s="43"/>
      <c r="P48" s="26"/>
      <c r="Q48" s="53">
        <f t="shared" si="12"/>
        <v>0</v>
      </c>
      <c r="R48" s="59">
        <v>0</v>
      </c>
      <c r="S48" s="54"/>
      <c r="T48" s="55">
        <f t="shared" si="11"/>
        <v>25719.178082191782</v>
      </c>
      <c r="U48" s="56"/>
      <c r="V48" s="57"/>
      <c r="W48" s="58"/>
      <c r="Y48" s="16"/>
    </row>
    <row r="49" spans="1:27">
      <c r="A49" s="23"/>
      <c r="B49" s="24">
        <v>45</v>
      </c>
      <c r="C49" s="25" t="s">
        <v>88</v>
      </c>
      <c r="D49" s="25" t="s">
        <v>29</v>
      </c>
      <c r="E49" s="106" t="s">
        <v>160</v>
      </c>
      <c r="F49" s="26">
        <v>30000</v>
      </c>
      <c r="G49" s="26"/>
      <c r="H49" s="26">
        <v>5000</v>
      </c>
      <c r="I49" s="26"/>
      <c r="J49" s="26">
        <v>4</v>
      </c>
      <c r="K49" s="26">
        <f t="shared" si="10"/>
        <v>493.15068493150687</v>
      </c>
      <c r="L49" s="26"/>
      <c r="M49" s="26"/>
      <c r="N49" s="26"/>
      <c r="O49" s="43">
        <v>24</v>
      </c>
      <c r="P49" s="26"/>
      <c r="Q49" s="53">
        <f t="shared" si="12"/>
        <v>-23671.232876712329</v>
      </c>
      <c r="R49" s="59">
        <v>0</v>
      </c>
      <c r="S49" s="54"/>
      <c r="T49" s="55">
        <f t="shared" si="11"/>
        <v>11821.917808219176</v>
      </c>
      <c r="U49" s="56"/>
      <c r="V49" s="57"/>
      <c r="W49" s="58"/>
      <c r="Y49" s="16"/>
    </row>
    <row r="50" spans="1:27">
      <c r="A50" s="23"/>
      <c r="B50" s="24">
        <v>46</v>
      </c>
      <c r="C50" s="25" t="s">
        <v>89</v>
      </c>
      <c r="D50" s="25" t="s">
        <v>29</v>
      </c>
      <c r="E50" s="106" t="s">
        <v>160</v>
      </c>
      <c r="F50" s="26">
        <v>28000</v>
      </c>
      <c r="G50" s="26"/>
      <c r="H50" s="26"/>
      <c r="I50" s="26"/>
      <c r="J50" s="26">
        <v>6</v>
      </c>
      <c r="K50" s="26">
        <f t="shared" si="10"/>
        <v>690.41095890410952</v>
      </c>
      <c r="L50" s="26"/>
      <c r="M50" s="26"/>
      <c r="N50" s="26"/>
      <c r="O50" s="43"/>
      <c r="P50" s="26"/>
      <c r="Q50" s="53">
        <f t="shared" si="12"/>
        <v>0</v>
      </c>
      <c r="R50" s="59">
        <v>0</v>
      </c>
      <c r="S50" s="54"/>
      <c r="T50" s="55">
        <f t="shared" si="11"/>
        <v>28690.410958904111</v>
      </c>
      <c r="U50" s="56"/>
      <c r="V50" s="57"/>
      <c r="W50" s="58"/>
      <c r="Y50" s="16"/>
    </row>
    <row r="51" spans="1:27" s="117" customFormat="1">
      <c r="A51" s="107"/>
      <c r="B51" s="108">
        <v>47</v>
      </c>
      <c r="C51" s="109" t="s">
        <v>90</v>
      </c>
      <c r="D51" s="109" t="s">
        <v>29</v>
      </c>
      <c r="E51" s="109" t="s">
        <v>160</v>
      </c>
      <c r="F51" s="110">
        <v>30000</v>
      </c>
      <c r="G51" s="110"/>
      <c r="H51" s="110">
        <v>10000</v>
      </c>
      <c r="I51" s="110"/>
      <c r="J51" s="110">
        <v>46</v>
      </c>
      <c r="K51" s="110">
        <f t="shared" si="10"/>
        <v>5671.232876712329</v>
      </c>
      <c r="L51" s="110"/>
      <c r="M51" s="110"/>
      <c r="N51" s="110"/>
      <c r="O51" s="111">
        <v>12</v>
      </c>
      <c r="P51" s="110"/>
      <c r="Q51" s="112">
        <f t="shared" si="12"/>
        <v>-11835.616438356165</v>
      </c>
      <c r="R51" s="110">
        <v>0</v>
      </c>
      <c r="S51" s="110"/>
      <c r="T51" s="113">
        <f t="shared" si="11"/>
        <v>33835.616438356163</v>
      </c>
      <c r="U51" s="114"/>
      <c r="V51" s="115"/>
      <c r="W51" s="116"/>
    </row>
    <row r="52" spans="1:27">
      <c r="A52" s="23"/>
      <c r="B52" s="24">
        <v>48</v>
      </c>
      <c r="C52" s="25" t="s">
        <v>91</v>
      </c>
      <c r="D52" s="25" t="s">
        <v>29</v>
      </c>
      <c r="E52" s="106" t="s">
        <v>161</v>
      </c>
      <c r="F52" s="26">
        <v>25000</v>
      </c>
      <c r="G52" s="26"/>
      <c r="H52" s="26"/>
      <c r="I52" s="26"/>
      <c r="J52" s="26">
        <v>43</v>
      </c>
      <c r="K52" s="26">
        <f t="shared" si="10"/>
        <v>4417.8082191780823</v>
      </c>
      <c r="L52" s="26"/>
      <c r="M52" s="26"/>
      <c r="N52" s="26"/>
      <c r="O52" s="43"/>
      <c r="P52" s="26"/>
      <c r="Q52" s="53">
        <f t="shared" si="12"/>
        <v>0</v>
      </c>
      <c r="R52" s="54"/>
      <c r="S52" s="54"/>
      <c r="T52" s="55">
        <f t="shared" si="11"/>
        <v>29417.808219178081</v>
      </c>
      <c r="U52" s="56"/>
      <c r="V52" s="57"/>
      <c r="W52" s="58"/>
      <c r="Y52" s="16"/>
    </row>
    <row r="53" spans="1:27">
      <c r="A53" s="23"/>
      <c r="B53" s="24"/>
      <c r="C53" s="25"/>
      <c r="D53" s="25"/>
      <c r="E53" s="25"/>
      <c r="F53" s="26"/>
      <c r="G53" s="26"/>
      <c r="H53" s="26"/>
      <c r="I53" s="26"/>
      <c r="J53" s="26"/>
      <c r="K53" s="26">
        <f t="shared" si="10"/>
        <v>0</v>
      </c>
      <c r="L53" s="26"/>
      <c r="M53" s="26"/>
      <c r="N53" s="26"/>
      <c r="O53" s="43"/>
      <c r="P53" s="26"/>
      <c r="Q53" s="53">
        <f t="shared" si="12"/>
        <v>0</v>
      </c>
      <c r="R53" s="54"/>
      <c r="S53" s="54"/>
      <c r="T53" s="55"/>
      <c r="U53" s="56"/>
      <c r="V53" s="57"/>
      <c r="W53" s="58"/>
      <c r="Y53" s="16"/>
    </row>
    <row r="54" spans="1:27" ht="13.8" customHeight="1">
      <c r="B54" s="119" t="s">
        <v>92</v>
      </c>
      <c r="C54" s="119"/>
      <c r="D54" s="32"/>
      <c r="E54" s="32"/>
      <c r="F54" s="32">
        <f>SUM(F7:F53)</f>
        <v>1897000</v>
      </c>
      <c r="G54" s="32">
        <f>SUM(G7:G53)</f>
        <v>411</v>
      </c>
      <c r="H54" s="32">
        <f>SUM(H7:H53)</f>
        <v>226038</v>
      </c>
      <c r="I54" s="32">
        <f>SUM(I7:I53)</f>
        <v>44808</v>
      </c>
      <c r="J54" s="32">
        <f>SUM(J7:J53)</f>
        <v>625.5</v>
      </c>
      <c r="K54" s="32">
        <f>SUM(K7:K53)</f>
        <v>96427.397260273952</v>
      </c>
      <c r="L54" s="32">
        <f>SUM(L7:L53)</f>
        <v>6</v>
      </c>
      <c r="M54" s="32">
        <f>SUM(M7:M53)</f>
        <v>14794.520547945205</v>
      </c>
      <c r="N54" s="32">
        <f>SUM(N7:N53)</f>
        <v>0</v>
      </c>
      <c r="O54" s="32">
        <f>SUM(O7:O53)</f>
        <v>50</v>
      </c>
      <c r="P54" s="32">
        <f>SUM(P7:P53)</f>
        <v>0</v>
      </c>
      <c r="Q54" s="32">
        <f>SUM(Q7:Q53)</f>
        <v>-52043.835616438359</v>
      </c>
      <c r="R54" s="32">
        <f>SUM(R7:R53)</f>
        <v>0</v>
      </c>
      <c r="S54" s="32">
        <f>SUM(S7:S53)</f>
        <v>-61000</v>
      </c>
      <c r="T54" s="32">
        <f>SUM(T7:T53)</f>
        <v>2152024.0821917811</v>
      </c>
      <c r="U54" s="69"/>
      <c r="V54" s="57"/>
      <c r="W54" s="58"/>
      <c r="Y54" s="16"/>
    </row>
    <row r="55" spans="1:27">
      <c r="Q55" s="23"/>
      <c r="R55" s="23"/>
      <c r="S55" s="23"/>
      <c r="T55" s="23"/>
      <c r="U55" s="23"/>
      <c r="V55" s="71"/>
      <c r="W55" s="71"/>
      <c r="X55" s="61"/>
      <c r="Y55" s="70"/>
    </row>
    <row r="56" spans="1:27">
      <c r="I56" s="33"/>
      <c r="Q56" s="46"/>
      <c r="R56" s="46"/>
      <c r="V56" s="71"/>
      <c r="W56" s="71"/>
      <c r="X56" s="61"/>
      <c r="Y56" s="70"/>
    </row>
    <row r="57" spans="1:27">
      <c r="G57" s="33"/>
      <c r="H57" s="33"/>
      <c r="I57" s="33"/>
      <c r="J57" s="33"/>
      <c r="K57" s="46"/>
      <c r="L57" s="46"/>
      <c r="M57" s="47"/>
      <c r="N57" s="47"/>
      <c r="O57" s="47"/>
      <c r="P57" s="47"/>
      <c r="S57" s="46"/>
      <c r="T57" s="46"/>
      <c r="U57" s="46"/>
      <c r="V57" s="71"/>
      <c r="W57" s="71"/>
      <c r="X57" s="61"/>
      <c r="Y57" s="70"/>
    </row>
    <row r="58" spans="1:27">
      <c r="H58" s="33"/>
      <c r="I58" s="33"/>
      <c r="Q58" s="72" t="s">
        <v>93</v>
      </c>
      <c r="R58" s="72" t="s">
        <v>94</v>
      </c>
      <c r="S58" s="72" t="s">
        <v>95</v>
      </c>
      <c r="T58" s="72" t="s">
        <v>96</v>
      </c>
      <c r="U58" s="73"/>
      <c r="X58" s="74"/>
      <c r="Z58" s="17"/>
    </row>
    <row r="59" spans="1:27">
      <c r="C59" s="34" t="s">
        <v>97</v>
      </c>
      <c r="D59" s="35">
        <f>SUM(T7:T40)</f>
        <v>1808826.8219178084</v>
      </c>
      <c r="E59" s="36"/>
      <c r="Q59" s="25" t="s">
        <v>98</v>
      </c>
      <c r="R59" s="25"/>
      <c r="S59" s="25">
        <f>19+19</f>
        <v>38</v>
      </c>
      <c r="T59" s="75">
        <v>300</v>
      </c>
      <c r="U59" s="49">
        <f>T59*S59</f>
        <v>11400</v>
      </c>
      <c r="X59" s="23"/>
      <c r="Z59" s="17"/>
      <c r="AA59" s="23"/>
    </row>
    <row r="60" spans="1:27">
      <c r="C60" s="76" t="s">
        <v>99</v>
      </c>
      <c r="D60" s="77" t="e">
        <f>SUM(#REF!)</f>
        <v>#REF!</v>
      </c>
      <c r="E60" s="36"/>
      <c r="M60" s="47"/>
      <c r="N60" s="47"/>
      <c r="O60" s="47"/>
      <c r="P60" s="47"/>
      <c r="Q60" s="25" t="s">
        <v>100</v>
      </c>
      <c r="R60" s="25"/>
      <c r="S60" s="25">
        <v>8</v>
      </c>
      <c r="T60" s="75">
        <v>301</v>
      </c>
      <c r="U60" s="49">
        <f>T60*S60</f>
        <v>2408</v>
      </c>
      <c r="Z60" s="17"/>
    </row>
    <row r="61" spans="1:27" ht="16.2" customHeight="1">
      <c r="C61" s="78" t="s">
        <v>101</v>
      </c>
      <c r="D61" s="77" t="e">
        <f>D59+D60</f>
        <v>#REF!</v>
      </c>
      <c r="E61" s="36"/>
      <c r="Q61" s="25"/>
      <c r="R61" s="25"/>
      <c r="S61" s="25"/>
      <c r="T61" s="75"/>
      <c r="U61" s="23"/>
      <c r="Z61" s="17"/>
    </row>
    <row r="62" spans="1:27">
      <c r="C62" s="79"/>
      <c r="D62" s="80"/>
      <c r="E62" s="81"/>
      <c r="K62" s="120"/>
      <c r="L62" s="120"/>
      <c r="M62" s="120"/>
      <c r="N62" s="91"/>
      <c r="O62" s="91"/>
      <c r="P62" s="91"/>
      <c r="R62" s="23"/>
      <c r="S62" s="23"/>
      <c r="T62" s="23"/>
      <c r="U62" s="23">
        <f>SUM(U59:U61)</f>
        <v>13808</v>
      </c>
      <c r="V62" s="23"/>
      <c r="W62" s="23"/>
      <c r="Y62" s="23"/>
      <c r="Z62" s="17"/>
    </row>
    <row r="63" spans="1:27">
      <c r="L63" s="92"/>
      <c r="T63" s="23"/>
    </row>
    <row r="64" spans="1:27">
      <c r="L64" s="92"/>
      <c r="X64" s="23"/>
      <c r="Z64" s="23"/>
    </row>
    <row r="65" spans="3:25">
      <c r="C65" s="82"/>
      <c r="D65" s="82"/>
      <c r="E65" s="82"/>
      <c r="F65" s="83"/>
      <c r="G65" s="83"/>
      <c r="I65" s="17"/>
      <c r="J65" s="17"/>
      <c r="K65" s="17"/>
      <c r="L65" s="17"/>
      <c r="M65" s="16"/>
      <c r="N65" s="16"/>
      <c r="P65" s="93"/>
      <c r="T65" s="17"/>
      <c r="U65" s="17"/>
      <c r="Y65" s="16"/>
    </row>
    <row r="66" spans="3:25">
      <c r="J66" s="83"/>
      <c r="K66" s="83"/>
      <c r="T66" s="93"/>
      <c r="X66" s="17"/>
    </row>
    <row r="67" spans="3:25">
      <c r="J67" s="83"/>
      <c r="K67" s="83"/>
      <c r="M67" s="16"/>
      <c r="U67" s="93"/>
    </row>
    <row r="68" spans="3:25">
      <c r="H68" s="83"/>
      <c r="I68" s="83"/>
      <c r="K68" s="17"/>
      <c r="L68" s="17"/>
      <c r="O68" s="16"/>
      <c r="P68" s="16"/>
      <c r="U68" s="93"/>
      <c r="X68" s="17"/>
      <c r="Y68" s="16"/>
    </row>
    <row r="69" spans="3:25">
      <c r="C69" s="84"/>
      <c r="D69" s="84"/>
      <c r="E69" s="84"/>
      <c r="F69" s="84"/>
      <c r="G69" s="83"/>
      <c r="H69" s="83"/>
      <c r="J69" s="17"/>
      <c r="K69" s="17"/>
      <c r="L69" s="17"/>
      <c r="N69" s="16"/>
      <c r="O69" s="16"/>
      <c r="P69" s="16"/>
      <c r="U69" s="93"/>
      <c r="W69" s="17"/>
      <c r="Y69" s="16"/>
    </row>
    <row r="70" spans="3:25">
      <c r="C70" s="25"/>
      <c r="D70" s="25"/>
      <c r="E70" s="25"/>
      <c r="F70" s="25"/>
      <c r="G70" s="83"/>
      <c r="H70" s="83"/>
      <c r="J70" s="17"/>
      <c r="K70" s="17"/>
      <c r="L70" s="17"/>
      <c r="N70" s="16"/>
      <c r="O70" s="16"/>
      <c r="P70" s="16"/>
      <c r="U70" s="93"/>
      <c r="W70" s="17"/>
      <c r="Y70" s="16"/>
    </row>
    <row r="71" spans="3:25">
      <c r="C71" s="25"/>
      <c r="D71" s="25"/>
      <c r="E71" s="25"/>
      <c r="F71" s="25"/>
      <c r="G71" s="83"/>
      <c r="H71" s="83"/>
      <c r="J71" s="17"/>
      <c r="K71" s="17"/>
      <c r="L71" s="17"/>
      <c r="N71" s="16"/>
      <c r="O71" s="16"/>
      <c r="P71" s="16"/>
      <c r="U71" s="93"/>
      <c r="W71" s="17"/>
      <c r="Y71" s="16"/>
    </row>
    <row r="72" spans="3:25">
      <c r="C72" s="25"/>
      <c r="D72" s="25"/>
      <c r="E72" s="25"/>
      <c r="F72" s="25"/>
      <c r="G72" s="83"/>
      <c r="H72" s="83"/>
      <c r="J72" s="17"/>
      <c r="K72" s="17"/>
      <c r="L72" s="17"/>
      <c r="N72" s="16"/>
      <c r="O72" s="16"/>
      <c r="P72" s="16"/>
      <c r="W72" s="17"/>
      <c r="Y72" s="16"/>
    </row>
    <row r="73" spans="3:25">
      <c r="C73" s="25"/>
      <c r="D73" s="25"/>
      <c r="E73" s="25"/>
      <c r="F73" s="25"/>
      <c r="G73" s="83"/>
      <c r="H73" s="83"/>
      <c r="J73" s="17"/>
      <c r="K73" s="17"/>
      <c r="L73" s="17"/>
      <c r="N73" s="16"/>
      <c r="O73" s="16"/>
      <c r="P73" s="16"/>
      <c r="W73" s="17"/>
      <c r="Y73" s="16"/>
    </row>
    <row r="74" spans="3:25">
      <c r="C74" s="25"/>
      <c r="D74" s="25"/>
      <c r="E74" s="25"/>
      <c r="F74" s="25"/>
      <c r="G74" s="85"/>
      <c r="J74" s="17"/>
      <c r="K74" s="17"/>
      <c r="L74" s="17"/>
      <c r="M74" s="16"/>
      <c r="N74" s="16"/>
      <c r="O74" s="16"/>
      <c r="P74" s="16"/>
      <c r="W74" s="17"/>
      <c r="Y74" s="16"/>
    </row>
    <row r="75" spans="3:25">
      <c r="D75" s="86"/>
      <c r="E75" s="86"/>
      <c r="F75" s="86"/>
      <c r="G75" s="86"/>
      <c r="H75" s="86"/>
      <c r="I75" s="17"/>
      <c r="L75" s="17"/>
      <c r="P75" s="16"/>
      <c r="U75" s="93"/>
    </row>
    <row r="76" spans="3:25">
      <c r="C76" s="84" t="s">
        <v>65</v>
      </c>
      <c r="D76" s="84" t="s">
        <v>102</v>
      </c>
      <c r="E76" s="84"/>
      <c r="F76" s="84" t="s">
        <v>103</v>
      </c>
      <c r="G76" s="17"/>
      <c r="J76" s="17"/>
      <c r="K76" s="17"/>
      <c r="L76" s="17"/>
      <c r="M76" s="16"/>
      <c r="N76" s="16"/>
      <c r="O76" s="16"/>
      <c r="P76" s="16"/>
      <c r="U76" s="93"/>
      <c r="W76" s="17"/>
      <c r="Y76" s="16"/>
    </row>
    <row r="77" spans="3:25">
      <c r="C77" s="25">
        <v>10000</v>
      </c>
      <c r="D77" s="25">
        <v>8000</v>
      </c>
      <c r="E77" s="25"/>
      <c r="F77" s="25">
        <f>C77-D77+10000</f>
        <v>12000</v>
      </c>
      <c r="G77" s="85" t="s">
        <v>104</v>
      </c>
      <c r="J77" s="17"/>
      <c r="K77" s="17"/>
      <c r="L77" s="17"/>
      <c r="M77" s="16"/>
      <c r="N77" s="16"/>
      <c r="O77" s="16"/>
      <c r="P77" s="16"/>
      <c r="U77" s="93"/>
      <c r="W77" s="17"/>
      <c r="Y77" s="16"/>
    </row>
    <row r="78" spans="3:25">
      <c r="C78" s="25">
        <v>10000</v>
      </c>
      <c r="D78" s="25">
        <v>5000</v>
      </c>
      <c r="E78" s="25"/>
      <c r="F78" s="25">
        <f>F77-D78</f>
        <v>7000</v>
      </c>
      <c r="G78" s="85" t="s">
        <v>105</v>
      </c>
      <c r="J78" s="17"/>
      <c r="K78" s="17"/>
      <c r="L78" s="17"/>
      <c r="M78" s="16"/>
      <c r="N78" s="16"/>
      <c r="O78" s="16"/>
      <c r="P78" s="16"/>
      <c r="U78" s="93"/>
      <c r="W78" s="17"/>
      <c r="Y78" s="16"/>
    </row>
    <row r="79" spans="3:25">
      <c r="C79" s="25">
        <v>10000</v>
      </c>
      <c r="D79" s="25">
        <v>3500</v>
      </c>
      <c r="E79" s="25"/>
      <c r="F79" s="25">
        <f>F78-D79</f>
        <v>3500</v>
      </c>
      <c r="G79" s="85" t="s">
        <v>106</v>
      </c>
      <c r="J79" s="17"/>
      <c r="K79" s="17"/>
      <c r="L79" s="17"/>
      <c r="M79" s="16"/>
      <c r="N79" s="16"/>
      <c r="O79" s="16"/>
      <c r="P79" s="16"/>
      <c r="U79" s="93"/>
      <c r="W79" s="17"/>
      <c r="Y79" s="16"/>
    </row>
    <row r="80" spans="3:25">
      <c r="C80" s="25">
        <v>10000</v>
      </c>
      <c r="D80" s="25">
        <v>3500</v>
      </c>
      <c r="E80" s="25"/>
      <c r="F80" s="25">
        <f>F79-D80</f>
        <v>0</v>
      </c>
      <c r="G80" s="83" t="s">
        <v>107</v>
      </c>
      <c r="J80" s="17"/>
      <c r="K80" s="17"/>
      <c r="L80" s="17"/>
      <c r="M80" s="16"/>
      <c r="N80" s="16"/>
      <c r="O80" s="16"/>
      <c r="P80" s="16"/>
      <c r="U80" s="93"/>
      <c r="W80" s="17"/>
      <c r="Y80" s="16"/>
    </row>
    <row r="81" spans="3:26">
      <c r="C81" s="87">
        <v>200000</v>
      </c>
      <c r="D81" s="25">
        <v>10000</v>
      </c>
      <c r="E81" s="25"/>
      <c r="F81" s="75">
        <f>C81-D81</f>
        <v>190000</v>
      </c>
      <c r="G81" s="83" t="s">
        <v>108</v>
      </c>
      <c r="J81" s="17"/>
      <c r="K81" s="17"/>
      <c r="L81" s="17"/>
      <c r="M81" s="16"/>
      <c r="N81" s="16"/>
      <c r="O81" s="16"/>
      <c r="P81" s="16"/>
      <c r="U81" s="93"/>
      <c r="W81" s="17"/>
      <c r="Y81" s="16"/>
    </row>
    <row r="82" spans="3:26">
      <c r="C82" s="87">
        <v>200000</v>
      </c>
      <c r="D82" s="25">
        <v>10000</v>
      </c>
      <c r="E82" s="25"/>
      <c r="F82" s="75">
        <f t="shared" ref="F82:F90" si="13">F81-D82</f>
        <v>180000</v>
      </c>
      <c r="G82" s="83" t="s">
        <v>109</v>
      </c>
      <c r="J82" s="17"/>
      <c r="K82" s="17"/>
      <c r="L82" s="17"/>
      <c r="M82" s="16"/>
      <c r="N82" s="16"/>
      <c r="O82" s="16"/>
      <c r="P82" s="16"/>
      <c r="W82" s="17"/>
      <c r="Y82" s="16"/>
    </row>
    <row r="83" spans="3:26">
      <c r="C83" s="87">
        <v>200000</v>
      </c>
      <c r="D83" s="25">
        <v>10000</v>
      </c>
      <c r="E83" s="25"/>
      <c r="F83" s="75">
        <f t="shared" si="13"/>
        <v>170000</v>
      </c>
      <c r="G83" s="83" t="s">
        <v>110</v>
      </c>
      <c r="J83" s="17"/>
      <c r="K83" s="17"/>
      <c r="L83" s="17"/>
      <c r="M83" s="16"/>
      <c r="N83" s="16"/>
      <c r="O83" s="16"/>
      <c r="P83" s="16"/>
      <c r="W83" s="17"/>
      <c r="Y83" s="16"/>
    </row>
    <row r="84" spans="3:26">
      <c r="C84" s="87">
        <v>200000</v>
      </c>
      <c r="D84" s="25">
        <v>10000</v>
      </c>
      <c r="E84" s="25"/>
      <c r="F84" s="75">
        <f t="shared" si="13"/>
        <v>160000</v>
      </c>
      <c r="G84" s="83" t="s">
        <v>111</v>
      </c>
      <c r="J84" s="17"/>
      <c r="K84" s="17"/>
      <c r="L84" s="17"/>
      <c r="M84" s="16"/>
      <c r="N84" s="16"/>
      <c r="O84" s="16"/>
      <c r="P84" s="16"/>
      <c r="W84" s="17"/>
      <c r="Y84" s="16"/>
    </row>
    <row r="85" spans="3:26">
      <c r="C85" s="87">
        <v>200000</v>
      </c>
      <c r="D85" s="25">
        <v>10000</v>
      </c>
      <c r="E85" s="25"/>
      <c r="F85" s="75">
        <f t="shared" si="13"/>
        <v>150000</v>
      </c>
      <c r="G85" s="83" t="s">
        <v>112</v>
      </c>
      <c r="J85" s="17"/>
      <c r="K85" s="17"/>
      <c r="L85" s="17"/>
      <c r="M85" s="16"/>
      <c r="N85" s="16"/>
      <c r="O85" s="16"/>
      <c r="P85" s="16"/>
      <c r="U85" s="93"/>
      <c r="W85" s="17"/>
      <c r="Y85" s="16"/>
    </row>
    <row r="86" spans="3:26">
      <c r="C86" s="87">
        <v>200000</v>
      </c>
      <c r="D86" s="25">
        <v>10000</v>
      </c>
      <c r="E86" s="25"/>
      <c r="F86" s="75">
        <f t="shared" si="13"/>
        <v>140000</v>
      </c>
      <c r="G86" s="88" t="s">
        <v>113</v>
      </c>
      <c r="H86" s="83"/>
      <c r="K86" s="17"/>
      <c r="L86" s="17"/>
      <c r="N86" s="16"/>
      <c r="O86" s="16"/>
      <c r="P86" s="16"/>
      <c r="U86" s="93"/>
      <c r="X86" s="17"/>
      <c r="Y86" s="16"/>
    </row>
    <row r="87" spans="3:26">
      <c r="C87" s="87">
        <v>200000</v>
      </c>
      <c r="D87" s="25">
        <v>10000</v>
      </c>
      <c r="E87" s="25"/>
      <c r="F87" s="75">
        <f t="shared" si="13"/>
        <v>130000</v>
      </c>
      <c r="G87" s="83" t="s">
        <v>114</v>
      </c>
      <c r="I87" s="23"/>
      <c r="J87" s="83"/>
      <c r="U87" s="93"/>
      <c r="V87" s="93"/>
      <c r="Y87" s="16"/>
      <c r="Z87" s="17"/>
    </row>
    <row r="88" spans="3:26">
      <c r="C88" s="87">
        <v>200000</v>
      </c>
      <c r="D88" s="25">
        <v>10000</v>
      </c>
      <c r="E88" s="25"/>
      <c r="F88" s="75">
        <f t="shared" si="13"/>
        <v>120000</v>
      </c>
      <c r="G88" s="83" t="s">
        <v>115</v>
      </c>
      <c r="I88" s="23"/>
      <c r="J88" s="83"/>
      <c r="U88" s="93"/>
      <c r="V88" s="93"/>
      <c r="Y88" s="16"/>
      <c r="Z88" s="17"/>
    </row>
    <row r="89" spans="3:26">
      <c r="C89" s="87">
        <v>200000</v>
      </c>
      <c r="D89" s="25">
        <v>10000</v>
      </c>
      <c r="E89" s="25"/>
      <c r="F89" s="75">
        <f t="shared" si="13"/>
        <v>110000</v>
      </c>
      <c r="G89" s="83" t="s">
        <v>104</v>
      </c>
      <c r="I89" s="23"/>
      <c r="J89" s="83"/>
      <c r="U89" s="93"/>
      <c r="V89" s="93"/>
      <c r="Y89" s="16"/>
      <c r="Z89" s="17"/>
    </row>
    <row r="90" spans="3:26">
      <c r="C90" s="87">
        <v>200000</v>
      </c>
      <c r="D90" s="25">
        <v>10000</v>
      </c>
      <c r="E90" s="25"/>
      <c r="F90" s="75">
        <f t="shared" si="13"/>
        <v>100000</v>
      </c>
      <c r="G90" s="83" t="s">
        <v>116</v>
      </c>
      <c r="J90" s="83"/>
      <c r="U90" s="93"/>
      <c r="V90" s="93"/>
      <c r="Y90" s="16"/>
      <c r="Z90" s="17"/>
    </row>
    <row r="91" spans="3:26">
      <c r="C91" s="87">
        <v>200000</v>
      </c>
      <c r="D91" s="25">
        <v>10000</v>
      </c>
      <c r="E91" s="25"/>
      <c r="F91" s="75">
        <f t="shared" ref="F91" si="14">F90-D91</f>
        <v>90000</v>
      </c>
      <c r="G91" s="83" t="s">
        <v>117</v>
      </c>
      <c r="J91" s="83"/>
      <c r="U91" s="93"/>
      <c r="V91" s="93"/>
      <c r="Y91" s="16"/>
      <c r="Z91" s="17"/>
    </row>
    <row r="92" spans="3:26">
      <c r="C92" s="87">
        <v>200000</v>
      </c>
      <c r="D92" s="25">
        <v>10000</v>
      </c>
      <c r="E92" s="25"/>
      <c r="F92" s="75">
        <f t="shared" ref="F92:F96" si="15">F91-D92</f>
        <v>80000</v>
      </c>
      <c r="G92" s="83" t="s">
        <v>118</v>
      </c>
      <c r="J92" s="83"/>
      <c r="U92" s="93"/>
      <c r="V92" s="93"/>
      <c r="Y92" s="16"/>
      <c r="Z92" s="17"/>
    </row>
    <row r="93" spans="3:26">
      <c r="C93" s="87">
        <v>200000</v>
      </c>
      <c r="D93" s="25">
        <v>10000</v>
      </c>
      <c r="E93" s="25"/>
      <c r="F93" s="75">
        <f t="shared" si="15"/>
        <v>70000</v>
      </c>
      <c r="G93" s="83" t="s">
        <v>108</v>
      </c>
      <c r="J93" s="83"/>
      <c r="U93" s="93"/>
      <c r="V93" s="93"/>
      <c r="Y93" s="16"/>
      <c r="Z93" s="17"/>
    </row>
    <row r="94" spans="3:26">
      <c r="C94" s="87">
        <v>200000</v>
      </c>
      <c r="D94" s="25">
        <v>10000</v>
      </c>
      <c r="E94" s="25"/>
      <c r="F94" s="75">
        <f t="shared" si="15"/>
        <v>60000</v>
      </c>
      <c r="G94" s="83" t="s">
        <v>109</v>
      </c>
      <c r="J94" s="83"/>
      <c r="U94" s="93"/>
      <c r="V94" s="93"/>
      <c r="Y94" s="16"/>
      <c r="Z94" s="17"/>
    </row>
    <row r="95" spans="3:26">
      <c r="C95" s="87">
        <v>200000</v>
      </c>
      <c r="D95" s="25">
        <v>10000</v>
      </c>
      <c r="E95" s="25"/>
      <c r="F95" s="75">
        <f t="shared" si="15"/>
        <v>50000</v>
      </c>
      <c r="G95" s="83" t="s">
        <v>119</v>
      </c>
      <c r="J95" s="83"/>
      <c r="U95" s="93"/>
      <c r="V95" s="93"/>
      <c r="Y95" s="16"/>
      <c r="Z95" s="17"/>
    </row>
    <row r="96" spans="3:26">
      <c r="C96" s="87">
        <v>200000</v>
      </c>
      <c r="D96" s="25">
        <v>10000</v>
      </c>
      <c r="E96" s="25"/>
      <c r="F96" s="75">
        <f t="shared" si="15"/>
        <v>40000</v>
      </c>
      <c r="G96" s="83"/>
      <c r="J96" s="83"/>
      <c r="U96" s="93"/>
      <c r="V96" s="93"/>
      <c r="Y96" s="16"/>
      <c r="Z96" s="17"/>
    </row>
    <row r="97" spans="2:26">
      <c r="C97" s="89"/>
      <c r="F97" s="23"/>
      <c r="G97" s="83"/>
      <c r="J97" s="83"/>
      <c r="U97" s="93"/>
      <c r="V97" s="93"/>
      <c r="Y97" s="16"/>
      <c r="Z97" s="17"/>
    </row>
    <row r="98" spans="2:26">
      <c r="G98" s="83"/>
      <c r="J98" s="17"/>
      <c r="K98" s="17"/>
      <c r="L98" s="17"/>
      <c r="M98" s="16"/>
      <c r="N98" s="16"/>
      <c r="O98" s="16"/>
      <c r="P98" s="16"/>
      <c r="U98" s="93"/>
      <c r="W98" s="17"/>
      <c r="Y98" s="16"/>
    </row>
    <row r="99" spans="2:26">
      <c r="C99" s="84" t="s">
        <v>50</v>
      </c>
      <c r="D99" s="84" t="s">
        <v>102</v>
      </c>
      <c r="E99" s="84"/>
      <c r="F99" s="84" t="s">
        <v>103</v>
      </c>
      <c r="G99" s="83"/>
      <c r="J99" s="17"/>
      <c r="K99" s="17"/>
      <c r="L99" s="17"/>
      <c r="M99" s="16"/>
      <c r="N99" s="16"/>
      <c r="O99" s="16"/>
      <c r="P99" s="16"/>
      <c r="U99" s="93"/>
      <c r="W99" s="17"/>
      <c r="Y99" s="16"/>
    </row>
    <row r="100" spans="2:26">
      <c r="C100" s="25">
        <v>25000</v>
      </c>
      <c r="D100" s="25">
        <v>2000</v>
      </c>
      <c r="E100" s="25"/>
      <c r="F100" s="25">
        <f>C100-D100</f>
        <v>23000</v>
      </c>
      <c r="G100" s="83" t="s">
        <v>111</v>
      </c>
      <c r="J100" s="17"/>
      <c r="K100" s="17"/>
      <c r="L100" s="17"/>
      <c r="M100" s="16"/>
      <c r="N100" s="16"/>
      <c r="O100" s="16"/>
      <c r="P100" s="16"/>
      <c r="U100" s="93"/>
      <c r="W100" s="17"/>
      <c r="Y100" s="16"/>
    </row>
    <row r="101" spans="2:26">
      <c r="C101" s="25">
        <v>25000</v>
      </c>
      <c r="D101" s="25">
        <v>2000</v>
      </c>
      <c r="E101" s="25"/>
      <c r="F101" s="25">
        <f t="shared" ref="F101:F106" si="16">F100-D101</f>
        <v>21000</v>
      </c>
      <c r="G101" s="83" t="s">
        <v>112</v>
      </c>
      <c r="J101" s="17"/>
      <c r="K101" s="17"/>
      <c r="L101" s="17"/>
      <c r="M101" s="16"/>
      <c r="N101" s="16"/>
      <c r="O101" s="16"/>
      <c r="P101" s="16"/>
      <c r="U101" s="93"/>
      <c r="W101" s="17"/>
      <c r="Y101" s="16"/>
    </row>
    <row r="102" spans="2:26">
      <c r="C102" s="25">
        <v>25000</v>
      </c>
      <c r="D102" s="25">
        <v>2000</v>
      </c>
      <c r="E102" s="25"/>
      <c r="F102" s="25">
        <f t="shared" si="16"/>
        <v>19000</v>
      </c>
      <c r="G102" s="83" t="s">
        <v>113</v>
      </c>
      <c r="J102" s="17"/>
      <c r="K102" s="17"/>
      <c r="L102" s="17"/>
      <c r="M102" s="16"/>
      <c r="N102" s="16"/>
      <c r="O102" s="16"/>
      <c r="P102" s="16"/>
      <c r="U102" s="93"/>
      <c r="W102" s="17"/>
      <c r="Y102" s="16"/>
    </row>
    <row r="103" spans="2:26">
      <c r="C103" s="25">
        <v>25000</v>
      </c>
      <c r="D103" s="25">
        <v>2000</v>
      </c>
      <c r="E103" s="25"/>
      <c r="F103" s="25">
        <f t="shared" si="16"/>
        <v>17000</v>
      </c>
      <c r="G103" s="83" t="s">
        <v>114</v>
      </c>
      <c r="J103" s="17"/>
      <c r="K103" s="17"/>
      <c r="L103" s="17"/>
      <c r="M103" s="16"/>
      <c r="N103" s="16"/>
      <c r="O103" s="16"/>
      <c r="P103" s="16"/>
      <c r="U103" s="93"/>
      <c r="W103" s="17"/>
      <c r="Y103" s="16"/>
    </row>
    <row r="104" spans="2:26">
      <c r="C104" s="25">
        <v>25000</v>
      </c>
      <c r="D104" s="25">
        <v>2000</v>
      </c>
      <c r="E104" s="25"/>
      <c r="F104" s="25">
        <f t="shared" si="16"/>
        <v>15000</v>
      </c>
      <c r="G104" s="83" t="s">
        <v>120</v>
      </c>
      <c r="J104" s="17"/>
      <c r="K104" s="17"/>
      <c r="L104" s="17"/>
      <c r="M104" s="16"/>
      <c r="N104" s="16"/>
      <c r="O104" s="16"/>
      <c r="P104" s="16"/>
      <c r="U104" s="93"/>
      <c r="W104" s="17"/>
      <c r="Y104" s="16"/>
    </row>
    <row r="105" spans="2:26">
      <c r="C105" s="25">
        <v>25000</v>
      </c>
      <c r="D105" s="25">
        <v>2000</v>
      </c>
      <c r="E105" s="25"/>
      <c r="F105" s="25">
        <f t="shared" si="16"/>
        <v>13000</v>
      </c>
      <c r="G105" s="83" t="s">
        <v>121</v>
      </c>
      <c r="J105" s="17"/>
      <c r="K105" s="17"/>
      <c r="L105" s="17"/>
      <c r="M105" s="16"/>
      <c r="N105" s="16"/>
      <c r="O105" s="16"/>
      <c r="P105" s="16"/>
      <c r="U105" s="93"/>
      <c r="W105" s="17"/>
      <c r="Y105" s="16"/>
    </row>
    <row r="106" spans="2:26">
      <c r="C106" s="25">
        <v>25000</v>
      </c>
      <c r="D106" s="25">
        <v>2000</v>
      </c>
      <c r="E106" s="25"/>
      <c r="F106" s="25">
        <f t="shared" si="16"/>
        <v>11000</v>
      </c>
      <c r="G106" s="83" t="s">
        <v>122</v>
      </c>
      <c r="J106" s="17"/>
      <c r="K106" s="17"/>
      <c r="L106" s="17"/>
      <c r="M106" s="16"/>
      <c r="N106" s="16"/>
      <c r="O106" s="16"/>
      <c r="P106" s="16"/>
      <c r="U106" s="93"/>
      <c r="W106" s="17"/>
      <c r="Y106" s="16"/>
    </row>
    <row r="107" spans="2:26">
      <c r="C107" s="25">
        <v>25000</v>
      </c>
      <c r="D107" s="25">
        <v>2000</v>
      </c>
      <c r="E107" s="25"/>
      <c r="F107" s="25">
        <f>F106-D107+C108</f>
        <v>29000</v>
      </c>
      <c r="G107" s="83" t="s">
        <v>117</v>
      </c>
      <c r="J107" s="17"/>
      <c r="K107" s="17"/>
      <c r="L107" s="17"/>
      <c r="M107" s="16"/>
      <c r="N107" s="16"/>
      <c r="O107" s="16"/>
      <c r="P107" s="16"/>
      <c r="U107" s="93"/>
      <c r="W107" s="17"/>
      <c r="Y107" s="16"/>
    </row>
    <row r="108" spans="2:26">
      <c r="B108" s="16" t="s">
        <v>123</v>
      </c>
      <c r="C108" s="25">
        <v>20000</v>
      </c>
      <c r="D108" s="25">
        <v>2000</v>
      </c>
      <c r="E108" s="25"/>
      <c r="F108" s="25">
        <f t="shared" ref="F108:F109" si="17">F107-D108</f>
        <v>27000</v>
      </c>
      <c r="G108" s="83" t="s">
        <v>118</v>
      </c>
      <c r="J108" s="17"/>
      <c r="K108" s="17"/>
      <c r="L108" s="17"/>
      <c r="M108" s="16"/>
      <c r="N108" s="16"/>
      <c r="O108" s="16"/>
      <c r="P108" s="16"/>
      <c r="U108" s="93"/>
      <c r="W108" s="17"/>
      <c r="Y108" s="16"/>
    </row>
    <row r="109" spans="2:26">
      <c r="C109" s="25">
        <v>20000</v>
      </c>
      <c r="D109" s="25">
        <v>2000</v>
      </c>
      <c r="E109" s="25"/>
      <c r="F109" s="25">
        <f t="shared" si="17"/>
        <v>25000</v>
      </c>
      <c r="G109" s="83" t="s">
        <v>124</v>
      </c>
      <c r="J109" s="17"/>
      <c r="K109" s="17"/>
      <c r="L109" s="17"/>
      <c r="M109" s="16"/>
      <c r="N109" s="16"/>
      <c r="O109" s="16"/>
      <c r="P109" s="16"/>
      <c r="U109" s="93"/>
      <c r="W109" s="17"/>
      <c r="Y109" s="16"/>
    </row>
    <row r="110" spans="2:26">
      <c r="J110" s="17"/>
      <c r="K110" s="17"/>
      <c r="L110" s="17"/>
      <c r="M110" s="16"/>
      <c r="N110" s="16"/>
      <c r="O110" s="16"/>
      <c r="P110" s="16"/>
      <c r="U110" s="93"/>
      <c r="W110" s="17"/>
      <c r="Y110" s="16"/>
    </row>
    <row r="111" spans="2:26">
      <c r="C111" s="84" t="s">
        <v>125</v>
      </c>
      <c r="D111" s="84" t="s">
        <v>102</v>
      </c>
      <c r="E111" s="84"/>
      <c r="F111" s="84" t="s">
        <v>103</v>
      </c>
      <c r="J111" s="17"/>
      <c r="K111" s="17"/>
      <c r="L111" s="17"/>
      <c r="M111" s="16"/>
      <c r="N111" s="16"/>
      <c r="O111" s="16"/>
      <c r="P111" s="16"/>
      <c r="U111" s="93"/>
      <c r="W111" s="17"/>
      <c r="Y111" s="16"/>
    </row>
    <row r="112" spans="2:26">
      <c r="C112" s="87">
        <f>25000+25000+100000+50000</f>
        <v>200000</v>
      </c>
      <c r="D112" s="25" t="s">
        <v>126</v>
      </c>
      <c r="E112" s="25"/>
      <c r="F112" s="26">
        <v>150000</v>
      </c>
      <c r="G112" s="83"/>
      <c r="J112" s="17"/>
      <c r="K112" s="17"/>
      <c r="L112" s="17"/>
      <c r="M112" s="16"/>
      <c r="N112" s="16"/>
      <c r="O112" s="16"/>
      <c r="P112" s="16"/>
      <c r="U112" s="93"/>
      <c r="W112" s="17"/>
      <c r="Y112" s="16"/>
    </row>
    <row r="113" spans="2:25">
      <c r="B113" s="16" t="s">
        <v>127</v>
      </c>
      <c r="C113" s="25">
        <v>20000</v>
      </c>
      <c r="D113" s="25">
        <v>3000</v>
      </c>
      <c r="E113" s="25"/>
      <c r="F113" s="25">
        <f>C113-D113</f>
        <v>17000</v>
      </c>
      <c r="G113" s="16" t="s">
        <v>109</v>
      </c>
      <c r="J113" s="17"/>
      <c r="K113" s="17"/>
      <c r="L113" s="17"/>
      <c r="M113" s="16"/>
      <c r="N113" s="16"/>
      <c r="O113" s="16"/>
      <c r="P113" s="16"/>
      <c r="U113" s="93"/>
      <c r="W113" s="17"/>
      <c r="Y113" s="16"/>
    </row>
    <row r="114" spans="2:25">
      <c r="C114" s="25">
        <v>20000</v>
      </c>
      <c r="D114" s="25">
        <v>3000</v>
      </c>
      <c r="E114" s="25"/>
      <c r="F114" s="25">
        <f>F113-D114</f>
        <v>14000</v>
      </c>
      <c r="G114" s="16" t="s">
        <v>110</v>
      </c>
      <c r="J114" s="17"/>
      <c r="K114" s="17"/>
      <c r="L114" s="17"/>
      <c r="M114" s="16"/>
      <c r="N114" s="16"/>
      <c r="O114" s="16"/>
      <c r="P114" s="16"/>
      <c r="U114" s="93"/>
      <c r="W114" s="17"/>
      <c r="Y114" s="16"/>
    </row>
    <row r="115" spans="2:25">
      <c r="J115" s="17"/>
      <c r="K115" s="17"/>
      <c r="L115" s="17"/>
      <c r="M115" s="16"/>
      <c r="N115" s="16"/>
      <c r="O115" s="16"/>
      <c r="P115" s="16"/>
      <c r="U115" s="93"/>
      <c r="W115" s="17"/>
      <c r="Y115" s="16"/>
    </row>
    <row r="116" spans="2:25">
      <c r="J116" s="17"/>
      <c r="K116" s="17"/>
      <c r="L116" s="17"/>
      <c r="M116" s="16"/>
      <c r="N116" s="16"/>
      <c r="O116" s="16"/>
      <c r="P116" s="16"/>
      <c r="U116" s="93"/>
      <c r="W116" s="17"/>
      <c r="Y116" s="16"/>
    </row>
    <row r="117" spans="2:25">
      <c r="J117" s="17"/>
      <c r="K117" s="17"/>
      <c r="L117" s="17"/>
      <c r="M117" s="16"/>
      <c r="N117" s="16"/>
      <c r="O117" s="16"/>
      <c r="P117" s="16"/>
      <c r="U117" s="93"/>
      <c r="W117" s="17"/>
      <c r="Y117" s="16"/>
    </row>
    <row r="118" spans="2:25">
      <c r="C118" s="84" t="s">
        <v>52</v>
      </c>
      <c r="D118" s="84" t="s">
        <v>102</v>
      </c>
      <c r="E118" s="84"/>
      <c r="F118" s="84" t="s">
        <v>103</v>
      </c>
      <c r="J118" s="17"/>
      <c r="K118" s="17"/>
      <c r="L118" s="17"/>
      <c r="M118" s="16"/>
      <c r="N118" s="16"/>
      <c r="O118" s="16"/>
      <c r="P118" s="16"/>
      <c r="U118" s="93"/>
      <c r="W118" s="17"/>
      <c r="Y118" s="16"/>
    </row>
    <row r="119" spans="2:25">
      <c r="C119" s="87">
        <v>7000</v>
      </c>
      <c r="D119" s="90" t="s">
        <v>128</v>
      </c>
      <c r="E119" s="90"/>
      <c r="F119" s="54">
        <v>2000</v>
      </c>
      <c r="G119" s="83"/>
      <c r="J119" s="17"/>
      <c r="K119" s="17"/>
      <c r="L119" s="17"/>
      <c r="M119" s="16"/>
      <c r="N119" s="16"/>
      <c r="O119" s="16"/>
      <c r="P119" s="16"/>
      <c r="U119" s="93"/>
      <c r="W119" s="17"/>
      <c r="Y119" s="16"/>
    </row>
    <row r="120" spans="2:25">
      <c r="C120" s="25"/>
      <c r="D120" s="25"/>
      <c r="E120" s="25"/>
      <c r="F120" s="25"/>
      <c r="J120" s="17"/>
      <c r="K120" s="17"/>
      <c r="L120" s="17"/>
      <c r="M120" s="16"/>
      <c r="N120" s="16"/>
      <c r="O120" s="16"/>
      <c r="P120" s="16"/>
      <c r="U120" s="93"/>
      <c r="W120" s="17"/>
      <c r="Y120" s="16"/>
    </row>
    <row r="121" spans="2:25">
      <c r="C121" s="25"/>
      <c r="D121" s="25"/>
      <c r="E121" s="25"/>
      <c r="F121" s="25"/>
      <c r="J121" s="17"/>
      <c r="K121" s="17"/>
      <c r="L121" s="17"/>
      <c r="M121" s="16"/>
      <c r="N121" s="16"/>
      <c r="O121" s="16"/>
      <c r="P121" s="16"/>
      <c r="U121" s="93"/>
      <c r="W121" s="17"/>
      <c r="Y121" s="16"/>
    </row>
    <row r="122" spans="2:25">
      <c r="J122" s="17"/>
      <c r="K122" s="17"/>
      <c r="L122" s="17"/>
      <c r="M122" s="16"/>
      <c r="N122" s="16"/>
      <c r="O122" s="16"/>
      <c r="P122" s="16"/>
      <c r="U122" s="93"/>
      <c r="W122" s="17"/>
      <c r="Y122" s="16"/>
    </row>
    <row r="123" spans="2:25">
      <c r="J123" s="17"/>
      <c r="K123" s="17"/>
      <c r="L123" s="17"/>
      <c r="M123" s="16"/>
      <c r="N123" s="16"/>
      <c r="O123" s="16"/>
      <c r="P123" s="16"/>
      <c r="U123" s="93"/>
      <c r="W123" s="17"/>
      <c r="Y123" s="16"/>
    </row>
    <row r="124" spans="2:25">
      <c r="C124" s="84" t="s">
        <v>51</v>
      </c>
      <c r="D124" s="84" t="s">
        <v>102</v>
      </c>
      <c r="E124" s="84"/>
      <c r="F124" s="84" t="s">
        <v>103</v>
      </c>
      <c r="J124" s="17"/>
      <c r="K124" s="17"/>
      <c r="L124" s="17"/>
      <c r="M124" s="16"/>
      <c r="N124" s="16"/>
      <c r="O124" s="16"/>
      <c r="P124" s="16"/>
      <c r="U124" s="93"/>
      <c r="W124" s="17"/>
      <c r="Y124" s="16"/>
    </row>
    <row r="125" spans="2:25">
      <c r="C125" s="87">
        <v>10000</v>
      </c>
      <c r="D125" s="90">
        <v>2000</v>
      </c>
      <c r="E125" s="90"/>
      <c r="F125" s="26">
        <f>C125-D125</f>
        <v>8000</v>
      </c>
      <c r="G125" s="83" t="s">
        <v>113</v>
      </c>
      <c r="J125" s="17"/>
      <c r="K125" s="17"/>
      <c r="L125" s="17"/>
      <c r="M125" s="16"/>
      <c r="N125" s="16"/>
      <c r="O125" s="16"/>
      <c r="P125" s="16"/>
      <c r="U125" s="93"/>
      <c r="W125" s="17"/>
      <c r="Y125" s="16"/>
    </row>
    <row r="126" spans="2:25">
      <c r="C126" s="87">
        <v>10000</v>
      </c>
      <c r="D126" s="90">
        <v>2000</v>
      </c>
      <c r="E126" s="90"/>
      <c r="F126" s="75">
        <f>F125-D126</f>
        <v>6000</v>
      </c>
      <c r="G126" s="83" t="s">
        <v>114</v>
      </c>
      <c r="J126" s="17"/>
      <c r="K126" s="17"/>
      <c r="L126" s="17"/>
      <c r="M126" s="16"/>
      <c r="N126" s="16"/>
      <c r="O126" s="16"/>
      <c r="P126" s="16"/>
      <c r="U126" s="93"/>
      <c r="W126" s="17"/>
      <c r="Y126" s="16"/>
    </row>
    <row r="127" spans="2:25">
      <c r="C127" s="87">
        <v>10000</v>
      </c>
      <c r="D127" s="90">
        <v>2000</v>
      </c>
      <c r="E127" s="90"/>
      <c r="F127" s="75">
        <f>F126-D127</f>
        <v>4000</v>
      </c>
      <c r="G127" s="83" t="s">
        <v>120</v>
      </c>
      <c r="J127" s="17"/>
      <c r="K127" s="17"/>
      <c r="L127" s="17"/>
      <c r="M127" s="16"/>
      <c r="N127" s="16"/>
      <c r="O127" s="16"/>
      <c r="P127" s="16"/>
      <c r="U127" s="93"/>
      <c r="W127" s="17"/>
      <c r="Y127" s="16"/>
    </row>
    <row r="128" spans="2:25">
      <c r="C128" s="87">
        <v>10000</v>
      </c>
      <c r="D128" s="90">
        <v>2000</v>
      </c>
      <c r="E128" s="90"/>
      <c r="F128" s="75">
        <f>F127-D128</f>
        <v>2000</v>
      </c>
      <c r="G128" s="83" t="s">
        <v>129</v>
      </c>
      <c r="J128" s="17"/>
      <c r="K128" s="17"/>
      <c r="L128" s="17"/>
      <c r="M128" s="16"/>
      <c r="N128" s="16"/>
      <c r="O128" s="16"/>
      <c r="P128" s="16"/>
      <c r="W128" s="17"/>
      <c r="Y128" s="16"/>
    </row>
    <row r="129" spans="3:26">
      <c r="C129" s="87">
        <v>10000</v>
      </c>
      <c r="D129" s="90">
        <v>2000</v>
      </c>
      <c r="E129" s="90"/>
      <c r="F129" s="75">
        <f>F128-D129</f>
        <v>0</v>
      </c>
      <c r="G129" s="83" t="s">
        <v>122</v>
      </c>
      <c r="J129" s="17"/>
      <c r="K129" s="17"/>
      <c r="L129" s="17"/>
      <c r="M129" s="16"/>
      <c r="N129" s="16"/>
      <c r="O129" s="16"/>
      <c r="P129" s="16"/>
      <c r="W129" s="17"/>
      <c r="Y129" s="16"/>
    </row>
    <row r="130" spans="3:26">
      <c r="J130" s="17"/>
      <c r="K130" s="17"/>
      <c r="L130" s="17"/>
      <c r="M130" s="16"/>
      <c r="N130" s="16"/>
      <c r="O130" s="16"/>
      <c r="P130" s="16"/>
      <c r="W130" s="17"/>
      <c r="Y130" s="16"/>
    </row>
    <row r="131" spans="3:26">
      <c r="C131" s="84" t="s">
        <v>130</v>
      </c>
      <c r="D131" s="84" t="s">
        <v>102</v>
      </c>
      <c r="E131" s="84"/>
      <c r="F131" s="84" t="s">
        <v>103</v>
      </c>
      <c r="J131" s="17"/>
      <c r="K131" s="17"/>
      <c r="L131" s="17"/>
      <c r="M131" s="16"/>
      <c r="N131" s="16"/>
      <c r="O131" s="16"/>
      <c r="P131" s="16"/>
      <c r="W131" s="17"/>
      <c r="Y131" s="16"/>
    </row>
    <row r="132" spans="3:26">
      <c r="C132" s="87">
        <v>235000</v>
      </c>
      <c r="D132" s="94"/>
      <c r="E132" s="94"/>
      <c r="F132" s="26">
        <f>C132-D132</f>
        <v>235000</v>
      </c>
      <c r="G132" s="83" t="s">
        <v>120</v>
      </c>
      <c r="J132" s="17"/>
      <c r="K132" s="17"/>
      <c r="L132" s="17"/>
      <c r="M132" s="16"/>
      <c r="N132" s="16"/>
      <c r="O132" s="16"/>
      <c r="P132" s="16"/>
      <c r="W132" s="17"/>
      <c r="Y132" s="16"/>
    </row>
    <row r="133" spans="3:26">
      <c r="C133" s="87">
        <v>235000</v>
      </c>
      <c r="D133" s="90">
        <v>235000</v>
      </c>
      <c r="E133" s="90"/>
      <c r="F133" s="26">
        <f>C133-D133</f>
        <v>0</v>
      </c>
      <c r="G133" s="16" t="s">
        <v>117</v>
      </c>
      <c r="V133" s="93"/>
      <c r="Y133" s="16"/>
      <c r="Z133" s="17"/>
    </row>
    <row r="134" spans="3:26">
      <c r="C134" s="25"/>
      <c r="D134" s="25"/>
      <c r="E134" s="25"/>
      <c r="F134" s="25"/>
      <c r="V134" s="93"/>
      <c r="Y134" s="16"/>
      <c r="Z134" s="17"/>
    </row>
    <row r="135" spans="3:26">
      <c r="V135" s="93"/>
      <c r="Y135" s="16"/>
      <c r="Z135" s="17"/>
    </row>
    <row r="136" spans="3:26">
      <c r="V136" s="93"/>
      <c r="Y136" s="16"/>
      <c r="Z136" s="17"/>
    </row>
    <row r="137" spans="3:26">
      <c r="C137" s="84" t="s">
        <v>131</v>
      </c>
      <c r="D137" s="84" t="s">
        <v>102</v>
      </c>
      <c r="E137" s="84"/>
      <c r="F137" s="84" t="s">
        <v>103</v>
      </c>
      <c r="V137" s="93"/>
      <c r="Y137" s="16"/>
      <c r="Z137" s="17"/>
    </row>
    <row r="138" spans="3:26">
      <c r="C138" s="87">
        <v>25000</v>
      </c>
      <c r="D138" s="94">
        <v>2500</v>
      </c>
      <c r="E138" s="94"/>
      <c r="F138" s="26">
        <f>C138-D138</f>
        <v>22500</v>
      </c>
      <c r="G138" s="16" t="s">
        <v>132</v>
      </c>
      <c r="V138" s="93"/>
      <c r="Y138" s="16"/>
      <c r="Z138" s="17"/>
    </row>
    <row r="139" spans="3:26">
      <c r="C139" s="87">
        <v>25000</v>
      </c>
      <c r="D139" s="94">
        <v>2500</v>
      </c>
      <c r="E139" s="94"/>
      <c r="F139" s="26">
        <f t="shared" ref="F139:F144" si="18">F138-D139</f>
        <v>20000</v>
      </c>
      <c r="G139" s="16" t="s">
        <v>122</v>
      </c>
      <c r="V139" s="93"/>
      <c r="Y139" s="16"/>
      <c r="Z139" s="17"/>
    </row>
    <row r="140" spans="3:26">
      <c r="C140" s="87">
        <v>25000</v>
      </c>
      <c r="D140" s="94">
        <v>2500</v>
      </c>
      <c r="E140" s="94"/>
      <c r="F140" s="26">
        <f t="shared" si="18"/>
        <v>17500</v>
      </c>
      <c r="G140" s="16" t="s">
        <v>117</v>
      </c>
      <c r="V140" s="93"/>
      <c r="Y140" s="16"/>
      <c r="Z140" s="17"/>
    </row>
    <row r="141" spans="3:26">
      <c r="C141" s="87">
        <v>25000</v>
      </c>
      <c r="D141" s="94">
        <v>2500</v>
      </c>
      <c r="E141" s="94"/>
      <c r="F141" s="26">
        <f t="shared" si="18"/>
        <v>15000</v>
      </c>
      <c r="G141" s="16" t="s">
        <v>118</v>
      </c>
      <c r="V141" s="93"/>
      <c r="Y141" s="16"/>
      <c r="Z141" s="17"/>
    </row>
    <row r="142" spans="3:26">
      <c r="C142" s="87">
        <v>25000</v>
      </c>
      <c r="D142" s="94">
        <v>2500</v>
      </c>
      <c r="E142" s="94"/>
      <c r="F142" s="26">
        <f t="shared" si="18"/>
        <v>12500</v>
      </c>
      <c r="G142" s="16" t="s">
        <v>124</v>
      </c>
      <c r="V142" s="93"/>
      <c r="Y142" s="16"/>
      <c r="Z142" s="17"/>
    </row>
    <row r="143" spans="3:26">
      <c r="C143" s="87">
        <v>25000</v>
      </c>
      <c r="D143" s="94">
        <v>2500</v>
      </c>
      <c r="E143" s="94"/>
      <c r="F143" s="26">
        <f t="shared" si="18"/>
        <v>10000</v>
      </c>
      <c r="G143" s="16" t="s">
        <v>109</v>
      </c>
      <c r="V143" s="93"/>
      <c r="Y143" s="16"/>
      <c r="Z143" s="17"/>
    </row>
    <row r="144" spans="3:26">
      <c r="C144" s="87">
        <v>25000</v>
      </c>
      <c r="D144" s="94">
        <v>2500</v>
      </c>
      <c r="E144" s="94"/>
      <c r="F144" s="26">
        <f t="shared" si="18"/>
        <v>7500</v>
      </c>
      <c r="G144" s="16" t="s">
        <v>119</v>
      </c>
      <c r="V144" s="93"/>
      <c r="Y144" s="16"/>
      <c r="Z144" s="17"/>
    </row>
    <row r="145" spans="3:26">
      <c r="C145" s="95"/>
      <c r="D145" s="96"/>
      <c r="E145" s="96"/>
      <c r="F145" s="86"/>
      <c r="V145" s="93"/>
      <c r="Y145" s="16"/>
      <c r="Z145" s="17"/>
    </row>
    <row r="146" spans="3:26">
      <c r="C146" s="95"/>
      <c r="D146" s="96"/>
      <c r="E146" s="96"/>
      <c r="F146" s="86"/>
      <c r="V146" s="93"/>
      <c r="Y146" s="16"/>
      <c r="Z146" s="17"/>
    </row>
    <row r="147" spans="3:26">
      <c r="C147" s="95"/>
      <c r="D147" s="96"/>
      <c r="E147" s="96"/>
      <c r="F147" s="86"/>
      <c r="V147" s="93"/>
      <c r="Y147" s="16"/>
      <c r="Z147" s="17"/>
    </row>
    <row r="148" spans="3:26">
      <c r="C148" s="81"/>
      <c r="D148" s="81"/>
      <c r="E148" s="81"/>
      <c r="F148" s="81"/>
      <c r="V148" s="93"/>
      <c r="Y148" s="16"/>
      <c r="Z148" s="17"/>
    </row>
    <row r="149" spans="3:26">
      <c r="C149" s="97"/>
      <c r="D149" s="97"/>
      <c r="E149" s="97"/>
      <c r="F149" s="97"/>
      <c r="V149" s="93"/>
      <c r="Y149" s="16"/>
      <c r="Z149" s="17"/>
    </row>
    <row r="150" spans="3:26">
      <c r="C150" s="98" t="s">
        <v>133</v>
      </c>
      <c r="D150" s="98" t="s">
        <v>102</v>
      </c>
      <c r="E150" s="98"/>
      <c r="F150" s="98" t="s">
        <v>103</v>
      </c>
      <c r="V150" s="93"/>
      <c r="Y150" s="16"/>
      <c r="Z150" s="17"/>
    </row>
    <row r="151" spans="3:26">
      <c r="C151" s="99">
        <v>50000</v>
      </c>
      <c r="D151" s="100"/>
      <c r="E151" s="100"/>
      <c r="F151" s="101">
        <f>C151-D151</f>
        <v>50000</v>
      </c>
      <c r="V151" s="93"/>
      <c r="Y151" s="16"/>
      <c r="Z151" s="17"/>
    </row>
    <row r="152" spans="3:26">
      <c r="C152" s="99">
        <v>10000</v>
      </c>
      <c r="D152" s="102">
        <v>5000</v>
      </c>
      <c r="E152" s="102"/>
      <c r="F152" s="103">
        <v>5000</v>
      </c>
      <c r="G152" s="16" t="s">
        <v>124</v>
      </c>
      <c r="V152" s="93"/>
      <c r="Y152" s="16"/>
      <c r="Z152" s="17"/>
    </row>
    <row r="153" spans="3:26">
      <c r="C153" s="99">
        <v>20000</v>
      </c>
      <c r="D153" s="102">
        <v>5000</v>
      </c>
      <c r="E153" s="102"/>
      <c r="F153" s="103">
        <v>20000</v>
      </c>
      <c r="G153" s="16" t="s">
        <v>109</v>
      </c>
      <c r="V153" s="93"/>
      <c r="Y153" s="16"/>
      <c r="Z153" s="17"/>
    </row>
    <row r="154" spans="3:26">
      <c r="C154" s="81"/>
      <c r="D154" s="81"/>
      <c r="E154" s="81"/>
      <c r="F154" s="81"/>
      <c r="V154" s="93"/>
      <c r="Y154" s="16"/>
      <c r="Z154" s="17"/>
    </row>
    <row r="155" spans="3:26">
      <c r="C155" s="84" t="s">
        <v>134</v>
      </c>
      <c r="D155" s="25"/>
      <c r="E155" s="25"/>
      <c r="F155" s="84" t="s">
        <v>135</v>
      </c>
      <c r="V155" s="93"/>
      <c r="Y155" s="16"/>
      <c r="Z155" s="17"/>
    </row>
    <row r="156" spans="3:26">
      <c r="C156" s="87">
        <v>100000</v>
      </c>
      <c r="D156" s="87">
        <v>10000</v>
      </c>
      <c r="E156" s="87"/>
      <c r="F156" s="87">
        <f>+C156-D156</f>
        <v>90000</v>
      </c>
      <c r="G156" s="16" t="s">
        <v>124</v>
      </c>
      <c r="V156" s="93"/>
      <c r="Y156" s="16"/>
      <c r="Z156" s="17"/>
    </row>
    <row r="157" spans="3:26">
      <c r="C157" s="87">
        <v>100000</v>
      </c>
      <c r="D157" s="87">
        <v>10000</v>
      </c>
      <c r="E157" s="87"/>
      <c r="F157" s="87">
        <v>80000</v>
      </c>
      <c r="G157" s="16" t="s">
        <v>109</v>
      </c>
      <c r="V157" s="93"/>
      <c r="Y157" s="16"/>
      <c r="Z157" s="17"/>
    </row>
    <row r="158" spans="3:26">
      <c r="C158" s="87">
        <v>100000</v>
      </c>
      <c r="D158" s="87">
        <v>10000</v>
      </c>
      <c r="E158" s="87"/>
      <c r="F158" s="87">
        <f>F157-D158</f>
        <v>70000</v>
      </c>
      <c r="G158" s="16" t="s">
        <v>119</v>
      </c>
      <c r="V158" s="93"/>
      <c r="Y158" s="16"/>
      <c r="Z158" s="17"/>
    </row>
    <row r="159" spans="3:26">
      <c r="C159" s="95"/>
      <c r="D159" s="95"/>
      <c r="E159" s="95"/>
      <c r="F159" s="95"/>
      <c r="V159" s="93"/>
      <c r="Y159" s="16"/>
      <c r="Z159" s="17"/>
    </row>
    <row r="160" spans="3:26">
      <c r="C160" s="95"/>
      <c r="D160" s="95"/>
      <c r="E160" s="95"/>
      <c r="F160" s="95"/>
      <c r="V160" s="93"/>
      <c r="Y160" s="16"/>
      <c r="Z160" s="17"/>
    </row>
    <row r="161" spans="3:26">
      <c r="C161" s="84" t="s">
        <v>136</v>
      </c>
      <c r="D161" s="84" t="s">
        <v>102</v>
      </c>
      <c r="E161" s="84"/>
      <c r="F161" s="84" t="s">
        <v>103</v>
      </c>
      <c r="V161" s="93"/>
      <c r="Y161" s="16"/>
      <c r="Z161" s="17"/>
    </row>
    <row r="162" spans="3:26">
      <c r="C162" s="87">
        <v>30000</v>
      </c>
      <c r="D162" s="94">
        <v>3000</v>
      </c>
      <c r="E162" s="94"/>
      <c r="F162" s="26">
        <f>C162-D162</f>
        <v>27000</v>
      </c>
      <c r="G162" s="16" t="s">
        <v>109</v>
      </c>
      <c r="V162" s="93"/>
      <c r="Y162" s="16"/>
      <c r="Z162" s="17"/>
    </row>
    <row r="163" spans="3:26">
      <c r="C163" s="87">
        <v>30000</v>
      </c>
      <c r="D163" s="94">
        <v>3000</v>
      </c>
      <c r="E163" s="94"/>
      <c r="F163" s="26">
        <f>F162-D163</f>
        <v>24000</v>
      </c>
      <c r="G163" s="16" t="s">
        <v>137</v>
      </c>
      <c r="V163" s="93"/>
      <c r="Y163" s="16"/>
      <c r="Z163" s="17"/>
    </row>
    <row r="164" spans="3:26">
      <c r="C164" s="87">
        <v>30000</v>
      </c>
      <c r="D164" s="94">
        <v>3000</v>
      </c>
      <c r="E164" s="94"/>
      <c r="F164" s="26">
        <f>F163-D164</f>
        <v>21000</v>
      </c>
      <c r="G164" s="16" t="s">
        <v>111</v>
      </c>
      <c r="V164" s="93"/>
      <c r="Y164" s="16"/>
      <c r="Z164" s="17"/>
    </row>
    <row r="165" spans="3:26">
      <c r="C165" s="89"/>
      <c r="D165" s="89"/>
      <c r="E165" s="89"/>
      <c r="F165" s="89"/>
      <c r="V165" s="93"/>
      <c r="Y165" s="16"/>
      <c r="Z165" s="17"/>
    </row>
    <row r="166" spans="3:26">
      <c r="C166" s="89"/>
      <c r="D166" s="89"/>
      <c r="E166" s="89"/>
      <c r="F166" s="89"/>
      <c r="V166" s="93"/>
      <c r="Y166" s="16"/>
      <c r="Z166" s="17"/>
    </row>
    <row r="167" spans="3:26">
      <c r="C167" s="84" t="s">
        <v>43</v>
      </c>
      <c r="D167" s="84" t="s">
        <v>102</v>
      </c>
      <c r="E167" s="84"/>
      <c r="F167" s="84" t="s">
        <v>103</v>
      </c>
      <c r="V167" s="93"/>
      <c r="Y167" s="16"/>
      <c r="Z167" s="17"/>
    </row>
    <row r="168" spans="3:26">
      <c r="C168" s="87">
        <v>200000</v>
      </c>
      <c r="D168" s="94">
        <v>10000</v>
      </c>
      <c r="E168" s="94"/>
      <c r="F168" s="26">
        <f>D168-C168</f>
        <v>-190000</v>
      </c>
      <c r="G168" s="16" t="s">
        <v>124</v>
      </c>
      <c r="V168" s="93"/>
      <c r="Y168" s="16"/>
      <c r="Z168" s="17"/>
    </row>
    <row r="169" spans="3:26">
      <c r="C169" s="87">
        <v>200000</v>
      </c>
      <c r="D169" s="94">
        <v>10000</v>
      </c>
      <c r="E169" s="94"/>
      <c r="F169" s="26">
        <v>180000</v>
      </c>
      <c r="G169" s="16" t="s">
        <v>109</v>
      </c>
      <c r="V169" s="93"/>
      <c r="Y169" s="16"/>
      <c r="Z169" s="17"/>
    </row>
    <row r="170" spans="3:26">
      <c r="C170" s="87">
        <v>200000</v>
      </c>
      <c r="D170" s="94">
        <v>10000</v>
      </c>
      <c r="E170" s="94"/>
      <c r="F170" s="87">
        <v>170000</v>
      </c>
      <c r="G170" s="16" t="s">
        <v>137</v>
      </c>
      <c r="V170" s="93"/>
      <c r="Y170" s="16"/>
      <c r="Z170" s="17"/>
    </row>
    <row r="171" spans="3:26">
      <c r="C171" s="87">
        <v>200000</v>
      </c>
      <c r="D171" s="94">
        <v>10000</v>
      </c>
      <c r="E171" s="94"/>
      <c r="F171" s="87">
        <f>F170-D171</f>
        <v>160000</v>
      </c>
      <c r="G171" s="16" t="s">
        <v>111</v>
      </c>
      <c r="V171" s="93"/>
      <c r="Y171" s="16"/>
      <c r="Z171" s="17"/>
    </row>
    <row r="172" spans="3:26">
      <c r="C172" s="89"/>
      <c r="D172" s="104"/>
      <c r="E172" s="104"/>
      <c r="F172" s="89"/>
      <c r="V172" s="93"/>
      <c r="Y172" s="16"/>
      <c r="Z172" s="17"/>
    </row>
    <row r="173" spans="3:26">
      <c r="C173" s="89"/>
      <c r="D173" s="104"/>
      <c r="E173" s="104"/>
      <c r="F173" s="89"/>
      <c r="V173" s="93"/>
      <c r="Y173" s="16"/>
      <c r="Z173" s="17"/>
    </row>
    <row r="174" spans="3:26">
      <c r="C174" s="89"/>
      <c r="D174" s="89"/>
      <c r="E174" s="89"/>
      <c r="F174" s="89"/>
      <c r="V174" s="93"/>
      <c r="Y174" s="16"/>
      <c r="Z174" s="17"/>
    </row>
    <row r="175" spans="3:26">
      <c r="C175" s="84" t="s">
        <v>138</v>
      </c>
      <c r="D175" s="84" t="s">
        <v>102</v>
      </c>
      <c r="E175" s="84"/>
      <c r="F175" s="84" t="s">
        <v>103</v>
      </c>
      <c r="V175" s="93"/>
      <c r="Y175" s="16"/>
      <c r="Z175" s="17"/>
    </row>
    <row r="176" spans="3:26">
      <c r="C176" s="87">
        <v>200000</v>
      </c>
      <c r="D176" s="94">
        <v>20000</v>
      </c>
      <c r="E176" s="94"/>
      <c r="F176" s="26">
        <f>C176-D176</f>
        <v>180000</v>
      </c>
      <c r="V176" s="93"/>
      <c r="Y176" s="16"/>
      <c r="Z176" s="17"/>
    </row>
    <row r="177" spans="3:26">
      <c r="C177" s="87">
        <v>200000</v>
      </c>
      <c r="D177" s="94">
        <v>20000</v>
      </c>
      <c r="E177" s="94"/>
      <c r="F177" s="26">
        <f>F176-D177</f>
        <v>160000</v>
      </c>
      <c r="V177" s="93"/>
      <c r="Y177" s="16"/>
      <c r="Z177" s="17"/>
    </row>
    <row r="178" spans="3:26">
      <c r="C178" s="89"/>
      <c r="D178" s="89"/>
      <c r="E178" s="89"/>
      <c r="F178" s="89"/>
      <c r="V178" s="93"/>
      <c r="Y178" s="16"/>
      <c r="Z178" s="17"/>
    </row>
    <row r="179" spans="3:26">
      <c r="C179" s="89"/>
      <c r="D179" s="89"/>
      <c r="E179" s="89"/>
      <c r="F179" s="89"/>
      <c r="V179" s="93"/>
      <c r="Y179" s="16"/>
      <c r="Z179" s="17"/>
    </row>
    <row r="180" spans="3:26">
      <c r="V180" s="93"/>
      <c r="Y180" s="16"/>
      <c r="Z180" s="17"/>
    </row>
    <row r="181" spans="3:26">
      <c r="V181" s="93"/>
      <c r="Y181" s="16"/>
      <c r="Z181" s="17"/>
    </row>
    <row r="182" spans="3:26">
      <c r="J182" s="17"/>
      <c r="K182" s="17"/>
      <c r="L182" s="17"/>
      <c r="M182" s="16"/>
      <c r="N182" s="16"/>
      <c r="O182" s="16"/>
      <c r="P182" s="16"/>
      <c r="W182" s="17"/>
      <c r="Y182" s="16"/>
    </row>
    <row r="183" spans="3:26">
      <c r="J183" s="17"/>
      <c r="K183" s="17"/>
      <c r="L183" s="17"/>
      <c r="M183" s="16"/>
      <c r="N183" s="16"/>
      <c r="O183" s="16"/>
      <c r="P183" s="16"/>
      <c r="W183" s="17"/>
      <c r="Y183" s="16"/>
    </row>
    <row r="184" spans="3:26">
      <c r="H184" s="23"/>
      <c r="J184" s="17"/>
      <c r="K184" s="17"/>
      <c r="L184" s="17"/>
      <c r="M184" s="16"/>
      <c r="N184" s="16"/>
      <c r="O184" s="16"/>
      <c r="P184" s="16"/>
      <c r="T184" s="93"/>
      <c r="W184" s="17"/>
      <c r="Y184" s="16"/>
    </row>
    <row r="185" spans="3:26">
      <c r="J185" s="17"/>
      <c r="K185" s="17"/>
      <c r="L185" s="17"/>
      <c r="M185" s="16"/>
      <c r="N185" s="16"/>
      <c r="O185" s="16"/>
      <c r="P185" s="16"/>
      <c r="T185" s="93"/>
      <c r="W185" s="17"/>
      <c r="Y185" s="16"/>
    </row>
    <row r="186" spans="3:26" ht="15">
      <c r="I186" s="105"/>
      <c r="J186" s="17"/>
      <c r="K186" s="17"/>
      <c r="L186" s="17"/>
      <c r="M186" s="16"/>
      <c r="N186" s="16"/>
      <c r="O186" s="16"/>
      <c r="P186" s="16"/>
      <c r="T186" s="93"/>
      <c r="W186" s="17"/>
      <c r="Y186" s="16"/>
    </row>
    <row r="187" spans="3:26">
      <c r="J187" s="17"/>
      <c r="K187" s="17"/>
      <c r="L187" s="17"/>
      <c r="M187" s="16"/>
      <c r="N187" s="16"/>
      <c r="O187" s="16"/>
      <c r="P187" s="16"/>
      <c r="T187" s="93"/>
      <c r="W187" s="17"/>
      <c r="Y187" s="16"/>
    </row>
    <row r="188" spans="3:26">
      <c r="J188" s="17"/>
      <c r="K188" s="17"/>
      <c r="L188" s="17"/>
      <c r="M188" s="16"/>
      <c r="N188" s="16"/>
      <c r="O188" s="16"/>
      <c r="P188" s="16"/>
      <c r="T188" s="93"/>
      <c r="V188" s="17"/>
      <c r="Y188" s="16"/>
    </row>
    <row r="189" spans="3:26">
      <c r="J189" s="17"/>
      <c r="K189" s="17"/>
      <c r="L189" s="17"/>
      <c r="M189" s="16"/>
      <c r="N189" s="16"/>
      <c r="O189" s="16"/>
      <c r="P189" s="16"/>
      <c r="T189" s="93"/>
      <c r="V189" s="17"/>
      <c r="Y189" s="16"/>
    </row>
    <row r="190" spans="3:26">
      <c r="J190" s="17"/>
      <c r="K190" s="17"/>
      <c r="L190" s="17"/>
      <c r="M190" s="16"/>
      <c r="N190" s="16"/>
      <c r="O190" s="16"/>
      <c r="P190" s="16"/>
      <c r="T190" s="93"/>
      <c r="V190" s="17"/>
      <c r="Y190" s="16"/>
    </row>
    <row r="191" spans="3:26">
      <c r="J191" s="17"/>
      <c r="K191" s="17"/>
      <c r="L191" s="17"/>
      <c r="M191" s="16"/>
      <c r="N191" s="16"/>
      <c r="O191" s="16"/>
      <c r="P191" s="16"/>
      <c r="T191" s="93"/>
      <c r="V191" s="17"/>
      <c r="Y191" s="16"/>
    </row>
    <row r="192" spans="3:26">
      <c r="J192" s="17"/>
      <c r="K192" s="17"/>
      <c r="L192" s="17"/>
      <c r="M192" s="16"/>
      <c r="N192" s="16"/>
      <c r="O192" s="16"/>
      <c r="P192" s="16"/>
      <c r="T192" s="93"/>
      <c r="V192" s="17"/>
      <c r="Y192" s="16"/>
    </row>
    <row r="193" spans="10:25">
      <c r="J193" s="17"/>
      <c r="K193" s="17"/>
      <c r="L193" s="17"/>
      <c r="M193" s="16"/>
      <c r="N193" s="16"/>
      <c r="O193" s="16"/>
      <c r="P193" s="16"/>
      <c r="T193" s="93"/>
      <c r="V193" s="17"/>
      <c r="Y193" s="16"/>
    </row>
    <row r="194" spans="10:25">
      <c r="J194" s="17"/>
      <c r="K194" s="17"/>
      <c r="L194" s="17"/>
      <c r="M194" s="16"/>
      <c r="N194" s="16"/>
      <c r="O194" s="16"/>
      <c r="P194" s="16"/>
      <c r="V194" s="17"/>
      <c r="Y194" s="16"/>
    </row>
    <row r="195" spans="10:25">
      <c r="J195" s="17"/>
      <c r="K195" s="17"/>
      <c r="L195" s="17"/>
      <c r="M195" s="16"/>
      <c r="N195" s="16"/>
      <c r="O195" s="16"/>
      <c r="P195" s="16"/>
      <c r="V195" s="17"/>
      <c r="Y195" s="16"/>
    </row>
    <row r="196" spans="10:25">
      <c r="J196" s="17"/>
      <c r="K196" s="17"/>
      <c r="L196" s="17"/>
      <c r="M196" s="16"/>
      <c r="N196" s="16"/>
      <c r="O196" s="16"/>
      <c r="P196" s="16"/>
      <c r="V196" s="17"/>
      <c r="Y196" s="16"/>
    </row>
    <row r="197" spans="10:25">
      <c r="J197" s="17"/>
      <c r="K197" s="17"/>
      <c r="L197" s="17"/>
      <c r="M197" s="16"/>
      <c r="N197" s="16"/>
      <c r="O197" s="16"/>
      <c r="P197" s="16"/>
      <c r="V197" s="17"/>
      <c r="Y197" s="16"/>
    </row>
  </sheetData>
  <autoFilter ref="A6:AC54"/>
  <mergeCells count="3">
    <mergeCell ref="B2:M2"/>
    <mergeCell ref="B54:C54"/>
    <mergeCell ref="K62:M62"/>
  </mergeCells>
  <pageMargins left="0.2" right="0.28000000000000003" top="0.75" bottom="0.75" header="0.3" footer="0.3"/>
  <pageSetup scale="4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10"/>
  <sheetViews>
    <sheetView topLeftCell="A24" workbookViewId="0">
      <selection activeCell="E34" sqref="E34"/>
    </sheetView>
  </sheetViews>
  <sheetFormatPr defaultColWidth="9" defaultRowHeight="14.4"/>
  <sheetData>
    <row r="9" spans="2:5">
      <c r="B9" t="s">
        <v>139</v>
      </c>
      <c r="C9" t="s">
        <v>140</v>
      </c>
      <c r="E9" t="s">
        <v>141</v>
      </c>
    </row>
    <row r="10" spans="2:5">
      <c r="B10" t="s">
        <v>142</v>
      </c>
      <c r="C10" t="s">
        <v>140</v>
      </c>
      <c r="E10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28"/>
  <sheetViews>
    <sheetView topLeftCell="A4" zoomScale="85" zoomScaleNormal="85" workbookViewId="0">
      <selection activeCell="G14" sqref="G14:I14"/>
    </sheetView>
  </sheetViews>
  <sheetFormatPr defaultColWidth="9" defaultRowHeight="14.4"/>
  <cols>
    <col min="3" max="3" width="9.109375" customWidth="1"/>
    <col min="4" max="4" width="13.109375" customWidth="1"/>
    <col min="5" max="5" width="13.44140625" customWidth="1"/>
    <col min="7" max="7" width="12.88671875" customWidth="1"/>
    <col min="8" max="8" width="9.109375" customWidth="1"/>
    <col min="9" max="9" width="18.5546875" customWidth="1"/>
    <col min="10" max="10" width="16.88671875" customWidth="1"/>
    <col min="11" max="11" width="10" customWidth="1"/>
  </cols>
  <sheetData>
    <row r="5" spans="2:13" ht="15" customHeight="1">
      <c r="B5" s="1"/>
      <c r="C5" s="2"/>
      <c r="D5" s="2"/>
      <c r="E5" s="128" t="s">
        <v>144</v>
      </c>
      <c r="F5" s="128"/>
      <c r="G5" s="128"/>
      <c r="H5" s="128"/>
      <c r="I5" s="128"/>
      <c r="J5" s="2"/>
      <c r="K5" s="2"/>
      <c r="L5" s="2"/>
      <c r="M5" s="8"/>
    </row>
    <row r="6" spans="2:13" ht="15" customHeight="1">
      <c r="B6" s="3"/>
      <c r="E6" s="129"/>
      <c r="F6" s="129"/>
      <c r="G6" s="129"/>
      <c r="H6" s="129"/>
      <c r="I6" s="129"/>
      <c r="M6" s="9"/>
    </row>
    <row r="7" spans="2:13">
      <c r="B7" s="3"/>
      <c r="M7" s="9"/>
    </row>
    <row r="8" spans="2:13" ht="20.399999999999999">
      <c r="B8" s="3"/>
      <c r="D8" s="167" t="s">
        <v>145</v>
      </c>
      <c r="E8" s="167"/>
      <c r="F8" s="167"/>
      <c r="G8" s="167"/>
      <c r="H8" s="167"/>
      <c r="I8" s="167"/>
      <c r="J8" s="167"/>
      <c r="K8" s="167"/>
      <c r="M8" s="9"/>
    </row>
    <row r="9" spans="2:13">
      <c r="B9" s="3"/>
      <c r="M9" s="9"/>
    </row>
    <row r="10" spans="2:13" ht="23.4">
      <c r="B10" s="3"/>
      <c r="E10" s="168" t="s">
        <v>146</v>
      </c>
      <c r="F10" s="168"/>
      <c r="G10" s="168"/>
      <c r="H10" s="168"/>
      <c r="I10" s="168"/>
      <c r="M10" s="9"/>
    </row>
    <row r="11" spans="2:13">
      <c r="B11" s="3"/>
      <c r="D11" s="4"/>
      <c r="E11" s="4"/>
      <c r="F11" s="4"/>
      <c r="G11" s="4"/>
      <c r="H11" s="4"/>
      <c r="I11" s="4"/>
      <c r="J11" s="4"/>
      <c r="K11" s="4"/>
      <c r="M11" s="9"/>
    </row>
    <row r="12" spans="2:13">
      <c r="B12" s="3"/>
      <c r="M12" s="9"/>
    </row>
    <row r="13" spans="2:13" ht="15">
      <c r="B13" s="3"/>
      <c r="D13" s="169" t="s">
        <v>147</v>
      </c>
      <c r="E13" s="170"/>
      <c r="F13" s="171"/>
      <c r="G13" s="172" t="s">
        <v>24</v>
      </c>
      <c r="H13" s="173"/>
      <c r="I13" s="174"/>
      <c r="M13" s="9"/>
    </row>
    <row r="14" spans="2:13" ht="15">
      <c r="B14" s="3"/>
      <c r="D14" s="175" t="s">
        <v>7</v>
      </c>
      <c r="E14" s="176"/>
      <c r="F14" s="177"/>
      <c r="G14" s="178"/>
      <c r="H14" s="179"/>
      <c r="I14" s="180"/>
      <c r="M14" s="9"/>
    </row>
    <row r="15" spans="2:13" ht="15">
      <c r="B15" s="3"/>
      <c r="D15" s="152" t="s">
        <v>148</v>
      </c>
      <c r="E15" s="153"/>
      <c r="F15" s="154"/>
      <c r="G15" s="155">
        <v>45447</v>
      </c>
      <c r="H15" s="156"/>
      <c r="I15" s="157"/>
      <c r="M15" s="9"/>
    </row>
    <row r="16" spans="2:13">
      <c r="B16" s="3"/>
      <c r="M16" s="9"/>
    </row>
    <row r="17" spans="2:13" ht="15">
      <c r="B17" s="3"/>
      <c r="D17" s="158" t="s">
        <v>149</v>
      </c>
      <c r="E17" s="159"/>
      <c r="F17" s="159"/>
      <c r="G17" s="160"/>
      <c r="H17" s="158" t="s">
        <v>150</v>
      </c>
      <c r="I17" s="159"/>
      <c r="J17" s="159"/>
      <c r="K17" s="160"/>
      <c r="M17" s="9"/>
    </row>
    <row r="18" spans="2:13" ht="15.6">
      <c r="B18" s="3"/>
      <c r="D18" s="161" t="s">
        <v>151</v>
      </c>
      <c r="E18" s="162"/>
      <c r="F18" s="163">
        <v>150000</v>
      </c>
      <c r="G18" s="164"/>
      <c r="H18" s="165" t="s">
        <v>152</v>
      </c>
      <c r="I18" s="166"/>
      <c r="J18" s="163">
        <v>0</v>
      </c>
      <c r="K18" s="164"/>
      <c r="M18" s="9"/>
    </row>
    <row r="19" spans="2:13" ht="15.6">
      <c r="B19" s="3"/>
      <c r="D19" s="142" t="s">
        <v>11</v>
      </c>
      <c r="E19" s="143"/>
      <c r="F19" s="148">
        <f>VLOOKUP([1]Sheet1!G13,[1]Salaries!C7:S41,5,0)</f>
        <v>4000</v>
      </c>
      <c r="G19" s="149"/>
      <c r="H19" s="146" t="s">
        <v>153</v>
      </c>
      <c r="I19" s="147"/>
      <c r="J19" s="148">
        <v>0</v>
      </c>
      <c r="K19" s="149"/>
      <c r="M19" s="9"/>
    </row>
    <row r="20" spans="2:13" ht="15.6">
      <c r="B20" s="3"/>
      <c r="D20" s="142" t="s">
        <v>17</v>
      </c>
      <c r="E20" s="143"/>
      <c r="F20" s="148">
        <f>VLOOKUP([1]Sheet1!G13,[1]Salaries!C7:S41,11,0)</f>
        <v>0</v>
      </c>
      <c r="G20" s="149"/>
      <c r="H20" s="146" t="s">
        <v>19</v>
      </c>
      <c r="I20" s="147"/>
      <c r="J20" s="148">
        <f>VLOOKUP([1]Sheet1!G13,[1]Salaries!C7:S41,13,0)</f>
        <v>0</v>
      </c>
      <c r="K20" s="149"/>
      <c r="M20" s="9"/>
    </row>
    <row r="21" spans="2:13" ht="15.6">
      <c r="B21" s="3"/>
      <c r="D21" s="142" t="s">
        <v>154</v>
      </c>
      <c r="E21" s="143"/>
      <c r="F21" s="144">
        <f>VLOOKUP([1]Sheet1!G13,[1]Salaries!C7:S41,10,0)</f>
        <v>0</v>
      </c>
      <c r="G21" s="145"/>
      <c r="H21" s="146" t="s">
        <v>155</v>
      </c>
      <c r="I21" s="147"/>
      <c r="J21" s="144">
        <f>VLOOKUP([1]Sheet1!G13,[1]Salaries!C7:S41,16,0)</f>
        <v>0</v>
      </c>
      <c r="K21" s="145"/>
      <c r="M21" s="9"/>
    </row>
    <row r="22" spans="2:13" ht="15.6">
      <c r="B22" s="3"/>
      <c r="D22" s="142" t="s">
        <v>156</v>
      </c>
      <c r="E22" s="143"/>
      <c r="F22" s="148">
        <f>VLOOKUP([1]Sheet1!G13,[1]Salaries!C7:S41,6,0)</f>
        <v>0</v>
      </c>
      <c r="G22" s="149"/>
      <c r="H22" s="150" t="s">
        <v>18</v>
      </c>
      <c r="I22" s="151"/>
      <c r="J22" s="148">
        <f>(VLOOKUP([1]Sheet1!G13,[1]Salaries!C7:S41,14,0))</f>
        <v>0</v>
      </c>
      <c r="K22" s="149"/>
      <c r="M22" s="9"/>
    </row>
    <row r="23" spans="2:13" ht="15.6">
      <c r="B23" s="3"/>
      <c r="D23" s="130" t="s">
        <v>13</v>
      </c>
      <c r="E23" s="131"/>
      <c r="F23" s="132">
        <f>VLOOKUP([1]Sheet1!G13,[1]Salaries!C7:S41,8,0)</f>
        <v>0</v>
      </c>
      <c r="G23" s="133"/>
      <c r="H23" s="134"/>
      <c r="I23" s="135"/>
      <c r="J23" s="136">
        <f>VLOOKUP([1]Sheet1!G13,[1]Salaries!C7:S41,15,0)</f>
        <v>0</v>
      </c>
      <c r="K23" s="137"/>
      <c r="M23" s="9"/>
    </row>
    <row r="24" spans="2:13" ht="15.6">
      <c r="B24" s="3"/>
      <c r="D24" s="138" t="s">
        <v>157</v>
      </c>
      <c r="E24" s="139"/>
      <c r="F24" s="124">
        <f>F18+F19+F22+F23+F20+F21</f>
        <v>154000</v>
      </c>
      <c r="G24" s="126"/>
      <c r="H24" s="140" t="s">
        <v>158</v>
      </c>
      <c r="I24" s="141"/>
      <c r="J24" s="124">
        <f>SUM(J18:K23)</f>
        <v>0</v>
      </c>
      <c r="K24" s="126"/>
      <c r="M24" s="9"/>
    </row>
    <row r="25" spans="2:13">
      <c r="B25" s="3"/>
      <c r="D25" s="121" t="s">
        <v>22</v>
      </c>
      <c r="E25" s="122"/>
      <c r="F25" s="122"/>
      <c r="G25" s="123"/>
      <c r="H25" s="124">
        <f>F24+J24</f>
        <v>154000</v>
      </c>
      <c r="I25" s="125"/>
      <c r="J25" s="125"/>
      <c r="K25" s="126"/>
      <c r="M25" s="9"/>
    </row>
    <row r="26" spans="2:13">
      <c r="B26" s="3"/>
      <c r="E26" s="5"/>
      <c r="F26" s="5"/>
      <c r="G26" s="5"/>
      <c r="H26" s="5"/>
      <c r="I26" s="5"/>
      <c r="J26" s="5"/>
      <c r="K26" s="5"/>
      <c r="M26" s="9"/>
    </row>
    <row r="27" spans="2:13" ht="18">
      <c r="B27" s="3"/>
      <c r="D27" s="127" t="s">
        <v>159</v>
      </c>
      <c r="E27" s="127"/>
      <c r="F27" s="127"/>
      <c r="G27" s="127"/>
      <c r="H27" s="127"/>
      <c r="I27" s="127"/>
      <c r="J27" s="127"/>
      <c r="K27" s="127"/>
      <c r="M27" s="9"/>
    </row>
    <row r="28" spans="2:13"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10"/>
    </row>
  </sheetData>
  <mergeCells count="42">
    <mergeCell ref="D8:K8"/>
    <mergeCell ref="E10:I10"/>
    <mergeCell ref="D13:F13"/>
    <mergeCell ref="G13:I13"/>
    <mergeCell ref="D14:F14"/>
    <mergeCell ref="G14:I14"/>
    <mergeCell ref="D15:F15"/>
    <mergeCell ref="G15:I15"/>
    <mergeCell ref="D17:G17"/>
    <mergeCell ref="H17:K17"/>
    <mergeCell ref="D18:E18"/>
    <mergeCell ref="F18:G18"/>
    <mergeCell ref="H18:I18"/>
    <mergeCell ref="J18:K18"/>
    <mergeCell ref="D22:E22"/>
    <mergeCell ref="F22:G22"/>
    <mergeCell ref="H22:I22"/>
    <mergeCell ref="J22:K22"/>
    <mergeCell ref="D19:E19"/>
    <mergeCell ref="F19:G19"/>
    <mergeCell ref="H19:I19"/>
    <mergeCell ref="J19:K19"/>
    <mergeCell ref="D20:E20"/>
    <mergeCell ref="F20:G20"/>
    <mergeCell ref="H20:I20"/>
    <mergeCell ref="J20:K20"/>
    <mergeCell ref="D25:G25"/>
    <mergeCell ref="H25:K25"/>
    <mergeCell ref="D27:K27"/>
    <mergeCell ref="E5:I6"/>
    <mergeCell ref="D23:E23"/>
    <mergeCell ref="F23:G23"/>
    <mergeCell ref="H23:I23"/>
    <mergeCell ref="J23:K23"/>
    <mergeCell ref="D24:E24"/>
    <mergeCell ref="F24:G24"/>
    <mergeCell ref="H24:I24"/>
    <mergeCell ref="J24:K24"/>
    <mergeCell ref="D21:E21"/>
    <mergeCell ref="F21:G21"/>
    <mergeCell ref="H21:I21"/>
    <mergeCell ref="J21:K2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'C:\Users\HP\Downloads\[Salaries of JUL-2024.xlsx]Salaries'!#REF!</xm:f>
          </x14:formula1>
          <xm:sqref>G13:I13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2025-02-27T10:32:00Z</cp:lastPrinted>
  <dcterms:created xsi:type="dcterms:W3CDTF">2024-08-30T07:55:00Z</dcterms:created>
  <dcterms:modified xsi:type="dcterms:W3CDTF">2025-04-24T05:36:35Z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1D54F18289A24C41B4321B3684D2C6EE_13</vt:lpwstr>
  </property>
  <property fmtid="{D5CDD505-2E9C-101B-9397-08002B2CF9AE}" pid="3" name="KSOProductBuildVer">
    <vt:lpwstr>1033-12.2.0.20326</vt:lpwstr>
  </property>
</Properties>
</file>