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12"/>
  <workbookPr codeName="ThisWorkbook" defaultThemeVersion="124226"/>
  <mc:AlternateContent xmlns:mc="http://schemas.openxmlformats.org/markup-compatibility/2006">
    <mc:Choice Requires="x15">
      <x15ac:absPath xmlns:x15ac="http://schemas.microsoft.com/office/spreadsheetml/2010/11/ac" url="https://d.docs.live.net/ad38f306933f7fbf/JSU/Teaching/CIV 680 Unsaturated Soil Mechanics/Papers/SWCC Curve/"/>
    </mc:Choice>
  </mc:AlternateContent>
  <xr:revisionPtr revIDLastSave="15" documentId="11_8E7C935495DD740FBCCD4CA18E86F5ABC1EF11F3" xr6:coauthVersionLast="47" xr6:coauthVersionMax="47" xr10:uidLastSave="{F1D87002-C96D-E343-8A5F-B39B0518F141}"/>
  <bookViews>
    <workbookView xWindow="0" yWindow="500" windowWidth="28800" windowHeight="18000" tabRatio="966" activeTab="4" xr2:uid="{00000000-000D-0000-FFFF-FFFF00000000}"/>
  </bookViews>
  <sheets>
    <sheet name="Introduction  v1.4" sheetId="12" r:id="rId1"/>
    <sheet name="Closed Form Models  v1.4" sheetId="25" r:id="rId2"/>
    <sheet name="SWCC - Fine Grained  v1.4" sheetId="11" r:id="rId3"/>
    <sheet name="SWCC - Coarse Grained  v1.4" sheetId="17" r:id="rId4"/>
    <sheet name="Aubertin et al 2003  v1.4" sheetId="9" r:id="rId5"/>
    <sheet name="Benson et al_2014  v1.4" sheetId="21" r:id="rId6"/>
    <sheet name="Ghanbarian et al 2010  v1.4" sheetId="8" r:id="rId7"/>
    <sheet name="Perera et al 2005  v1.4" sheetId="18" r:id="rId8"/>
    <sheet name="Saxton et al 1986  v1.4" sheetId="19" r:id="rId9"/>
    <sheet name="Sleep 2011  v1.4" sheetId="20" r:id="rId10"/>
    <sheet name="Zapata et al 2000 v1.4" sheetId="6" r:id="rId11"/>
    <sheet name="Sheet2" sheetId="22" r:id="rId12"/>
  </sheets>
  <definedNames>
    <definedName name="solver_adj" localSheetId="7" hidden="1">'Perera et al 2005  v1.4'!$A$5:$B$5</definedName>
    <definedName name="solver_adj" localSheetId="10" hidden="1">'Zapata et al 2000 v1.4'!$A$5:$B$5</definedName>
    <definedName name="solver_cvg" localSheetId="7" hidden="1">0.0001</definedName>
    <definedName name="solver_cvg" localSheetId="10" hidden="1">0.0001</definedName>
    <definedName name="solver_drv" localSheetId="7" hidden="1">1</definedName>
    <definedName name="solver_drv" localSheetId="10" hidden="1">1</definedName>
    <definedName name="solver_est" localSheetId="7" hidden="1">1</definedName>
    <definedName name="solver_est" localSheetId="10" hidden="1">1</definedName>
    <definedName name="solver_itr" localSheetId="7" hidden="1">100</definedName>
    <definedName name="solver_itr" localSheetId="10" hidden="1">100</definedName>
    <definedName name="solver_lhs1" localSheetId="7" hidden="1">'Perera et al 2005  v1.4'!$C$5</definedName>
    <definedName name="solver_lhs1" localSheetId="10" hidden="1">'Zapata et al 2000 v1.4'!$C$5</definedName>
    <definedName name="solver_lin" localSheetId="7" hidden="1">2</definedName>
    <definedName name="solver_lin" localSheetId="10" hidden="1">2</definedName>
    <definedName name="solver_neg" localSheetId="7" hidden="1">2</definedName>
    <definedName name="solver_neg" localSheetId="10" hidden="1">2</definedName>
    <definedName name="solver_num" localSheetId="7" hidden="1">0</definedName>
    <definedName name="solver_num" localSheetId="10" hidden="1">0</definedName>
    <definedName name="solver_nwt" localSheetId="7" hidden="1">1</definedName>
    <definedName name="solver_nwt" localSheetId="10" hidden="1">1</definedName>
    <definedName name="solver_opt" localSheetId="7" hidden="1">'Perera et al 2005  v1.4'!$C$7</definedName>
    <definedName name="solver_opt" localSheetId="10" hidden="1">'Zapata et al 2000 v1.4'!$C$7</definedName>
    <definedName name="solver_pre" localSheetId="7" hidden="1">0.000001</definedName>
    <definedName name="solver_pre" localSheetId="10" hidden="1">0.000001</definedName>
    <definedName name="solver_rel1" localSheetId="7" hidden="1">1</definedName>
    <definedName name="solver_rel1" localSheetId="10" hidden="1">1</definedName>
    <definedName name="solver_rhs1" localSheetId="7" hidden="1">'Perera et al 2005  v1.4'!$C$5</definedName>
    <definedName name="solver_rhs1" localSheetId="10" hidden="1">'Zapata et al 2000 v1.4'!$C$5</definedName>
    <definedName name="solver_scl" localSheetId="7" hidden="1">2</definedName>
    <definedName name="solver_scl" localSheetId="10" hidden="1">2</definedName>
    <definedName name="solver_sho" localSheetId="7" hidden="1">2</definedName>
    <definedName name="solver_sho" localSheetId="10" hidden="1">2</definedName>
    <definedName name="solver_tim" localSheetId="7" hidden="1">100</definedName>
    <definedName name="solver_tim" localSheetId="10" hidden="1">100</definedName>
    <definedName name="solver_tol" localSheetId="7" hidden="1">0.05</definedName>
    <definedName name="solver_tol" localSheetId="10" hidden="1">0.05</definedName>
    <definedName name="solver_typ" localSheetId="7" hidden="1">1</definedName>
    <definedName name="solver_typ" localSheetId="10" hidden="1">1</definedName>
    <definedName name="solver_val" localSheetId="7" hidden="1">0</definedName>
    <definedName name="solver_val" localSheetId="10" hidden="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8" i="18" l="1"/>
  <c r="O109" i="25" l="1"/>
  <c r="O35" i="25" l="1"/>
  <c r="N35" i="25" s="1"/>
  <c r="O53" i="25"/>
  <c r="N53" i="25" s="1"/>
  <c r="O71" i="25"/>
  <c r="N71" i="25" s="1"/>
  <c r="O89" i="25"/>
  <c r="N89" i="25" s="1"/>
  <c r="K35" i="25"/>
  <c r="K53" i="25"/>
  <c r="K71" i="25"/>
  <c r="K89" i="25"/>
  <c r="B53" i="25"/>
  <c r="B71" i="25"/>
  <c r="B89" i="25"/>
  <c r="E35" i="25"/>
  <c r="E53" i="25"/>
  <c r="E71" i="25"/>
  <c r="E89" i="25"/>
  <c r="H35" i="25"/>
  <c r="H53" i="25"/>
  <c r="H71" i="25"/>
  <c r="H89" i="25"/>
  <c r="M90" i="25"/>
  <c r="O90" i="25" s="1"/>
  <c r="N90" i="25" s="1"/>
  <c r="M72" i="25"/>
  <c r="M73" i="25" s="1"/>
  <c r="M74" i="25" s="1"/>
  <c r="M75" i="25" s="1"/>
  <c r="M76" i="25" s="1"/>
  <c r="M77" i="25" s="1"/>
  <c r="M78" i="25" s="1"/>
  <c r="M79" i="25" s="1"/>
  <c r="M80" i="25" s="1"/>
  <c r="M81" i="25" s="1"/>
  <c r="M82" i="25" s="1"/>
  <c r="M83" i="25" s="1"/>
  <c r="M84" i="25" s="1"/>
  <c r="M85" i="25" s="1"/>
  <c r="M86" i="25" s="1"/>
  <c r="M87" i="25" s="1"/>
  <c r="M88" i="25" s="1"/>
  <c r="O88" i="25" s="1"/>
  <c r="N88" i="25" s="1"/>
  <c r="M54" i="25"/>
  <c r="M55" i="25" s="1"/>
  <c r="M56" i="25" s="1"/>
  <c r="M36" i="25"/>
  <c r="O36" i="25" s="1"/>
  <c r="N36" i="25" s="1"/>
  <c r="M18" i="25"/>
  <c r="M19" i="25" s="1"/>
  <c r="O19" i="25" s="1"/>
  <c r="J90" i="25"/>
  <c r="K90" i="25" s="1"/>
  <c r="J72" i="25"/>
  <c r="J73" i="25" s="1"/>
  <c r="J74" i="25" s="1"/>
  <c r="J75" i="25" s="1"/>
  <c r="J76" i="25" s="1"/>
  <c r="J77" i="25" s="1"/>
  <c r="J78" i="25" s="1"/>
  <c r="J79" i="25" s="1"/>
  <c r="J80" i="25" s="1"/>
  <c r="J81" i="25" s="1"/>
  <c r="J82" i="25" s="1"/>
  <c r="J83" i="25" s="1"/>
  <c r="J84" i="25" s="1"/>
  <c r="J85" i="25" s="1"/>
  <c r="J86" i="25" s="1"/>
  <c r="J87" i="25" s="1"/>
  <c r="J88" i="25" s="1"/>
  <c r="K88" i="25" s="1"/>
  <c r="J54" i="25"/>
  <c r="K54" i="25" s="1"/>
  <c r="J36" i="25"/>
  <c r="J37" i="25" s="1"/>
  <c r="J18" i="25"/>
  <c r="K18" i="25" s="1"/>
  <c r="G90" i="25"/>
  <c r="G91" i="25" s="1"/>
  <c r="G92" i="25" s="1"/>
  <c r="G93" i="25" s="1"/>
  <c r="G94" i="25" s="1"/>
  <c r="G95" i="25" s="1"/>
  <c r="G96" i="25" s="1"/>
  <c r="G97" i="25" s="1"/>
  <c r="G98" i="25" s="1"/>
  <c r="G99" i="25" s="1"/>
  <c r="G100" i="25" s="1"/>
  <c r="G101" i="25" s="1"/>
  <c r="G102" i="25" s="1"/>
  <c r="G103" i="25" s="1"/>
  <c r="G104" i="25" s="1"/>
  <c r="G105" i="25" s="1"/>
  <c r="G106" i="25" s="1"/>
  <c r="H106" i="25" s="1"/>
  <c r="G72" i="25"/>
  <c r="G73" i="25" s="1"/>
  <c r="G74" i="25" s="1"/>
  <c r="G75" i="25" s="1"/>
  <c r="G76" i="25" s="1"/>
  <c r="G77" i="25" s="1"/>
  <c r="G78" i="25" s="1"/>
  <c r="G79" i="25" s="1"/>
  <c r="G80" i="25" s="1"/>
  <c r="G81" i="25" s="1"/>
  <c r="G82" i="25" s="1"/>
  <c r="G83" i="25" s="1"/>
  <c r="G84" i="25" s="1"/>
  <c r="G85" i="25" s="1"/>
  <c r="G86" i="25" s="1"/>
  <c r="G87" i="25" s="1"/>
  <c r="G88" i="25" s="1"/>
  <c r="H88" i="25" s="1"/>
  <c r="G54" i="25"/>
  <c r="G55" i="25" s="1"/>
  <c r="G56" i="25" s="1"/>
  <c r="G36" i="25"/>
  <c r="G37" i="25" s="1"/>
  <c r="G38" i="25" s="1"/>
  <c r="G39" i="25" s="1"/>
  <c r="G40" i="25" s="1"/>
  <c r="G41" i="25" s="1"/>
  <c r="G42" i="25" s="1"/>
  <c r="G43" i="25" s="1"/>
  <c r="G44" i="25" s="1"/>
  <c r="G45" i="25" s="1"/>
  <c r="G46" i="25" s="1"/>
  <c r="G47" i="25" s="1"/>
  <c r="G48" i="25" s="1"/>
  <c r="G49" i="25" s="1"/>
  <c r="G50" i="25" s="1"/>
  <c r="G51" i="25" s="1"/>
  <c r="G52" i="25" s="1"/>
  <c r="H52" i="25" s="1"/>
  <c r="G18" i="25"/>
  <c r="G19" i="25" s="1"/>
  <c r="G20" i="25" s="1"/>
  <c r="G21" i="25" s="1"/>
  <c r="G22" i="25" s="1"/>
  <c r="G23" i="25" s="1"/>
  <c r="G24" i="25" s="1"/>
  <c r="G25" i="25" s="1"/>
  <c r="G26" i="25" s="1"/>
  <c r="G27" i="25" s="1"/>
  <c r="G28" i="25" s="1"/>
  <c r="G29" i="25" s="1"/>
  <c r="G30" i="25" s="1"/>
  <c r="G31" i="25" s="1"/>
  <c r="G32" i="25" s="1"/>
  <c r="G33" i="25" s="1"/>
  <c r="G34" i="25" s="1"/>
  <c r="H34" i="25" s="1"/>
  <c r="D90" i="25"/>
  <c r="E90" i="25" s="1"/>
  <c r="D72" i="25"/>
  <c r="D73" i="25" s="1"/>
  <c r="D74" i="25" s="1"/>
  <c r="D75" i="25" s="1"/>
  <c r="D76" i="25" s="1"/>
  <c r="D77" i="25" s="1"/>
  <c r="D78" i="25" s="1"/>
  <c r="D79" i="25" s="1"/>
  <c r="D80" i="25" s="1"/>
  <c r="D81" i="25" s="1"/>
  <c r="D82" i="25" s="1"/>
  <c r="D83" i="25" s="1"/>
  <c r="D84" i="25" s="1"/>
  <c r="D85" i="25" s="1"/>
  <c r="D86" i="25" s="1"/>
  <c r="D87" i="25" s="1"/>
  <c r="D88" i="25" s="1"/>
  <c r="E88" i="25" s="1"/>
  <c r="D54" i="25"/>
  <c r="E54" i="25" s="1"/>
  <c r="D36" i="25"/>
  <c r="E36" i="25" s="1"/>
  <c r="D18" i="25"/>
  <c r="E18" i="25" s="1"/>
  <c r="A90" i="25"/>
  <c r="B90" i="25" s="1"/>
  <c r="A72" i="25"/>
  <c r="A73" i="25" s="1"/>
  <c r="A74" i="25" s="1"/>
  <c r="A75" i="25" s="1"/>
  <c r="A76" i="25" s="1"/>
  <c r="A77" i="25" s="1"/>
  <c r="A78" i="25" s="1"/>
  <c r="A79" i="25" s="1"/>
  <c r="A80" i="25" s="1"/>
  <c r="A81" i="25" s="1"/>
  <c r="A82" i="25" s="1"/>
  <c r="A83" i="25" s="1"/>
  <c r="A84" i="25" s="1"/>
  <c r="A85" i="25" s="1"/>
  <c r="A86" i="25" s="1"/>
  <c r="A87" i="25" s="1"/>
  <c r="A88" i="25" s="1"/>
  <c r="B88" i="25" s="1"/>
  <c r="A54" i="25"/>
  <c r="B54" i="25" s="1"/>
  <c r="A36" i="25"/>
  <c r="B36" i="25" s="1"/>
  <c r="A18" i="25"/>
  <c r="B18" i="25" s="1"/>
  <c r="J19" i="25" l="1"/>
  <c r="K19" i="25" s="1"/>
  <c r="D37" i="25"/>
  <c r="D38" i="25" s="1"/>
  <c r="E38" i="25" s="1"/>
  <c r="A55" i="25"/>
  <c r="A56" i="25" s="1"/>
  <c r="A57" i="25" s="1"/>
  <c r="A58" i="25" s="1"/>
  <c r="A59" i="25" s="1"/>
  <c r="A60" i="25" s="1"/>
  <c r="A61" i="25" s="1"/>
  <c r="A62" i="25" s="1"/>
  <c r="A63" i="25" s="1"/>
  <c r="A64" i="25" s="1"/>
  <c r="A65" i="25" s="1"/>
  <c r="A66" i="25" s="1"/>
  <c r="A67" i="25" s="1"/>
  <c r="A68" i="25" s="1"/>
  <c r="A69" i="25" s="1"/>
  <c r="A70" i="25" s="1"/>
  <c r="B70" i="25" s="1"/>
  <c r="H39" i="25"/>
  <c r="H90" i="25"/>
  <c r="A91" i="25"/>
  <c r="A92" i="25" s="1"/>
  <c r="A93" i="25" s="1"/>
  <c r="A94" i="25" s="1"/>
  <c r="A95" i="25" s="1"/>
  <c r="A96" i="25" s="1"/>
  <c r="A97" i="25" s="1"/>
  <c r="A98" i="25" s="1"/>
  <c r="A99" i="25" s="1"/>
  <c r="A100" i="25" s="1"/>
  <c r="A101" i="25" s="1"/>
  <c r="A102" i="25" s="1"/>
  <c r="A103" i="25" s="1"/>
  <c r="A104" i="25" s="1"/>
  <c r="A105" i="25" s="1"/>
  <c r="A106" i="25" s="1"/>
  <c r="B106" i="25" s="1"/>
  <c r="A19" i="25"/>
  <c r="A20" i="25" s="1"/>
  <c r="A21" i="25" s="1"/>
  <c r="A22" i="25" s="1"/>
  <c r="A23" i="25" s="1"/>
  <c r="A24" i="25" s="1"/>
  <c r="A25" i="25" s="1"/>
  <c r="A26" i="25" s="1"/>
  <c r="A27" i="25" s="1"/>
  <c r="A28" i="25" s="1"/>
  <c r="A29" i="25" s="1"/>
  <c r="A30" i="25" s="1"/>
  <c r="B30" i="25" s="1"/>
  <c r="E87" i="25"/>
  <c r="B72" i="25"/>
  <c r="H104" i="25"/>
  <c r="H54" i="25"/>
  <c r="H43" i="25"/>
  <c r="A37" i="25"/>
  <c r="A38" i="25" s="1"/>
  <c r="A39" i="25" s="1"/>
  <c r="A40" i="25" s="1"/>
  <c r="A41" i="25" s="1"/>
  <c r="A42" i="25" s="1"/>
  <c r="A43" i="25" s="1"/>
  <c r="A44" i="25" s="1"/>
  <c r="A45" i="25" s="1"/>
  <c r="A46" i="25" s="1"/>
  <c r="A47" i="25" s="1"/>
  <c r="A48" i="25" s="1"/>
  <c r="A49" i="25" s="1"/>
  <c r="A50" i="25" s="1"/>
  <c r="A51" i="25" s="1"/>
  <c r="A52" i="25" s="1"/>
  <c r="B52" i="25" s="1"/>
  <c r="D19" i="25"/>
  <c r="E19" i="25" s="1"/>
  <c r="D55" i="25"/>
  <c r="D56" i="25" s="1"/>
  <c r="D57" i="25" s="1"/>
  <c r="D58" i="25" s="1"/>
  <c r="J55" i="25"/>
  <c r="J56" i="25" s="1"/>
  <c r="J57" i="25" s="1"/>
  <c r="J58" i="25" s="1"/>
  <c r="J59" i="25" s="1"/>
  <c r="J60" i="25" s="1"/>
  <c r="J61" i="25" s="1"/>
  <c r="J62" i="25" s="1"/>
  <c r="J63" i="25" s="1"/>
  <c r="J64" i="25" s="1"/>
  <c r="J65" i="25" s="1"/>
  <c r="J66" i="25" s="1"/>
  <c r="J67" i="25" s="1"/>
  <c r="J68" i="25" s="1"/>
  <c r="J69" i="25" s="1"/>
  <c r="J70" i="25" s="1"/>
  <c r="K70" i="25" s="1"/>
  <c r="M91" i="25"/>
  <c r="O91" i="25" s="1"/>
  <c r="N91" i="25" s="1"/>
  <c r="H47" i="25"/>
  <c r="K73" i="25"/>
  <c r="H51" i="25"/>
  <c r="H36" i="25"/>
  <c r="E79" i="25"/>
  <c r="K81" i="25"/>
  <c r="M57" i="25"/>
  <c r="O56" i="25"/>
  <c r="N56" i="25" s="1"/>
  <c r="N19" i="25"/>
  <c r="M20" i="25"/>
  <c r="K37" i="25"/>
  <c r="J38" i="25"/>
  <c r="J39" i="25" s="1"/>
  <c r="H25" i="25"/>
  <c r="H18" i="25"/>
  <c r="H72" i="25"/>
  <c r="H29" i="25"/>
  <c r="H21" i="25"/>
  <c r="E83" i="25"/>
  <c r="E75" i="25"/>
  <c r="B80" i="25"/>
  <c r="K85" i="25"/>
  <c r="K77" i="25"/>
  <c r="K36" i="25"/>
  <c r="O73" i="25"/>
  <c r="N73" i="25" s="1"/>
  <c r="O18" i="25"/>
  <c r="N18" i="25" s="1"/>
  <c r="H33" i="25"/>
  <c r="H96" i="25"/>
  <c r="D91" i="25"/>
  <c r="J20" i="25"/>
  <c r="K20" i="25" s="1"/>
  <c r="J91" i="25"/>
  <c r="M37" i="25"/>
  <c r="M38" i="25" s="1"/>
  <c r="M39" i="25" s="1"/>
  <c r="H100" i="25"/>
  <c r="H46" i="25"/>
  <c r="H38" i="25"/>
  <c r="H32" i="25"/>
  <c r="H24" i="25"/>
  <c r="E84" i="25"/>
  <c r="E76" i="25"/>
  <c r="B84" i="25"/>
  <c r="K80" i="25"/>
  <c r="K72" i="25"/>
  <c r="O77" i="25"/>
  <c r="N77" i="25" s="1"/>
  <c r="O54" i="25"/>
  <c r="N54" i="25" s="1"/>
  <c r="O81" i="25"/>
  <c r="N81" i="25" s="1"/>
  <c r="H92" i="25"/>
  <c r="H50" i="25"/>
  <c r="H42" i="25"/>
  <c r="H28" i="25"/>
  <c r="H20" i="25"/>
  <c r="E80" i="25"/>
  <c r="E72" i="25"/>
  <c r="B76" i="25"/>
  <c r="K84" i="25"/>
  <c r="K76" i="25"/>
  <c r="O85" i="25"/>
  <c r="N85" i="25" s="1"/>
  <c r="O72" i="25"/>
  <c r="N72" i="25" s="1"/>
  <c r="H105" i="25"/>
  <c r="H101" i="25"/>
  <c r="H97" i="25"/>
  <c r="H93" i="25"/>
  <c r="B99" i="25"/>
  <c r="H102" i="25"/>
  <c r="H98" i="25"/>
  <c r="H94" i="25"/>
  <c r="H103" i="25"/>
  <c r="H99" i="25"/>
  <c r="H95" i="25"/>
  <c r="H91" i="25"/>
  <c r="H86" i="25"/>
  <c r="H74" i="25"/>
  <c r="H87" i="25"/>
  <c r="H79" i="25"/>
  <c r="B85" i="25"/>
  <c r="B77" i="25"/>
  <c r="O86" i="25"/>
  <c r="N86" i="25" s="1"/>
  <c r="O74" i="25"/>
  <c r="N74" i="25" s="1"/>
  <c r="H84" i="25"/>
  <c r="H80" i="25"/>
  <c r="H76" i="25"/>
  <c r="E85" i="25"/>
  <c r="E81" i="25"/>
  <c r="E77" i="25"/>
  <c r="E73" i="25"/>
  <c r="B86" i="25"/>
  <c r="B82" i="25"/>
  <c r="B78" i="25"/>
  <c r="B74" i="25"/>
  <c r="K86" i="25"/>
  <c r="K82" i="25"/>
  <c r="K78" i="25"/>
  <c r="K74" i="25"/>
  <c r="O87" i="25"/>
  <c r="N87" i="25" s="1"/>
  <c r="O83" i="25"/>
  <c r="N83" i="25" s="1"/>
  <c r="O79" i="25"/>
  <c r="N79" i="25" s="1"/>
  <c r="O75" i="25"/>
  <c r="N75" i="25" s="1"/>
  <c r="H82" i="25"/>
  <c r="H78" i="25"/>
  <c r="H83" i="25"/>
  <c r="H75" i="25"/>
  <c r="B81" i="25"/>
  <c r="B73" i="25"/>
  <c r="O82" i="25"/>
  <c r="N82" i="25" s="1"/>
  <c r="O78" i="25"/>
  <c r="N78" i="25" s="1"/>
  <c r="H85" i="25"/>
  <c r="H81" i="25"/>
  <c r="H77" i="25"/>
  <c r="H73" i="25"/>
  <c r="E86" i="25"/>
  <c r="E82" i="25"/>
  <c r="E78" i="25"/>
  <c r="E74" i="25"/>
  <c r="B87" i="25"/>
  <c r="B83" i="25"/>
  <c r="B79" i="25"/>
  <c r="B75" i="25"/>
  <c r="K87" i="25"/>
  <c r="K83" i="25"/>
  <c r="K79" i="25"/>
  <c r="K75" i="25"/>
  <c r="O84" i="25"/>
  <c r="N84" i="25" s="1"/>
  <c r="O80" i="25"/>
  <c r="N80" i="25" s="1"/>
  <c r="O76" i="25"/>
  <c r="N76" i="25" s="1"/>
  <c r="G57" i="25"/>
  <c r="H56" i="25"/>
  <c r="B56" i="25"/>
  <c r="K56" i="25"/>
  <c r="H55" i="25"/>
  <c r="B58" i="25"/>
  <c r="O55" i="25"/>
  <c r="N55" i="25" s="1"/>
  <c r="H48" i="25"/>
  <c r="H44" i="25"/>
  <c r="H40" i="25"/>
  <c r="E37" i="25"/>
  <c r="H49" i="25"/>
  <c r="H45" i="25"/>
  <c r="H41" i="25"/>
  <c r="H37" i="25"/>
  <c r="B39" i="25"/>
  <c r="H30" i="25"/>
  <c r="H26" i="25"/>
  <c r="H22" i="25"/>
  <c r="H31" i="25"/>
  <c r="H27" i="25"/>
  <c r="H23" i="25"/>
  <c r="H19" i="25"/>
  <c r="Z44" i="8"/>
  <c r="Z45" i="8"/>
  <c r="Z46" i="8"/>
  <c r="Z47" i="8"/>
  <c r="Z48" i="8"/>
  <c r="Z49" i="8"/>
  <c r="Z50" i="8"/>
  <c r="Z51" i="8"/>
  <c r="Z52" i="8"/>
  <c r="Z53" i="8"/>
  <c r="Z54" i="8"/>
  <c r="Z43" i="8"/>
  <c r="X43" i="8"/>
  <c r="H9" i="25"/>
  <c r="O16" i="25"/>
  <c r="N16" i="25" s="1"/>
  <c r="O17" i="25"/>
  <c r="N17" i="25" s="1"/>
  <c r="O107" i="25"/>
  <c r="N107" i="25" s="1"/>
  <c r="O108" i="25"/>
  <c r="N108" i="25" s="1"/>
  <c r="N109" i="25"/>
  <c r="O15" i="25"/>
  <c r="N15" i="25" s="1"/>
  <c r="K15" i="25"/>
  <c r="H15" i="25"/>
  <c r="E15" i="25"/>
  <c r="E16" i="25"/>
  <c r="E17" i="25"/>
  <c r="E107" i="25"/>
  <c r="E108" i="25"/>
  <c r="E109" i="25"/>
  <c r="B16" i="25"/>
  <c r="B17" i="25"/>
  <c r="B35" i="25"/>
  <c r="B107" i="25"/>
  <c r="B108" i="25"/>
  <c r="B109" i="25"/>
  <c r="B15" i="25"/>
  <c r="K16" i="25"/>
  <c r="K17" i="25"/>
  <c r="K107" i="25"/>
  <c r="K108" i="25"/>
  <c r="K109" i="25"/>
  <c r="H16" i="25"/>
  <c r="H17" i="25"/>
  <c r="H107" i="25"/>
  <c r="H108" i="25"/>
  <c r="H109" i="25"/>
  <c r="B38" i="25" l="1"/>
  <c r="K69" i="25"/>
  <c r="B100" i="25"/>
  <c r="O37" i="25"/>
  <c r="N37" i="25" s="1"/>
  <c r="K55" i="25"/>
  <c r="B44" i="25"/>
  <c r="K67" i="25"/>
  <c r="K65" i="25"/>
  <c r="K68" i="25"/>
  <c r="K66" i="25"/>
  <c r="B105" i="25"/>
  <c r="B94" i="25"/>
  <c r="D20" i="25"/>
  <c r="E20" i="25" s="1"/>
  <c r="B27" i="25"/>
  <c r="B19" i="25"/>
  <c r="K62" i="25"/>
  <c r="K61" i="25"/>
  <c r="K64" i="25"/>
  <c r="J21" i="25"/>
  <c r="K21" i="25" s="1"/>
  <c r="K59" i="25"/>
  <c r="K58" i="25"/>
  <c r="K57" i="25"/>
  <c r="B57" i="25"/>
  <c r="K60" i="25"/>
  <c r="B64" i="25"/>
  <c r="B26" i="25"/>
  <c r="K63" i="25"/>
  <c r="B61" i="25"/>
  <c r="D39" i="25"/>
  <c r="E39" i="25" s="1"/>
  <c r="B101" i="25"/>
  <c r="B98" i="25"/>
  <c r="E57" i="25"/>
  <c r="B93" i="25"/>
  <c r="B92" i="25"/>
  <c r="B55" i="25"/>
  <c r="B96" i="25"/>
  <c r="O38" i="25"/>
  <c r="N38" i="25" s="1"/>
  <c r="B62" i="25"/>
  <c r="B69" i="25"/>
  <c r="B68" i="25"/>
  <c r="B95" i="25"/>
  <c r="B24" i="25"/>
  <c r="B66" i="25"/>
  <c r="B65" i="25"/>
  <c r="B60" i="25"/>
  <c r="B97" i="25"/>
  <c r="B103" i="25"/>
  <c r="B104" i="25"/>
  <c r="B91" i="25"/>
  <c r="B102" i="25"/>
  <c r="B21" i="25"/>
  <c r="B67" i="25"/>
  <c r="B59" i="25"/>
  <c r="B63" i="25"/>
  <c r="B28" i="25"/>
  <c r="B23" i="25"/>
  <c r="B40" i="25"/>
  <c r="B43" i="25"/>
  <c r="E55" i="25"/>
  <c r="A31" i="25"/>
  <c r="B25" i="25"/>
  <c r="B20" i="25"/>
  <c r="B22" i="25"/>
  <c r="K38" i="25"/>
  <c r="E56" i="25"/>
  <c r="B29" i="25"/>
  <c r="B37" i="25"/>
  <c r="B51" i="25"/>
  <c r="B50" i="25"/>
  <c r="B49" i="25"/>
  <c r="M92" i="25"/>
  <c r="D59" i="25"/>
  <c r="E58" i="25"/>
  <c r="B48" i="25"/>
  <c r="B47" i="25"/>
  <c r="B46" i="25"/>
  <c r="B45" i="25"/>
  <c r="B42" i="25"/>
  <c r="B41" i="25"/>
  <c r="E91" i="25"/>
  <c r="D92" i="25"/>
  <c r="M58" i="25"/>
  <c r="O57" i="25"/>
  <c r="N57" i="25" s="1"/>
  <c r="J40" i="25"/>
  <c r="K39" i="25"/>
  <c r="J92" i="25"/>
  <c r="K91" i="25"/>
  <c r="O20" i="25"/>
  <c r="N20" i="25" s="1"/>
  <c r="M21" i="25"/>
  <c r="G58" i="25"/>
  <c r="H57" i="25"/>
  <c r="M40" i="25"/>
  <c r="O39" i="25"/>
  <c r="N39" i="25" s="1"/>
  <c r="N4" i="20"/>
  <c r="D21" i="25" l="1"/>
  <c r="D22" i="25" s="1"/>
  <c r="J22" i="25"/>
  <c r="K22" i="25" s="1"/>
  <c r="D40" i="25"/>
  <c r="D41" i="25" s="1"/>
  <c r="A32" i="25"/>
  <c r="B31" i="25"/>
  <c r="D60" i="25"/>
  <c r="E59" i="25"/>
  <c r="O92" i="25"/>
  <c r="N92" i="25" s="1"/>
  <c r="M93" i="25"/>
  <c r="K92" i="25"/>
  <c r="J93" i="25"/>
  <c r="M59" i="25"/>
  <c r="O58" i="25"/>
  <c r="N58" i="25" s="1"/>
  <c r="J41" i="25"/>
  <c r="K40" i="25"/>
  <c r="E21" i="25"/>
  <c r="E92" i="25"/>
  <c r="D93" i="25"/>
  <c r="M22" i="25"/>
  <c r="O21" i="25"/>
  <c r="N21" i="25" s="1"/>
  <c r="G59" i="25"/>
  <c r="H58" i="25"/>
  <c r="M41" i="25"/>
  <c r="O40" i="25"/>
  <c r="N40" i="25" s="1"/>
  <c r="O11" i="20"/>
  <c r="N9" i="20"/>
  <c r="N12" i="20"/>
  <c r="O9" i="20"/>
  <c r="M13" i="20"/>
  <c r="P9" i="20"/>
  <c r="P10" i="20"/>
  <c r="M9" i="20"/>
  <c r="R17" i="9"/>
  <c r="R18" i="9"/>
  <c r="R19" i="9"/>
  <c r="E40" i="25" l="1"/>
  <c r="J23" i="25"/>
  <c r="K23" i="25" s="1"/>
  <c r="A33" i="25"/>
  <c r="B32" i="25"/>
  <c r="D61" i="25"/>
  <c r="E60" i="25"/>
  <c r="O93" i="25"/>
  <c r="N93" i="25" s="1"/>
  <c r="M94" i="25"/>
  <c r="J42" i="25"/>
  <c r="K41" i="25"/>
  <c r="D94" i="25"/>
  <c r="E93" i="25"/>
  <c r="J94" i="25"/>
  <c r="K93" i="25"/>
  <c r="M23" i="25"/>
  <c r="O22" i="25"/>
  <c r="N22" i="25" s="1"/>
  <c r="D23" i="25"/>
  <c r="E22" i="25"/>
  <c r="M60" i="25"/>
  <c r="O59" i="25"/>
  <c r="N59" i="25" s="1"/>
  <c r="G60" i="25"/>
  <c r="H59" i="25"/>
  <c r="M42" i="25"/>
  <c r="O41" i="25"/>
  <c r="N41" i="25" s="1"/>
  <c r="D42" i="25"/>
  <c r="E41" i="25"/>
  <c r="L27" i="18"/>
  <c r="T27" i="18" s="1"/>
  <c r="S6" i="21"/>
  <c r="S4" i="21"/>
  <c r="S5" i="21"/>
  <c r="W4" i="21" s="1"/>
  <c r="J24" i="25" l="1"/>
  <c r="K24" i="25" s="1"/>
  <c r="A34" i="25"/>
  <c r="B34" i="25" s="1"/>
  <c r="B33" i="25"/>
  <c r="D62" i="25"/>
  <c r="E61" i="25"/>
  <c r="M95" i="25"/>
  <c r="O94" i="25"/>
  <c r="N94" i="25" s="1"/>
  <c r="M61" i="25"/>
  <c r="O60" i="25"/>
  <c r="N60" i="25" s="1"/>
  <c r="M24" i="25"/>
  <c r="O23" i="25"/>
  <c r="N23" i="25" s="1"/>
  <c r="D24" i="25"/>
  <c r="E23" i="25"/>
  <c r="J95" i="25"/>
  <c r="K94" i="25"/>
  <c r="J43" i="25"/>
  <c r="K42" i="25"/>
  <c r="D95" i="25"/>
  <c r="E94" i="25"/>
  <c r="G61" i="25"/>
  <c r="H60" i="25"/>
  <c r="M43" i="25"/>
  <c r="O42" i="25"/>
  <c r="N42" i="25" s="1"/>
  <c r="D43" i="25"/>
  <c r="E42" i="25"/>
  <c r="U4" i="21"/>
  <c r="Y6" i="21" s="1"/>
  <c r="Y7" i="21" s="1"/>
  <c r="X53" i="8"/>
  <c r="X48" i="8"/>
  <c r="X45" i="8"/>
  <c r="W45" i="8"/>
  <c r="W48" i="8"/>
  <c r="W53" i="8"/>
  <c r="W54" i="8"/>
  <c r="W43" i="8"/>
  <c r="H28" i="8"/>
  <c r="H6" i="8"/>
  <c r="Q31" i="17"/>
  <c r="Q31" i="11"/>
  <c r="N21" i="20"/>
  <c r="N20" i="20"/>
  <c r="N5" i="20"/>
  <c r="N30" i="19"/>
  <c r="T28" i="19" s="1"/>
  <c r="N3" i="19"/>
  <c r="N29" i="19"/>
  <c r="N28" i="19"/>
  <c r="N5" i="19"/>
  <c r="N4" i="19"/>
  <c r="H26" i="8"/>
  <c r="H5" i="8"/>
  <c r="O4" i="8" s="1"/>
  <c r="O28" i="8" l="1"/>
  <c r="B34" i="17" s="1"/>
  <c r="O27" i="8"/>
  <c r="B32" i="17" s="1"/>
  <c r="O5" i="8"/>
  <c r="B30" i="11" s="1"/>
  <c r="O6" i="8"/>
  <c r="J25" i="25"/>
  <c r="J26" i="25" s="1"/>
  <c r="D63" i="25"/>
  <c r="E62" i="25"/>
  <c r="M96" i="25"/>
  <c r="O95" i="25"/>
  <c r="N95" i="25" s="1"/>
  <c r="J44" i="25"/>
  <c r="K43" i="25"/>
  <c r="D25" i="25"/>
  <c r="E24" i="25"/>
  <c r="M62" i="25"/>
  <c r="O61" i="25"/>
  <c r="N61" i="25" s="1"/>
  <c r="D96" i="25"/>
  <c r="E95" i="25"/>
  <c r="J96" i="25"/>
  <c r="K95" i="25"/>
  <c r="M25" i="25"/>
  <c r="O24" i="25"/>
  <c r="N24" i="25" s="1"/>
  <c r="G62" i="25"/>
  <c r="H61" i="25"/>
  <c r="M44" i="25"/>
  <c r="O43" i="25"/>
  <c r="N43" i="25" s="1"/>
  <c r="D44" i="25"/>
  <c r="E43" i="25"/>
  <c r="Y2" i="21"/>
  <c r="Y3" i="21"/>
  <c r="Y4" i="21" s="1"/>
  <c r="Y5" i="21"/>
  <c r="W15" i="21" s="1"/>
  <c r="V15" i="21" s="1"/>
  <c r="N31" i="20"/>
  <c r="O28" i="20"/>
  <c r="N26" i="20"/>
  <c r="O31" i="20"/>
  <c r="N29" i="20"/>
  <c r="O26" i="20"/>
  <c r="M30" i="20"/>
  <c r="P26" i="20"/>
  <c r="M31" i="20"/>
  <c r="P27" i="20"/>
  <c r="M26" i="20"/>
  <c r="P31" i="20"/>
  <c r="Q4" i="19"/>
  <c r="Q5" i="19"/>
  <c r="T4" i="19"/>
  <c r="P5" i="20"/>
  <c r="P21" i="20"/>
  <c r="Q26" i="20" s="1"/>
  <c r="Q29" i="19"/>
  <c r="X28" i="19"/>
  <c r="T29" i="19" s="1"/>
  <c r="Q28" i="19"/>
  <c r="X4" i="19"/>
  <c r="T5" i="19" s="1"/>
  <c r="H4" i="8"/>
  <c r="T15" i="21" l="1"/>
  <c r="S15" i="21" s="1"/>
  <c r="T21" i="21"/>
  <c r="S21" i="21" s="1"/>
  <c r="T10" i="21"/>
  <c r="S10" i="21" s="1"/>
  <c r="T9" i="21"/>
  <c r="S9" i="21" s="1"/>
  <c r="T19" i="21"/>
  <c r="S19" i="21" s="1"/>
  <c r="T14" i="21"/>
  <c r="S14" i="21" s="1"/>
  <c r="T12" i="21"/>
  <c r="S12" i="21" s="1"/>
  <c r="T13" i="21"/>
  <c r="S13" i="21" s="1"/>
  <c r="T18" i="21"/>
  <c r="S18" i="21" s="1"/>
  <c r="T16" i="21"/>
  <c r="S16" i="21" s="1"/>
  <c r="T17" i="21"/>
  <c r="S17" i="21" s="1"/>
  <c r="T11" i="21"/>
  <c r="S11" i="21" s="1"/>
  <c r="T20" i="21"/>
  <c r="S20" i="21" s="1"/>
  <c r="K25" i="25"/>
  <c r="O96" i="25"/>
  <c r="N96" i="25" s="1"/>
  <c r="M97" i="25"/>
  <c r="D64" i="25"/>
  <c r="E63" i="25"/>
  <c r="J97" i="25"/>
  <c r="K96" i="25"/>
  <c r="M63" i="25"/>
  <c r="O62" i="25"/>
  <c r="N62" i="25" s="1"/>
  <c r="J45" i="25"/>
  <c r="K44" i="25"/>
  <c r="M26" i="25"/>
  <c r="O25" i="25"/>
  <c r="N25" i="25" s="1"/>
  <c r="D97" i="25"/>
  <c r="E96" i="25"/>
  <c r="D26" i="25"/>
  <c r="E25" i="25"/>
  <c r="G63" i="25"/>
  <c r="H62" i="25"/>
  <c r="D45" i="25"/>
  <c r="E44" i="25"/>
  <c r="M45" i="25"/>
  <c r="O44" i="25"/>
  <c r="N44" i="25" s="1"/>
  <c r="J27" i="25"/>
  <c r="K26" i="25"/>
  <c r="Q30" i="20"/>
  <c r="Q28" i="20"/>
  <c r="Q27" i="20"/>
  <c r="W10" i="21"/>
  <c r="V10" i="21" s="1"/>
  <c r="T23" i="21"/>
  <c r="S23" i="21" s="1"/>
  <c r="T22" i="21"/>
  <c r="S22" i="21" s="1"/>
  <c r="W12" i="21"/>
  <c r="V12" i="21" s="1"/>
  <c r="W23" i="21"/>
  <c r="V23" i="21" s="1"/>
  <c r="W9" i="21"/>
  <c r="V9" i="21" s="1"/>
  <c r="W22" i="21"/>
  <c r="V22" i="21" s="1"/>
  <c r="W21" i="21"/>
  <c r="V21" i="21" s="1"/>
  <c r="W19" i="21"/>
  <c r="V19" i="21" s="1"/>
  <c r="W14" i="21"/>
  <c r="V14" i="21" s="1"/>
  <c r="W13" i="21"/>
  <c r="V13" i="21" s="1"/>
  <c r="W11" i="21"/>
  <c r="V11" i="21" s="1"/>
  <c r="W16" i="21"/>
  <c r="V16" i="21" s="1"/>
  <c r="W20" i="21"/>
  <c r="V20" i="21" s="1"/>
  <c r="W18" i="21"/>
  <c r="V18" i="21" s="1"/>
  <c r="W17" i="21"/>
  <c r="V17" i="21" s="1"/>
  <c r="Q29" i="20"/>
  <c r="Q31" i="20"/>
  <c r="Q8" i="20"/>
  <c r="Q13" i="20"/>
  <c r="O19" i="19"/>
  <c r="O15" i="19"/>
  <c r="O11" i="19"/>
  <c r="O20" i="19"/>
  <c r="O16" i="19"/>
  <c r="O12" i="19"/>
  <c r="O10" i="19"/>
  <c r="O21" i="19"/>
  <c r="O17" i="19"/>
  <c r="O13" i="19"/>
  <c r="O8" i="19"/>
  <c r="O22" i="19"/>
  <c r="O18" i="19"/>
  <c r="O14" i="19"/>
  <c r="O9" i="19"/>
  <c r="Q10" i="20"/>
  <c r="Q12" i="20"/>
  <c r="Q9" i="20"/>
  <c r="O46" i="19"/>
  <c r="O42" i="19"/>
  <c r="O38" i="19"/>
  <c r="O34" i="19"/>
  <c r="O43" i="19"/>
  <c r="O39" i="19"/>
  <c r="O35" i="19"/>
  <c r="O44" i="19"/>
  <c r="O40" i="19"/>
  <c r="O36" i="19"/>
  <c r="O32" i="19"/>
  <c r="O45" i="19"/>
  <c r="O41" i="19"/>
  <c r="O37" i="19"/>
  <c r="O33" i="19"/>
  <c r="Q11" i="20"/>
  <c r="B32" i="11"/>
  <c r="Q25" i="20"/>
  <c r="K27" i="8"/>
  <c r="H27" i="8"/>
  <c r="O26" i="8" s="1"/>
  <c r="K6" i="8"/>
  <c r="R49" i="9"/>
  <c r="R48" i="9"/>
  <c r="R47" i="9"/>
  <c r="R46" i="9"/>
  <c r="R23" i="9"/>
  <c r="R22" i="9"/>
  <c r="R21" i="9"/>
  <c r="R20" i="9"/>
  <c r="R25" i="18"/>
  <c r="M31" i="18"/>
  <c r="M32" i="18"/>
  <c r="M33" i="18"/>
  <c r="M34" i="18"/>
  <c r="M35" i="18"/>
  <c r="M36" i="18"/>
  <c r="M37" i="18"/>
  <c r="M38" i="18"/>
  <c r="M39" i="18"/>
  <c r="M40" i="18"/>
  <c r="M41" i="18"/>
  <c r="M42" i="18"/>
  <c r="M43" i="18"/>
  <c r="M44" i="18"/>
  <c r="M30" i="18"/>
  <c r="L26" i="18"/>
  <c r="R29" i="18"/>
  <c r="R28" i="18"/>
  <c r="R27" i="18"/>
  <c r="R26" i="18"/>
  <c r="L4" i="18"/>
  <c r="N5" i="18" s="1"/>
  <c r="M9" i="18"/>
  <c r="M10" i="18"/>
  <c r="M11" i="18"/>
  <c r="M12" i="18"/>
  <c r="M13" i="18"/>
  <c r="M14" i="18"/>
  <c r="M15" i="18"/>
  <c r="M16" i="18"/>
  <c r="M17" i="18"/>
  <c r="M18" i="18"/>
  <c r="M19" i="18"/>
  <c r="M20" i="18"/>
  <c r="M21" i="18"/>
  <c r="M22" i="18"/>
  <c r="L25" i="18"/>
  <c r="L5" i="18"/>
  <c r="P5" i="18" s="1"/>
  <c r="L4" i="6"/>
  <c r="K5" i="8" l="1"/>
  <c r="M5" i="8" s="1"/>
  <c r="M6" i="8" s="1"/>
  <c r="O97" i="25"/>
  <c r="N97" i="25" s="1"/>
  <c r="M98" i="25"/>
  <c r="D65" i="25"/>
  <c r="E64" i="25"/>
  <c r="D27" i="25"/>
  <c r="E26" i="25"/>
  <c r="M64" i="25"/>
  <c r="O63" i="25"/>
  <c r="N63" i="25" s="1"/>
  <c r="D98" i="25"/>
  <c r="E97" i="25"/>
  <c r="J46" i="25"/>
  <c r="K45" i="25"/>
  <c r="J98" i="25"/>
  <c r="K97" i="25"/>
  <c r="M27" i="25"/>
  <c r="O26" i="25"/>
  <c r="N26" i="25" s="1"/>
  <c r="G64" i="25"/>
  <c r="H63" i="25"/>
  <c r="D46" i="25"/>
  <c r="E45" i="25"/>
  <c r="M46" i="25"/>
  <c r="O45" i="25"/>
  <c r="N45" i="25" s="1"/>
  <c r="J28" i="25"/>
  <c r="K27" i="25"/>
  <c r="N25" i="18"/>
  <c r="R30" i="18" s="1"/>
  <c r="N26" i="18" s="1"/>
  <c r="N27" i="18" s="1"/>
  <c r="K26" i="8"/>
  <c r="M26" i="8" s="1"/>
  <c r="M27" i="8" s="1"/>
  <c r="B33" i="17" s="1"/>
  <c r="P25" i="18"/>
  <c r="R24" i="18" s="1"/>
  <c r="N4" i="18"/>
  <c r="P4" i="18"/>
  <c r="L25" i="6"/>
  <c r="N25" i="6" s="1"/>
  <c r="P26" i="6" s="1"/>
  <c r="L26" i="6"/>
  <c r="R26" i="6" s="1"/>
  <c r="T34" i="9"/>
  <c r="Q34" i="9" s="1"/>
  <c r="T33" i="9"/>
  <c r="T32" i="9"/>
  <c r="L5" i="6"/>
  <c r="R5" i="6" s="1"/>
  <c r="N5" i="6"/>
  <c r="T5" i="9"/>
  <c r="T4" i="9"/>
  <c r="W5" i="9" s="1"/>
  <c r="R53" i="9"/>
  <c r="R52" i="9"/>
  <c r="R51" i="9"/>
  <c r="R50" i="9"/>
  <c r="R45" i="9"/>
  <c r="R44" i="9"/>
  <c r="R43" i="9"/>
  <c r="R42" i="9"/>
  <c r="R41" i="9"/>
  <c r="R40" i="9"/>
  <c r="R39" i="9"/>
  <c r="R38" i="9"/>
  <c r="R37" i="9"/>
  <c r="O98" i="25" l="1"/>
  <c r="N98" i="25" s="1"/>
  <c r="M99" i="25"/>
  <c r="D66" i="25"/>
  <c r="E65" i="25"/>
  <c r="M28" i="25"/>
  <c r="O27" i="25"/>
  <c r="N27" i="25" s="1"/>
  <c r="J47" i="25"/>
  <c r="K46" i="25"/>
  <c r="M65" i="25"/>
  <c r="O64" i="25"/>
  <c r="N64" i="25" s="1"/>
  <c r="J99" i="25"/>
  <c r="K98" i="25"/>
  <c r="D99" i="25"/>
  <c r="E98" i="25"/>
  <c r="D28" i="25"/>
  <c r="E27" i="25"/>
  <c r="G65" i="25"/>
  <c r="H64" i="25"/>
  <c r="M47" i="25"/>
  <c r="O46" i="25"/>
  <c r="N46" i="25" s="1"/>
  <c r="D47" i="25"/>
  <c r="E46" i="25"/>
  <c r="J29" i="25"/>
  <c r="K28" i="25"/>
  <c r="W34" i="9"/>
  <c r="W32" i="9" s="1"/>
  <c r="W33" i="9" s="1"/>
  <c r="I9" i="8"/>
  <c r="I23" i="8"/>
  <c r="I22" i="8"/>
  <c r="I11" i="8"/>
  <c r="I13" i="8"/>
  <c r="I20" i="8"/>
  <c r="I19" i="8"/>
  <c r="I18" i="8"/>
  <c r="I21" i="8"/>
  <c r="I12" i="8"/>
  <c r="I16" i="8"/>
  <c r="I15" i="8"/>
  <c r="I14" i="8"/>
  <c r="I17" i="8"/>
  <c r="I10" i="8"/>
  <c r="B31" i="11"/>
  <c r="I31" i="8"/>
  <c r="P26" i="18"/>
  <c r="P27" i="18" s="1"/>
  <c r="B23" i="17" s="1"/>
  <c r="I33" i="8"/>
  <c r="B22" i="17"/>
  <c r="P4" i="6"/>
  <c r="B21" i="11" s="1"/>
  <c r="B22" i="11"/>
  <c r="L18" i="18"/>
  <c r="L14" i="18"/>
  <c r="L19" i="18"/>
  <c r="L11" i="18"/>
  <c r="L20" i="18"/>
  <c r="L13" i="18"/>
  <c r="L21" i="18"/>
  <c r="L16" i="18"/>
  <c r="L8" i="18"/>
  <c r="L22" i="18"/>
  <c r="L15" i="18"/>
  <c r="L10" i="18"/>
  <c r="L9" i="18"/>
  <c r="L17" i="18"/>
  <c r="L12" i="18"/>
  <c r="N26" i="6"/>
  <c r="N4" i="6"/>
  <c r="M36" i="6"/>
  <c r="M40" i="6"/>
  <c r="M31" i="6"/>
  <c r="M33" i="6"/>
  <c r="M35" i="6"/>
  <c r="M37" i="6"/>
  <c r="M39" i="6"/>
  <c r="M41" i="6"/>
  <c r="M43" i="6"/>
  <c r="M29" i="6"/>
  <c r="M32" i="6"/>
  <c r="M38" i="6"/>
  <c r="M34" i="6"/>
  <c r="M42" i="6"/>
  <c r="M30" i="6"/>
  <c r="L30" i="6" s="1"/>
  <c r="W4" i="9"/>
  <c r="W3" i="9"/>
  <c r="R9" i="9"/>
  <c r="R10" i="9"/>
  <c r="R11" i="9"/>
  <c r="R12" i="9"/>
  <c r="R13" i="9"/>
  <c r="R14" i="9"/>
  <c r="R15" i="9"/>
  <c r="R16" i="9"/>
  <c r="R24" i="9"/>
  <c r="R25" i="9"/>
  <c r="R26" i="9"/>
  <c r="R27" i="9"/>
  <c r="R8" i="9"/>
  <c r="L39" i="6" l="1"/>
  <c r="L32" i="6"/>
  <c r="L31" i="6"/>
  <c r="P5" i="6"/>
  <c r="M8" i="6" s="1"/>
  <c r="L8" i="6" s="1"/>
  <c r="O99" i="25"/>
  <c r="N99" i="25" s="1"/>
  <c r="M100" i="25"/>
  <c r="D67" i="25"/>
  <c r="E66" i="25"/>
  <c r="D100" i="25"/>
  <c r="E99" i="25"/>
  <c r="M66" i="25"/>
  <c r="O65" i="25"/>
  <c r="N65" i="25" s="1"/>
  <c r="M29" i="25"/>
  <c r="O28" i="25"/>
  <c r="N28" i="25" s="1"/>
  <c r="D29" i="25"/>
  <c r="E28" i="25"/>
  <c r="J100" i="25"/>
  <c r="K99" i="25"/>
  <c r="J48" i="25"/>
  <c r="K47" i="25"/>
  <c r="G66" i="25"/>
  <c r="H65" i="25"/>
  <c r="M48" i="25"/>
  <c r="O47" i="25"/>
  <c r="N47" i="25" s="1"/>
  <c r="D48" i="25"/>
  <c r="E47" i="25"/>
  <c r="J30" i="25"/>
  <c r="K29" i="25"/>
  <c r="S18" i="9"/>
  <c r="T18" i="9" s="1"/>
  <c r="U18" i="9" s="1"/>
  <c r="S17" i="9"/>
  <c r="T17" i="9" s="1"/>
  <c r="U17" i="9" s="1"/>
  <c r="S19" i="9"/>
  <c r="T19" i="9" s="1"/>
  <c r="U19" i="9" s="1"/>
  <c r="V18" i="9"/>
  <c r="V17" i="9"/>
  <c r="V19" i="9"/>
  <c r="I37" i="8"/>
  <c r="I44" i="8"/>
  <c r="I41" i="8"/>
  <c r="I45" i="8"/>
  <c r="I42" i="8"/>
  <c r="I36" i="8"/>
  <c r="I43" i="8"/>
  <c r="I38" i="8"/>
  <c r="I39" i="8"/>
  <c r="I34" i="8"/>
  <c r="I35" i="8"/>
  <c r="I32" i="8"/>
  <c r="I40" i="8"/>
  <c r="T25" i="18"/>
  <c r="T26" i="18" s="1"/>
  <c r="L38" i="18" s="1"/>
  <c r="L42" i="6"/>
  <c r="L29" i="6"/>
  <c r="L37" i="6"/>
  <c r="L40" i="6"/>
  <c r="L38" i="6"/>
  <c r="L41" i="6"/>
  <c r="L33" i="6"/>
  <c r="L34" i="6"/>
  <c r="L43" i="6"/>
  <c r="L35" i="6"/>
  <c r="L36" i="6"/>
  <c r="B20" i="11"/>
  <c r="S47" i="9"/>
  <c r="T47" i="9" s="1"/>
  <c r="U47" i="9" s="1"/>
  <c r="S46" i="9"/>
  <c r="T46" i="9" s="1"/>
  <c r="U46" i="9" s="1"/>
  <c r="S48" i="9"/>
  <c r="T48" i="9" s="1"/>
  <c r="U48" i="9" s="1"/>
  <c r="S49" i="9"/>
  <c r="T49" i="9" s="1"/>
  <c r="U49" i="9" s="1"/>
  <c r="V22" i="9"/>
  <c r="V23" i="9"/>
  <c r="S23" i="9"/>
  <c r="T23" i="9" s="1"/>
  <c r="U23" i="9" s="1"/>
  <c r="S22" i="9"/>
  <c r="T22" i="9" s="1"/>
  <c r="U22" i="9" s="1"/>
  <c r="V21" i="9"/>
  <c r="V20" i="9"/>
  <c r="S20" i="9"/>
  <c r="T20" i="9" s="1"/>
  <c r="U20" i="9" s="1"/>
  <c r="S21" i="9"/>
  <c r="T21" i="9" s="1"/>
  <c r="U21" i="9" s="1"/>
  <c r="Q33" i="9"/>
  <c r="V49" i="9" s="1"/>
  <c r="S44" i="9"/>
  <c r="T44" i="9" s="1"/>
  <c r="U44" i="9" s="1"/>
  <c r="S39" i="9"/>
  <c r="T39" i="9" s="1"/>
  <c r="U39" i="9" s="1"/>
  <c r="M22" i="6"/>
  <c r="L22" i="6" s="1"/>
  <c r="M18" i="6"/>
  <c r="L18" i="6" s="1"/>
  <c r="S38" i="9"/>
  <c r="T38" i="9" s="1"/>
  <c r="U38" i="9" s="1"/>
  <c r="S37" i="9"/>
  <c r="T37" i="9" s="1"/>
  <c r="U37" i="9" s="1"/>
  <c r="S40" i="9"/>
  <c r="T40" i="9" s="1"/>
  <c r="U40" i="9" s="1"/>
  <c r="S53" i="9"/>
  <c r="T53" i="9" s="1"/>
  <c r="U53" i="9" s="1"/>
  <c r="S51" i="9"/>
  <c r="T51" i="9" s="1"/>
  <c r="U51" i="9" s="1"/>
  <c r="S50" i="9"/>
  <c r="T50" i="9" s="1"/>
  <c r="U50" i="9" s="1"/>
  <c r="S45" i="9"/>
  <c r="T45" i="9" s="1"/>
  <c r="U45" i="9" s="1"/>
  <c r="S52" i="9"/>
  <c r="T52" i="9" s="1"/>
  <c r="U52" i="9" s="1"/>
  <c r="S43" i="9"/>
  <c r="T43" i="9" s="1"/>
  <c r="U43" i="9" s="1"/>
  <c r="S42" i="9"/>
  <c r="T42" i="9" s="1"/>
  <c r="U42" i="9" s="1"/>
  <c r="S41" i="9"/>
  <c r="T41" i="9" s="1"/>
  <c r="U41" i="9" s="1"/>
  <c r="V14" i="9"/>
  <c r="S26" i="9"/>
  <c r="T26" i="9" s="1"/>
  <c r="U26" i="9" s="1"/>
  <c r="S15" i="9"/>
  <c r="T15" i="9" s="1"/>
  <c r="U15" i="9" s="1"/>
  <c r="S11" i="9"/>
  <c r="T11" i="9" s="1"/>
  <c r="U11" i="9" s="1"/>
  <c r="S27" i="9"/>
  <c r="T27" i="9" s="1"/>
  <c r="U27" i="9" s="1"/>
  <c r="S24" i="9"/>
  <c r="T24" i="9" s="1"/>
  <c r="U24" i="9" s="1"/>
  <c r="S13" i="9"/>
  <c r="T13" i="9" s="1"/>
  <c r="U13" i="9" s="1"/>
  <c r="S9" i="9"/>
  <c r="T9" i="9" s="1"/>
  <c r="U9" i="9" s="1"/>
  <c r="S8" i="9"/>
  <c r="T8" i="9" s="1"/>
  <c r="U8" i="9" s="1"/>
  <c r="S25" i="9"/>
  <c r="T25" i="9" s="1"/>
  <c r="U25" i="9" s="1"/>
  <c r="S14" i="9"/>
  <c r="T14" i="9" s="1"/>
  <c r="U14" i="9" s="1"/>
  <c r="S10" i="9"/>
  <c r="T10" i="9" s="1"/>
  <c r="U10" i="9" s="1"/>
  <c r="S16" i="9"/>
  <c r="T16" i="9" s="1"/>
  <c r="U16" i="9" s="1"/>
  <c r="S12" i="9"/>
  <c r="T12" i="9" s="1"/>
  <c r="U12" i="9" s="1"/>
  <c r="V11" i="9"/>
  <c r="V8" i="9"/>
  <c r="V16" i="9"/>
  <c r="V9" i="9"/>
  <c r="V26" i="9"/>
  <c r="V27" i="9"/>
  <c r="V15" i="9"/>
  <c r="V10" i="9"/>
  <c r="V12" i="9"/>
  <c r="V24" i="9"/>
  <c r="V13" i="9"/>
  <c r="V25" i="9"/>
  <c r="M13" i="6" l="1"/>
  <c r="L13" i="6" s="1"/>
  <c r="M10" i="6"/>
  <c r="L10" i="6" s="1"/>
  <c r="M11" i="6"/>
  <c r="L11" i="6" s="1"/>
  <c r="M17" i="6"/>
  <c r="L17" i="6" s="1"/>
  <c r="M12" i="6"/>
  <c r="L12" i="6" s="1"/>
  <c r="M14" i="6"/>
  <c r="L14" i="6" s="1"/>
  <c r="M16" i="6"/>
  <c r="L16" i="6" s="1"/>
  <c r="M15" i="6"/>
  <c r="L15" i="6" s="1"/>
  <c r="M20" i="6"/>
  <c r="L20" i="6" s="1"/>
  <c r="M9" i="6"/>
  <c r="L9" i="6" s="1"/>
  <c r="M19" i="6"/>
  <c r="L19" i="6" s="1"/>
  <c r="M21" i="6"/>
  <c r="L21" i="6" s="1"/>
  <c r="O100" i="25"/>
  <c r="N100" i="25" s="1"/>
  <c r="M101" i="25"/>
  <c r="D68" i="25"/>
  <c r="E67" i="25"/>
  <c r="J101" i="25"/>
  <c r="K100" i="25"/>
  <c r="M30" i="25"/>
  <c r="O29" i="25"/>
  <c r="N29" i="25" s="1"/>
  <c r="D101" i="25"/>
  <c r="E100" i="25"/>
  <c r="J49" i="25"/>
  <c r="K48" i="25"/>
  <c r="D30" i="25"/>
  <c r="E29" i="25"/>
  <c r="M67" i="25"/>
  <c r="O66" i="25"/>
  <c r="N66" i="25" s="1"/>
  <c r="G67" i="25"/>
  <c r="H66" i="25"/>
  <c r="D49" i="25"/>
  <c r="E48" i="25"/>
  <c r="M49" i="25"/>
  <c r="O48" i="25"/>
  <c r="N48" i="25" s="1"/>
  <c r="J31" i="25"/>
  <c r="K30" i="25"/>
  <c r="Q19" i="9"/>
  <c r="L37" i="18"/>
  <c r="Q17" i="9"/>
  <c r="Q18" i="9"/>
  <c r="L33" i="18"/>
  <c r="L36" i="18"/>
  <c r="L43" i="18"/>
  <c r="L32" i="18"/>
  <c r="L39" i="18"/>
  <c r="L30" i="18"/>
  <c r="L34" i="18"/>
  <c r="L41" i="18"/>
  <c r="L40" i="18"/>
  <c r="L31" i="18"/>
  <c r="L42" i="18"/>
  <c r="L44" i="18"/>
  <c r="V40" i="9"/>
  <c r="B24" i="17"/>
  <c r="L35" i="18"/>
  <c r="V45" i="9"/>
  <c r="Q45" i="9" s="1"/>
  <c r="V50" i="9"/>
  <c r="Q50" i="9" s="1"/>
  <c r="V37" i="9"/>
  <c r="Q37" i="9" s="1"/>
  <c r="V51" i="9"/>
  <c r="Q51" i="9" s="1"/>
  <c r="V41" i="9"/>
  <c r="Q41" i="9" s="1"/>
  <c r="V38" i="9"/>
  <c r="Q38" i="9" s="1"/>
  <c r="Q8" i="9"/>
  <c r="V46" i="9"/>
  <c r="Q46" i="9" s="1"/>
  <c r="V48" i="9"/>
  <c r="Q48" i="9" s="1"/>
  <c r="V53" i="9"/>
  <c r="Q53" i="9" s="1"/>
  <c r="V44" i="9"/>
  <c r="Q44" i="9" s="1"/>
  <c r="V39" i="9"/>
  <c r="Q39" i="9" s="1"/>
  <c r="V47" i="9"/>
  <c r="Q47" i="9" s="1"/>
  <c r="V42" i="9"/>
  <c r="Q42" i="9" s="1"/>
  <c r="V52" i="9"/>
  <c r="Q52" i="9" s="1"/>
  <c r="V43" i="9"/>
  <c r="Q43" i="9" s="1"/>
  <c r="Q49" i="9"/>
  <c r="Q21" i="9"/>
  <c r="Q22" i="9"/>
  <c r="Q23" i="9"/>
  <c r="Q20" i="9"/>
  <c r="Q40" i="9"/>
  <c r="Q14" i="9"/>
  <c r="Q16" i="9"/>
  <c r="Q15" i="9"/>
  <c r="Q10" i="9"/>
  <c r="Q12" i="9"/>
  <c r="Q24" i="9"/>
  <c r="Q11" i="9"/>
  <c r="Q26" i="9"/>
  <c r="Q13" i="9"/>
  <c r="Q25" i="9"/>
  <c r="Q27" i="9"/>
  <c r="Q9" i="9"/>
  <c r="O101" i="25" l="1"/>
  <c r="N101" i="25" s="1"/>
  <c r="M102" i="25"/>
  <c r="D69" i="25"/>
  <c r="E68" i="25"/>
  <c r="M68" i="25"/>
  <c r="O67" i="25"/>
  <c r="N67" i="25" s="1"/>
  <c r="J50" i="25"/>
  <c r="K49" i="25"/>
  <c r="M31" i="25"/>
  <c r="O30" i="25"/>
  <c r="N30" i="25" s="1"/>
  <c r="D31" i="25"/>
  <c r="E30" i="25"/>
  <c r="D102" i="25"/>
  <c r="E101" i="25"/>
  <c r="J102" i="25"/>
  <c r="K101" i="25"/>
  <c r="G68" i="25"/>
  <c r="H67" i="25"/>
  <c r="M50" i="25"/>
  <c r="O49" i="25"/>
  <c r="N49" i="25" s="1"/>
  <c r="D50" i="25"/>
  <c r="E49" i="25"/>
  <c r="J32" i="25"/>
  <c r="K31" i="25"/>
  <c r="O102" i="25" l="1"/>
  <c r="N102" i="25" s="1"/>
  <c r="M103" i="25"/>
  <c r="D70" i="25"/>
  <c r="E70" i="25" s="1"/>
  <c r="E69" i="25"/>
  <c r="D103" i="25"/>
  <c r="E102" i="25"/>
  <c r="M32" i="25"/>
  <c r="O31" i="25"/>
  <c r="N31" i="25" s="1"/>
  <c r="M69" i="25"/>
  <c r="O68" i="25"/>
  <c r="N68" i="25" s="1"/>
  <c r="J103" i="25"/>
  <c r="K102" i="25"/>
  <c r="D32" i="25"/>
  <c r="E31" i="25"/>
  <c r="J51" i="25"/>
  <c r="K50" i="25"/>
  <c r="G69" i="25"/>
  <c r="H68" i="25"/>
  <c r="M51" i="25"/>
  <c r="O50" i="25"/>
  <c r="N50" i="25" s="1"/>
  <c r="D51" i="25"/>
  <c r="E50" i="25"/>
  <c r="J33" i="25"/>
  <c r="K32" i="25"/>
  <c r="O103" i="25" l="1"/>
  <c r="N103" i="25" s="1"/>
  <c r="M104" i="25"/>
  <c r="D33" i="25"/>
  <c r="E32" i="25"/>
  <c r="M70" i="25"/>
  <c r="O70" i="25" s="1"/>
  <c r="N70" i="25" s="1"/>
  <c r="O69" i="25"/>
  <c r="N69" i="25" s="1"/>
  <c r="D104" i="25"/>
  <c r="E103" i="25"/>
  <c r="J52" i="25"/>
  <c r="K52" i="25" s="1"/>
  <c r="K51" i="25"/>
  <c r="J104" i="25"/>
  <c r="K103" i="25"/>
  <c r="M33" i="25"/>
  <c r="O32" i="25"/>
  <c r="N32" i="25" s="1"/>
  <c r="G70" i="25"/>
  <c r="H70" i="25" s="1"/>
  <c r="H69" i="25"/>
  <c r="M52" i="25"/>
  <c r="O52" i="25" s="1"/>
  <c r="N52" i="25" s="1"/>
  <c r="O51" i="25"/>
  <c r="N51" i="25" s="1"/>
  <c r="D52" i="25"/>
  <c r="E52" i="25" s="1"/>
  <c r="E51" i="25"/>
  <c r="J34" i="25"/>
  <c r="K34" i="25" s="1"/>
  <c r="K33" i="25"/>
  <c r="O104" i="25" l="1"/>
  <c r="N104" i="25" s="1"/>
  <c r="M105" i="25"/>
  <c r="J105" i="25"/>
  <c r="K104" i="25"/>
  <c r="D105" i="25"/>
  <c r="E104" i="25"/>
  <c r="D34" i="25"/>
  <c r="E34" i="25" s="1"/>
  <c r="E33" i="25"/>
  <c r="M34" i="25"/>
  <c r="O34" i="25" s="1"/>
  <c r="N34" i="25" s="1"/>
  <c r="O33" i="25"/>
  <c r="N33" i="25" s="1"/>
  <c r="O105" i="25" l="1"/>
  <c r="N105" i="25" s="1"/>
  <c r="M106" i="25"/>
  <c r="O106" i="25" s="1"/>
  <c r="N106" i="25" s="1"/>
  <c r="D106" i="25"/>
  <c r="E106" i="25" s="1"/>
  <c r="E105" i="25"/>
  <c r="J106" i="25"/>
  <c r="K106" i="25" s="1"/>
  <c r="K105" i="25"/>
</calcChain>
</file>

<file path=xl/sharedStrings.xml><?xml version="1.0" encoding="utf-8"?>
<sst xmlns="http://schemas.openxmlformats.org/spreadsheetml/2006/main" count="363" uniqueCount="144">
  <si>
    <t>c=</t>
  </si>
  <si>
    <t>n</t>
  </si>
  <si>
    <t>PI= 0</t>
  </si>
  <si>
    <t>a=</t>
  </si>
  <si>
    <t>m=</t>
  </si>
  <si>
    <t>e=</t>
  </si>
  <si>
    <t>Fine Grained</t>
  </si>
  <si>
    <t>Coarse Grained</t>
  </si>
  <si>
    <t>cm</t>
  </si>
  <si>
    <t>cm2</t>
  </si>
  <si>
    <t>sa</t>
  </si>
  <si>
    <t>sa*</t>
  </si>
  <si>
    <t>sc</t>
  </si>
  <si>
    <r>
      <t xml:space="preserve">y </t>
    </r>
    <r>
      <rPr>
        <b/>
        <sz val="11"/>
        <color theme="1"/>
        <rFont val="Calibri"/>
        <family val="2"/>
        <scheme val="minor"/>
      </rPr>
      <t>(kPa)</t>
    </r>
  </si>
  <si>
    <r>
      <t xml:space="preserve">y </t>
    </r>
    <r>
      <rPr>
        <b/>
        <sz val="11"/>
        <color theme="1"/>
        <rFont val="Calibri"/>
        <family val="2"/>
        <scheme val="minor"/>
      </rPr>
      <t>(cm)</t>
    </r>
  </si>
  <si>
    <t>SWCC For Coarse Grained Soils</t>
  </si>
  <si>
    <t>n=</t>
  </si>
  <si>
    <t>q</t>
  </si>
  <si>
    <t>%</t>
  </si>
  <si>
    <t>D60=</t>
  </si>
  <si>
    <t>US Army Corps of Engineers</t>
  </si>
  <si>
    <t>wPI=</t>
  </si>
  <si>
    <t>b=</t>
  </si>
  <si>
    <t>Ch</t>
  </si>
  <si>
    <t>PI&gt; 0</t>
  </si>
  <si>
    <t>SWCC For Fine Grained Soils</t>
  </si>
  <si>
    <t>mm</t>
  </si>
  <si>
    <t>Input</t>
  </si>
  <si>
    <t>PI&gt;0</t>
  </si>
  <si>
    <t>PI=0</t>
  </si>
  <si>
    <t>P200=</t>
  </si>
  <si>
    <t>Soil Type</t>
  </si>
  <si>
    <t>Clay</t>
  </si>
  <si>
    <t>Clay loam</t>
  </si>
  <si>
    <t>Estimated Van Genuchen Parameters</t>
  </si>
  <si>
    <t>kPa</t>
  </si>
  <si>
    <t>D=</t>
  </si>
  <si>
    <r>
      <t>cm</t>
    </r>
    <r>
      <rPr>
        <vertAlign val="superscript"/>
        <sz val="11"/>
        <color theme="1"/>
        <rFont val="Calibri"/>
        <family val="2"/>
        <scheme val="minor"/>
      </rPr>
      <t>3</t>
    </r>
    <r>
      <rPr>
        <sz val="11"/>
        <color theme="1"/>
        <rFont val="Calibri"/>
        <family val="2"/>
        <scheme val="minor"/>
      </rPr>
      <t>/cm</t>
    </r>
    <r>
      <rPr>
        <vertAlign val="superscript"/>
        <sz val="11"/>
        <color theme="1"/>
        <rFont val="Calibri"/>
        <family val="2"/>
        <scheme val="minor"/>
      </rPr>
      <t>3</t>
    </r>
  </si>
  <si>
    <t>Estimated Fredlund and Xing Parameters</t>
  </si>
  <si>
    <t>Loam</t>
  </si>
  <si>
    <t>Loamy sand</t>
  </si>
  <si>
    <t>Silt</t>
  </si>
  <si>
    <t>Silt loam</t>
  </si>
  <si>
    <t>Silty clay</t>
  </si>
  <si>
    <t>Silty clay loam</t>
  </si>
  <si>
    <t>Sand</t>
  </si>
  <si>
    <t>Sandy clay</t>
  </si>
  <si>
    <t>Sandy clay loam</t>
  </si>
  <si>
    <t>Sandy loam</t>
  </si>
  <si>
    <t>Soil Water Characteristic Curves (SWCC)
Coarse Grained Soils</t>
  </si>
  <si>
    <t>Soil Water Characteristic Curves (SWCC)
Fine Grained Soils</t>
  </si>
  <si>
    <r>
      <rPr>
        <b/>
        <sz val="10"/>
        <color rgb="FF000000"/>
        <rFont val="Symbol"/>
        <family val="1"/>
        <charset val="2"/>
      </rPr>
      <t>q</t>
    </r>
    <r>
      <rPr>
        <b/>
        <sz val="10"/>
        <color rgb="FF000000"/>
        <rFont val="Arial"/>
        <family val="2"/>
      </rPr>
      <t>r</t>
    </r>
  </si>
  <si>
    <r>
      <rPr>
        <b/>
        <sz val="10"/>
        <color rgb="FF000000"/>
        <rFont val="Symbol"/>
        <family val="1"/>
        <charset val="2"/>
      </rPr>
      <t>q</t>
    </r>
    <r>
      <rPr>
        <b/>
        <sz val="10"/>
        <color rgb="FF000000"/>
        <rFont val="Arial"/>
        <family val="2"/>
      </rPr>
      <t>s</t>
    </r>
  </si>
  <si>
    <t>Clay Fraction (&lt;0.002 mm)=</t>
  </si>
  <si>
    <t>Fines Content (&lt;0.075 mm)=</t>
  </si>
  <si>
    <t>Sand Content (&lt; 2 mm)=</t>
  </si>
  <si>
    <t>cm/sec</t>
  </si>
  <si>
    <t>90% wet</t>
  </si>
  <si>
    <t>ave wet</t>
  </si>
  <si>
    <t>ave dry</t>
  </si>
  <si>
    <t>90% dy</t>
  </si>
  <si>
    <t>*method is limited to min Ks of 1.0E-07 cm/sec</t>
  </si>
  <si>
    <t>Ks cm/sec</t>
  </si>
  <si>
    <t>5.55-06</t>
  </si>
  <si>
    <t>a 
cm-1</t>
  </si>
  <si>
    <t>wetting</t>
  </si>
  <si>
    <t>drying</t>
  </si>
  <si>
    <t>1/kPa</t>
  </si>
  <si>
    <t>**hmin (??)</t>
  </si>
  <si>
    <r>
      <t>cm</t>
    </r>
    <r>
      <rPr>
        <vertAlign val="superscript"/>
        <sz val="11"/>
        <rFont val="Calibri"/>
        <family val="2"/>
        <scheme val="minor"/>
      </rPr>
      <t>3</t>
    </r>
    <r>
      <rPr>
        <sz val="11"/>
        <rFont val="Calibri"/>
        <family val="2"/>
        <scheme val="minor"/>
      </rPr>
      <t>/cm</t>
    </r>
    <r>
      <rPr>
        <vertAlign val="superscript"/>
        <sz val="11"/>
        <rFont val="Calibri"/>
        <family val="2"/>
        <scheme val="minor"/>
      </rPr>
      <t>3</t>
    </r>
  </si>
  <si>
    <t xml:space="preserve">Soil Water Characteristic Curves (SWCC)
</t>
  </si>
  <si>
    <t>Fredlund and Xing 1994 (1)</t>
  </si>
  <si>
    <r>
      <t>Brooks and Corey 1964</t>
    </r>
    <r>
      <rPr>
        <b/>
        <i/>
        <vertAlign val="superscript"/>
        <sz val="13"/>
        <color theme="5" tint="-0.249977111117893"/>
        <rFont val="Calibri"/>
        <family val="2"/>
        <scheme val="minor"/>
      </rPr>
      <t>2</t>
    </r>
  </si>
  <si>
    <r>
      <t>Fredlund and Xing 1994 (2)</t>
    </r>
    <r>
      <rPr>
        <b/>
        <i/>
        <vertAlign val="superscript"/>
        <sz val="13"/>
        <color theme="5" tint="-0.249977111117893"/>
        <rFont val="Calibri"/>
        <family val="2"/>
        <scheme val="minor"/>
      </rPr>
      <t>3</t>
    </r>
  </si>
  <si>
    <t>m=1-1/n</t>
  </si>
  <si>
    <t>a 
kPa</t>
  </si>
  <si>
    <r>
      <rPr>
        <b/>
        <i/>
        <sz val="11"/>
        <color theme="1"/>
        <rFont val="Cambria"/>
        <family val="1"/>
        <scheme val="major"/>
      </rPr>
      <t>a</t>
    </r>
    <r>
      <rPr>
        <b/>
        <i/>
        <sz val="11"/>
        <color theme="1"/>
        <rFont val="Calibri"/>
        <family val="2"/>
        <scheme val="minor"/>
      </rPr>
      <t>=</t>
    </r>
  </si>
  <si>
    <r>
      <rPr>
        <b/>
        <i/>
        <sz val="11"/>
        <color theme="1"/>
        <rFont val="Symbol"/>
        <family val="1"/>
        <charset val="2"/>
      </rPr>
      <t>y</t>
    </r>
    <r>
      <rPr>
        <b/>
        <i/>
        <vertAlign val="subscript"/>
        <sz val="11"/>
        <color theme="1"/>
        <rFont val="Calibri"/>
        <family val="2"/>
        <scheme val="minor"/>
      </rPr>
      <t>b</t>
    </r>
    <r>
      <rPr>
        <b/>
        <i/>
        <sz val="11"/>
        <color theme="1"/>
        <rFont val="Calibri"/>
        <family val="2"/>
        <scheme val="minor"/>
      </rPr>
      <t>=</t>
    </r>
  </si>
  <si>
    <r>
      <rPr>
        <b/>
        <i/>
        <sz val="11"/>
        <color theme="1"/>
        <rFont val="Symbol"/>
        <family val="1"/>
        <charset val="2"/>
      </rPr>
      <t>l</t>
    </r>
    <r>
      <rPr>
        <b/>
        <i/>
        <sz val="11"/>
        <color theme="1"/>
        <rFont val="Calibri"/>
        <family val="2"/>
        <scheme val="minor"/>
      </rPr>
      <t>=</t>
    </r>
  </si>
  <si>
    <r>
      <rPr>
        <b/>
        <i/>
        <sz val="11"/>
        <color theme="1"/>
        <rFont val="Symbol"/>
        <family val="1"/>
        <charset val="2"/>
      </rPr>
      <t>a</t>
    </r>
    <r>
      <rPr>
        <b/>
        <i/>
        <sz val="11"/>
        <color theme="1"/>
        <rFont val="Calibri"/>
        <family val="2"/>
        <scheme val="minor"/>
      </rPr>
      <t>=</t>
    </r>
  </si>
  <si>
    <r>
      <t>Gardner 1958</t>
    </r>
    <r>
      <rPr>
        <b/>
        <i/>
        <vertAlign val="superscript"/>
        <sz val="13"/>
        <color theme="5" tint="-0.249977111117893"/>
        <rFont val="Calibri"/>
        <family val="2"/>
        <scheme val="minor"/>
      </rPr>
      <t>1</t>
    </r>
  </si>
  <si>
    <t>van Genuchten 1980</t>
  </si>
  <si>
    <r>
      <rPr>
        <b/>
        <i/>
        <sz val="11"/>
        <color theme="1"/>
        <rFont val="Symbol"/>
        <family val="1"/>
        <charset val="2"/>
      </rPr>
      <t>q</t>
    </r>
    <r>
      <rPr>
        <b/>
        <i/>
        <vertAlign val="subscript"/>
        <sz val="11"/>
        <color theme="1"/>
        <rFont val="Calibri"/>
        <family val="2"/>
        <scheme val="minor"/>
      </rPr>
      <t>s</t>
    </r>
    <r>
      <rPr>
        <b/>
        <i/>
        <sz val="11"/>
        <color theme="1"/>
        <rFont val="Calibri"/>
        <family val="2"/>
        <scheme val="minor"/>
      </rPr>
      <t>=</t>
    </r>
  </si>
  <si>
    <r>
      <rPr>
        <b/>
        <i/>
        <sz val="11"/>
        <color theme="1"/>
        <rFont val="Symbol"/>
        <family val="1"/>
        <charset val="2"/>
      </rPr>
      <t>q</t>
    </r>
    <r>
      <rPr>
        <b/>
        <i/>
        <vertAlign val="subscript"/>
        <sz val="11"/>
        <color theme="1"/>
        <rFont val="Calibri"/>
        <family val="2"/>
        <scheme val="minor"/>
      </rPr>
      <t>r</t>
    </r>
    <r>
      <rPr>
        <b/>
        <i/>
        <sz val="11"/>
        <color theme="1"/>
        <rFont val="Calibri"/>
        <family val="2"/>
        <scheme val="minor"/>
      </rPr>
      <t>=</t>
    </r>
  </si>
  <si>
    <r>
      <rPr>
        <b/>
        <sz val="11"/>
        <rFont val="Calibri"/>
        <family val="2"/>
        <scheme val="minor"/>
      </rPr>
      <t>2</t>
    </r>
    <r>
      <rPr>
        <sz val="11"/>
        <rFont val="Calibri"/>
        <family val="2"/>
        <scheme val="minor"/>
      </rPr>
      <t xml:space="preserve">) Brooks and Corey's equation is valid only for </t>
    </r>
    <r>
      <rPr>
        <b/>
        <i/>
        <sz val="11"/>
        <rFont val="Symbol"/>
        <family val="1"/>
        <charset val="2"/>
      </rPr>
      <t>y</t>
    </r>
    <r>
      <rPr>
        <sz val="11"/>
        <rFont val="Calibri"/>
        <family val="2"/>
        <scheme val="minor"/>
      </rPr>
      <t xml:space="preserve"> value greater than or equal to </t>
    </r>
    <r>
      <rPr>
        <b/>
        <i/>
        <sz val="11"/>
        <rFont val="Symbol"/>
        <family val="1"/>
        <charset val="2"/>
      </rPr>
      <t>y</t>
    </r>
    <r>
      <rPr>
        <b/>
        <i/>
        <vertAlign val="subscript"/>
        <sz val="11"/>
        <rFont val="Calibri"/>
        <family val="2"/>
        <scheme val="minor"/>
      </rPr>
      <t>b</t>
    </r>
    <r>
      <rPr>
        <sz val="11"/>
        <rFont val="Calibri"/>
        <family val="2"/>
        <scheme val="minor"/>
      </rPr>
      <t xml:space="preserve"> or the air entry value</t>
    </r>
  </si>
  <si>
    <t>3)</t>
  </si>
  <si>
    <r>
      <t xml:space="preserve">where, </t>
    </r>
    <r>
      <rPr>
        <b/>
        <i/>
        <sz val="11"/>
        <color theme="1"/>
        <rFont val="Symbol"/>
        <family val="1"/>
        <charset val="2"/>
      </rPr>
      <t>y</t>
    </r>
    <r>
      <rPr>
        <b/>
        <i/>
        <vertAlign val="subscript"/>
        <sz val="11"/>
        <color theme="1"/>
        <rFont val="Calibri"/>
        <family val="2"/>
        <scheme val="minor"/>
      </rPr>
      <t>r</t>
    </r>
    <r>
      <rPr>
        <sz val="11"/>
        <color theme="1"/>
        <rFont val="Calibri"/>
        <family val="2"/>
        <scheme val="minor"/>
      </rPr>
      <t xml:space="preserve"> is estimated at </t>
    </r>
    <r>
      <rPr>
        <b/>
        <sz val="11"/>
        <color theme="1"/>
        <rFont val="Calibri"/>
        <family val="2"/>
        <scheme val="minor"/>
      </rPr>
      <t>100 kPa</t>
    </r>
    <r>
      <rPr>
        <sz val="11"/>
        <color theme="1"/>
        <rFont val="Calibri"/>
        <family val="2"/>
        <scheme val="minor"/>
      </rPr>
      <t xml:space="preserve"> for </t>
    </r>
    <r>
      <rPr>
        <b/>
        <i/>
        <sz val="11"/>
        <color theme="1"/>
        <rFont val="Symbol"/>
        <family val="1"/>
        <charset val="2"/>
      </rPr>
      <t>a</t>
    </r>
    <r>
      <rPr>
        <sz val="11"/>
        <color theme="1"/>
        <rFont val="Calibri"/>
        <family val="2"/>
        <scheme val="minor"/>
      </rPr>
      <t xml:space="preserve"> equal to or less than </t>
    </r>
    <r>
      <rPr>
        <b/>
        <sz val="11"/>
        <color theme="1"/>
        <rFont val="Calibri"/>
        <family val="2"/>
        <scheme val="minor"/>
      </rPr>
      <t>10 kPa</t>
    </r>
    <r>
      <rPr>
        <sz val="11"/>
        <color theme="1"/>
        <rFont val="Calibri"/>
        <family val="2"/>
        <scheme val="minor"/>
      </rPr>
      <t xml:space="preserve">, and </t>
    </r>
    <r>
      <rPr>
        <b/>
        <sz val="11"/>
        <color theme="1"/>
        <rFont val="Calibri"/>
        <family val="2"/>
        <scheme val="minor"/>
      </rPr>
      <t>500 kPa</t>
    </r>
    <r>
      <rPr>
        <sz val="11"/>
        <color theme="1"/>
        <rFont val="Calibri"/>
        <family val="2"/>
        <scheme val="minor"/>
      </rPr>
      <t xml:space="preserve"> for higher values of </t>
    </r>
    <r>
      <rPr>
        <b/>
        <i/>
        <sz val="11"/>
        <rFont val="Symbol"/>
        <family val="1"/>
        <charset val="2"/>
      </rPr>
      <t>a</t>
    </r>
    <r>
      <rPr>
        <sz val="11"/>
        <color theme="1"/>
        <rFont val="Symbol"/>
        <family val="1"/>
        <charset val="2"/>
      </rPr>
      <t>.</t>
    </r>
  </si>
  <si>
    <r>
      <t>1)</t>
    </r>
    <r>
      <rPr>
        <sz val="11"/>
        <color theme="1"/>
        <rFont val="Calibri"/>
        <family val="2"/>
        <scheme val="minor"/>
      </rPr>
      <t xml:space="preserve"> </t>
    </r>
    <r>
      <rPr>
        <b/>
        <i/>
        <sz val="11"/>
        <color theme="1"/>
        <rFont val="Symbol"/>
        <family val="1"/>
        <charset val="2"/>
      </rPr>
      <t>a</t>
    </r>
    <r>
      <rPr>
        <sz val="11"/>
        <color theme="1"/>
        <rFont val="Calibri"/>
        <family val="2"/>
        <scheme val="minor"/>
      </rPr>
      <t xml:space="preserve"> in Gardner's equation corresponds to the value of </t>
    </r>
    <r>
      <rPr>
        <b/>
        <i/>
        <sz val="11"/>
        <color theme="1"/>
        <rFont val="Symbol"/>
        <family val="1"/>
        <charset val="2"/>
      </rPr>
      <t>y</t>
    </r>
    <r>
      <rPr>
        <sz val="11"/>
        <color theme="1"/>
        <rFont val="Calibri"/>
        <family val="2"/>
        <scheme val="minor"/>
      </rPr>
      <t xml:space="preserve"> at a volumetric water content of </t>
    </r>
    <r>
      <rPr>
        <b/>
        <i/>
        <sz val="11"/>
        <color theme="1"/>
        <rFont val="Calibri"/>
        <family val="2"/>
        <scheme val="minor"/>
      </rPr>
      <t>(</t>
    </r>
    <r>
      <rPr>
        <b/>
        <i/>
        <sz val="11"/>
        <color theme="1"/>
        <rFont val="Symbol"/>
        <family val="1"/>
        <charset val="2"/>
      </rPr>
      <t>q</t>
    </r>
    <r>
      <rPr>
        <b/>
        <i/>
        <sz val="11"/>
        <color theme="1"/>
        <rFont val="Calibri"/>
        <family val="2"/>
        <scheme val="minor"/>
      </rPr>
      <t>s+</t>
    </r>
    <r>
      <rPr>
        <b/>
        <i/>
        <sz val="11"/>
        <color theme="1"/>
        <rFont val="Symbol"/>
        <family val="1"/>
        <charset val="2"/>
      </rPr>
      <t>q</t>
    </r>
    <r>
      <rPr>
        <b/>
        <i/>
        <sz val="11"/>
        <color theme="1"/>
        <rFont val="Calibri"/>
        <family val="2"/>
        <scheme val="minor"/>
      </rPr>
      <t>r)/2</t>
    </r>
  </si>
  <si>
    <r>
      <rPr>
        <b/>
        <i/>
        <sz val="11"/>
        <color theme="1"/>
        <rFont val="Symbol"/>
        <family val="1"/>
        <charset val="2"/>
      </rPr>
      <t>y</t>
    </r>
    <r>
      <rPr>
        <b/>
        <sz val="11"/>
        <color theme="1"/>
        <rFont val="Calibri"/>
        <family val="2"/>
        <scheme val="minor"/>
      </rPr>
      <t xml:space="preserve"> (kPa)</t>
    </r>
  </si>
  <si>
    <r>
      <t>Void Ratio,</t>
    </r>
    <r>
      <rPr>
        <b/>
        <i/>
        <sz val="11"/>
        <color theme="1"/>
        <rFont val="Calibri"/>
        <family val="2"/>
        <scheme val="minor"/>
      </rPr>
      <t xml:space="preserve"> e</t>
    </r>
    <r>
      <rPr>
        <b/>
        <sz val="11"/>
        <color theme="1"/>
        <rFont val="Calibri"/>
        <family val="2"/>
        <scheme val="minor"/>
      </rPr>
      <t>=</t>
    </r>
  </si>
  <si>
    <r>
      <t xml:space="preserve">Plastic Limit, </t>
    </r>
    <r>
      <rPr>
        <b/>
        <i/>
        <sz val="11"/>
        <color theme="1"/>
        <rFont val="Calibri"/>
        <family val="2"/>
        <scheme val="minor"/>
      </rPr>
      <t>PL</t>
    </r>
    <r>
      <rPr>
        <b/>
        <sz val="11"/>
        <color theme="1"/>
        <rFont val="Calibri"/>
        <family val="2"/>
        <scheme val="minor"/>
      </rPr>
      <t>=</t>
    </r>
  </si>
  <si>
    <r>
      <t xml:space="preserve">Saturated Hydraulic Conductivity*, </t>
    </r>
    <r>
      <rPr>
        <b/>
        <i/>
        <sz val="11"/>
        <color theme="1"/>
        <rFont val="Calibri"/>
        <family val="2"/>
        <scheme val="minor"/>
      </rPr>
      <t>K</t>
    </r>
    <r>
      <rPr>
        <b/>
        <i/>
        <vertAlign val="subscript"/>
        <sz val="11"/>
        <color theme="1"/>
        <rFont val="Calibri"/>
        <family val="2"/>
        <scheme val="minor"/>
      </rPr>
      <t>s</t>
    </r>
    <r>
      <rPr>
        <b/>
        <sz val="11"/>
        <color theme="1"/>
        <rFont val="Calibri"/>
        <family val="2"/>
        <scheme val="minor"/>
      </rPr>
      <t>=</t>
    </r>
  </si>
  <si>
    <r>
      <t xml:space="preserve">Void Ratio, </t>
    </r>
    <r>
      <rPr>
        <b/>
        <i/>
        <sz val="11"/>
        <color theme="1"/>
        <rFont val="Calibri"/>
        <family val="2"/>
        <scheme val="minor"/>
      </rPr>
      <t>e</t>
    </r>
    <r>
      <rPr>
        <b/>
        <sz val="11"/>
        <color theme="1"/>
        <rFont val="Calibri"/>
        <family val="2"/>
        <scheme val="minor"/>
      </rPr>
      <t>=</t>
    </r>
  </si>
  <si>
    <r>
      <t xml:space="preserve">Saturated Hydraulic Conductivity, </t>
    </r>
    <r>
      <rPr>
        <b/>
        <i/>
        <sz val="11"/>
        <color theme="1"/>
        <rFont val="Calibri"/>
        <family val="2"/>
        <scheme val="minor"/>
      </rPr>
      <t>K</t>
    </r>
    <r>
      <rPr>
        <b/>
        <i/>
        <vertAlign val="subscript"/>
        <sz val="11"/>
        <color theme="1"/>
        <rFont val="Calibri"/>
        <family val="2"/>
        <scheme val="minor"/>
      </rPr>
      <t>s</t>
    </r>
    <r>
      <rPr>
        <b/>
        <sz val="11"/>
        <color theme="1"/>
        <rFont val="Calibri"/>
        <family val="2"/>
        <scheme val="minor"/>
      </rPr>
      <t>=</t>
    </r>
  </si>
  <si>
    <t>a 
kPa-1</t>
  </si>
  <si>
    <r>
      <t>C</t>
    </r>
    <r>
      <rPr>
        <b/>
        <i/>
        <sz val="11"/>
        <color theme="1"/>
        <rFont val="Symbol"/>
        <family val="1"/>
        <charset val="2"/>
      </rPr>
      <t>y</t>
    </r>
  </si>
  <si>
    <r>
      <t>y*</t>
    </r>
    <r>
      <rPr>
        <b/>
        <sz val="11"/>
        <color theme="1"/>
        <rFont val="Calibri"/>
        <family val="2"/>
        <scheme val="minor"/>
      </rPr>
      <t>(kPa)</t>
    </r>
  </si>
  <si>
    <r>
      <rPr>
        <b/>
        <i/>
        <sz val="11"/>
        <color theme="1"/>
        <rFont val="Symbol"/>
        <family val="1"/>
        <charset val="2"/>
      </rPr>
      <t xml:space="preserve">*y </t>
    </r>
    <r>
      <rPr>
        <b/>
        <i/>
        <sz val="11"/>
        <color theme="1"/>
        <rFont val="Calibri"/>
        <family val="2"/>
        <scheme val="minor"/>
      </rPr>
      <t>= h</t>
    </r>
  </si>
  <si>
    <r>
      <t xml:space="preserve">Liquid Limit, </t>
    </r>
    <r>
      <rPr>
        <b/>
        <i/>
        <sz val="11"/>
        <color theme="1"/>
        <rFont val="Calibri"/>
        <family val="2"/>
        <scheme val="minor"/>
      </rPr>
      <t>LL</t>
    </r>
    <r>
      <rPr>
        <b/>
        <sz val="11"/>
        <color theme="1"/>
        <rFont val="Calibri"/>
        <family val="2"/>
        <scheme val="minor"/>
      </rPr>
      <t>=</t>
    </r>
  </si>
  <si>
    <r>
      <t>D</t>
    </r>
    <r>
      <rPr>
        <b/>
        <i/>
        <vertAlign val="subscript"/>
        <sz val="11"/>
        <color theme="1"/>
        <rFont val="Calibri"/>
        <family val="2"/>
        <scheme val="minor"/>
      </rPr>
      <t>90</t>
    </r>
    <r>
      <rPr>
        <b/>
        <i/>
        <sz val="11"/>
        <color theme="1"/>
        <rFont val="Calibri"/>
        <family val="2"/>
        <scheme val="minor"/>
      </rPr>
      <t>=</t>
    </r>
  </si>
  <si>
    <r>
      <t>D</t>
    </r>
    <r>
      <rPr>
        <b/>
        <i/>
        <vertAlign val="subscript"/>
        <sz val="11"/>
        <color theme="1"/>
        <rFont val="Calibri"/>
        <family val="2"/>
        <scheme val="minor"/>
      </rPr>
      <t>10</t>
    </r>
    <r>
      <rPr>
        <b/>
        <i/>
        <sz val="11"/>
        <color theme="1"/>
        <rFont val="Calibri"/>
        <family val="2"/>
        <scheme val="minor"/>
      </rPr>
      <t>=</t>
    </r>
  </si>
  <si>
    <r>
      <t>D</t>
    </r>
    <r>
      <rPr>
        <b/>
        <i/>
        <vertAlign val="subscript"/>
        <sz val="11"/>
        <color theme="1"/>
        <rFont val="Calibri"/>
        <family val="2"/>
        <scheme val="minor"/>
      </rPr>
      <t>20</t>
    </r>
    <r>
      <rPr>
        <b/>
        <i/>
        <sz val="11"/>
        <color theme="1"/>
        <rFont val="Calibri"/>
        <family val="2"/>
        <scheme val="minor"/>
      </rPr>
      <t>=</t>
    </r>
  </si>
  <si>
    <r>
      <t>D</t>
    </r>
    <r>
      <rPr>
        <b/>
        <i/>
        <vertAlign val="subscript"/>
        <sz val="11"/>
        <color theme="1"/>
        <rFont val="Calibri"/>
        <family val="2"/>
        <scheme val="minor"/>
      </rPr>
      <t>30</t>
    </r>
    <r>
      <rPr>
        <b/>
        <i/>
        <sz val="11"/>
        <color theme="1"/>
        <rFont val="Calibri"/>
        <family val="2"/>
        <scheme val="minor"/>
      </rPr>
      <t>=</t>
    </r>
  </si>
  <si>
    <r>
      <t>D</t>
    </r>
    <r>
      <rPr>
        <b/>
        <i/>
        <vertAlign val="subscript"/>
        <sz val="11"/>
        <color theme="1"/>
        <rFont val="Calibri"/>
        <family val="2"/>
        <scheme val="minor"/>
      </rPr>
      <t>60</t>
    </r>
    <r>
      <rPr>
        <b/>
        <i/>
        <sz val="11"/>
        <color theme="1"/>
        <rFont val="Calibri"/>
        <family val="2"/>
        <scheme val="minor"/>
      </rPr>
      <t>=</t>
    </r>
  </si>
  <si>
    <r>
      <rPr>
        <sz val="11"/>
        <color theme="1"/>
        <rFont val="Calibri"/>
        <family val="2"/>
        <scheme val="minor"/>
      </rPr>
      <t>drying</t>
    </r>
    <r>
      <rPr>
        <i/>
        <sz val="11"/>
        <color theme="1"/>
        <rFont val="Calibri"/>
        <family val="2"/>
        <scheme val="minor"/>
      </rPr>
      <t xml:space="preserve"> n=</t>
    </r>
  </si>
  <si>
    <r>
      <rPr>
        <sz val="11"/>
        <color theme="1"/>
        <rFont val="Calibri"/>
        <family val="2"/>
        <scheme val="minor"/>
      </rPr>
      <t>wetting</t>
    </r>
    <r>
      <rPr>
        <i/>
        <sz val="11"/>
        <color theme="1"/>
        <rFont val="Calibri"/>
        <family val="2"/>
        <scheme val="minor"/>
      </rPr>
      <t xml:space="preserve"> n=</t>
    </r>
  </si>
  <si>
    <r>
      <rPr>
        <sz val="11"/>
        <color theme="1"/>
        <rFont val="Calibri"/>
        <family val="2"/>
        <scheme val="minor"/>
      </rPr>
      <t>drying</t>
    </r>
    <r>
      <rPr>
        <i/>
        <sz val="11"/>
        <color theme="1"/>
        <rFont val="Calibri"/>
        <family val="2"/>
        <scheme val="minor"/>
      </rPr>
      <t xml:space="preserve"> </t>
    </r>
    <r>
      <rPr>
        <i/>
        <sz val="11"/>
        <color theme="1"/>
        <rFont val="Symbol"/>
        <family val="1"/>
        <charset val="2"/>
      </rPr>
      <t>a</t>
    </r>
    <r>
      <rPr>
        <i/>
        <sz val="11"/>
        <color theme="1"/>
        <rFont val="Calibri"/>
        <family val="2"/>
        <scheme val="minor"/>
      </rPr>
      <t>=</t>
    </r>
  </si>
  <si>
    <r>
      <rPr>
        <sz val="11"/>
        <color theme="1"/>
        <rFont val="Calibri"/>
        <family val="2"/>
        <scheme val="minor"/>
      </rPr>
      <t>wetting</t>
    </r>
    <r>
      <rPr>
        <i/>
        <sz val="11"/>
        <color theme="1"/>
        <rFont val="Calibri"/>
        <family val="2"/>
        <scheme val="minor"/>
      </rPr>
      <t xml:space="preserve"> </t>
    </r>
    <r>
      <rPr>
        <i/>
        <sz val="11"/>
        <color theme="1"/>
        <rFont val="Symbol"/>
        <family val="1"/>
        <charset val="2"/>
      </rPr>
      <t>a</t>
    </r>
    <r>
      <rPr>
        <i/>
        <sz val="11"/>
        <color theme="1"/>
        <rFont val="Calibri"/>
        <family val="2"/>
        <scheme val="minor"/>
      </rPr>
      <t>=</t>
    </r>
  </si>
  <si>
    <r>
      <rPr>
        <sz val="11"/>
        <color theme="1"/>
        <rFont val="Calibri"/>
        <family val="2"/>
        <scheme val="minor"/>
      </rPr>
      <t>mm</t>
    </r>
    <r>
      <rPr>
        <i/>
        <sz val="11"/>
        <color theme="1"/>
        <rFont val="Calibri"/>
        <family val="2"/>
        <scheme val="minor"/>
      </rPr>
      <t xml:space="preserve">      a=</t>
    </r>
  </si>
  <si>
    <r>
      <rPr>
        <sz val="11"/>
        <color theme="1"/>
        <rFont val="Calibri"/>
        <family val="2"/>
        <scheme val="minor"/>
      </rPr>
      <t>mm</t>
    </r>
    <r>
      <rPr>
        <i/>
        <sz val="11"/>
        <color theme="1"/>
        <rFont val="Calibri"/>
        <family val="2"/>
        <scheme val="minor"/>
      </rPr>
      <t xml:space="preserve">       a=</t>
    </r>
  </si>
  <si>
    <r>
      <rPr>
        <sz val="11"/>
        <color theme="1"/>
        <rFont val="Calibri"/>
        <family val="2"/>
        <scheme val="minor"/>
      </rPr>
      <t>mm</t>
    </r>
    <r>
      <rPr>
        <i/>
        <sz val="11"/>
        <color theme="1"/>
        <rFont val="Calibri"/>
        <family val="2"/>
        <scheme val="minor"/>
      </rPr>
      <t xml:space="preserve">   m</t>
    </r>
    <r>
      <rPr>
        <i/>
        <vertAlign val="subscript"/>
        <sz val="11"/>
        <color theme="1"/>
        <rFont val="Calibri"/>
        <family val="2"/>
        <scheme val="minor"/>
      </rPr>
      <t>1</t>
    </r>
    <r>
      <rPr>
        <i/>
        <sz val="11"/>
        <color theme="1"/>
        <rFont val="Calibri"/>
        <family val="2"/>
        <scheme val="minor"/>
      </rPr>
      <t>=</t>
    </r>
  </si>
  <si>
    <r>
      <t>m</t>
    </r>
    <r>
      <rPr>
        <i/>
        <vertAlign val="subscript"/>
        <sz val="11"/>
        <color theme="1"/>
        <rFont val="Calibri"/>
        <family val="2"/>
        <scheme val="minor"/>
      </rPr>
      <t>2</t>
    </r>
    <r>
      <rPr>
        <i/>
        <sz val="11"/>
        <color theme="1"/>
        <rFont val="Calibri"/>
        <family val="2"/>
        <scheme val="minor"/>
      </rPr>
      <t>=</t>
    </r>
  </si>
  <si>
    <r>
      <rPr>
        <sz val="11"/>
        <color theme="1"/>
        <rFont val="Calibri"/>
        <family val="2"/>
        <scheme val="minor"/>
      </rPr>
      <t>mm</t>
    </r>
    <r>
      <rPr>
        <i/>
        <sz val="11"/>
        <color theme="1"/>
        <rFont val="Calibri"/>
        <family val="2"/>
        <scheme val="minor"/>
      </rPr>
      <t xml:space="preserve">      n=</t>
    </r>
  </si>
  <si>
    <r>
      <rPr>
        <sz val="11"/>
        <color theme="1"/>
        <rFont val="Calibri"/>
        <family val="2"/>
        <scheme val="minor"/>
      </rPr>
      <t>mm</t>
    </r>
    <r>
      <rPr>
        <i/>
        <sz val="11"/>
        <color theme="1"/>
        <rFont val="Calibri"/>
        <family val="2"/>
        <scheme val="minor"/>
      </rPr>
      <t xml:space="preserve">       c=</t>
    </r>
  </si>
  <si>
    <r>
      <t>a</t>
    </r>
    <r>
      <rPr>
        <i/>
        <vertAlign val="subscript"/>
        <sz val="11"/>
        <color theme="1"/>
        <rFont val="Calibri"/>
        <family val="2"/>
        <scheme val="minor"/>
      </rPr>
      <t>1</t>
    </r>
    <r>
      <rPr>
        <i/>
        <sz val="11"/>
        <color theme="1"/>
        <rFont val="Calibri"/>
        <family val="2"/>
        <scheme val="minor"/>
      </rPr>
      <t>C</t>
    </r>
    <r>
      <rPr>
        <i/>
        <vertAlign val="subscript"/>
        <sz val="11"/>
        <color theme="1"/>
        <rFont val="Calibri"/>
        <family val="2"/>
        <scheme val="minor"/>
      </rPr>
      <t>p</t>
    </r>
    <r>
      <rPr>
        <i/>
        <sz val="11"/>
        <color theme="1"/>
        <rFont val="Calibri"/>
        <family val="2"/>
        <scheme val="minor"/>
      </rPr>
      <t>=</t>
    </r>
  </si>
  <si>
    <t xml:space="preserve">         D=</t>
  </si>
  <si>
    <r>
      <t>D</t>
    </r>
    <r>
      <rPr>
        <i/>
        <vertAlign val="subscript"/>
        <sz val="11"/>
        <color theme="1"/>
        <rFont val="Calibri"/>
        <family val="2"/>
        <scheme val="minor"/>
      </rPr>
      <t>10</t>
    </r>
    <r>
      <rPr>
        <i/>
        <sz val="11"/>
        <color theme="1"/>
        <rFont val="Calibri"/>
        <family val="2"/>
        <scheme val="minor"/>
      </rPr>
      <t>=</t>
    </r>
  </si>
  <si>
    <r>
      <t>D</t>
    </r>
    <r>
      <rPr>
        <i/>
        <vertAlign val="subscript"/>
        <sz val="11"/>
        <color theme="1"/>
        <rFont val="Calibri"/>
        <family val="2"/>
        <scheme val="minor"/>
      </rPr>
      <t>60</t>
    </r>
    <r>
      <rPr>
        <i/>
        <sz val="11"/>
        <color theme="1"/>
        <rFont val="Calibri"/>
        <family val="2"/>
        <scheme val="minor"/>
      </rPr>
      <t>=</t>
    </r>
  </si>
  <si>
    <r>
      <t>C</t>
    </r>
    <r>
      <rPr>
        <i/>
        <vertAlign val="subscript"/>
        <sz val="11"/>
        <color theme="1"/>
        <rFont val="Calibri"/>
        <family val="2"/>
        <scheme val="minor"/>
      </rPr>
      <t>u</t>
    </r>
    <r>
      <rPr>
        <i/>
        <sz val="11"/>
        <color theme="1"/>
        <rFont val="Calibri"/>
        <family val="2"/>
        <scheme val="minor"/>
      </rPr>
      <t>=</t>
    </r>
  </si>
  <si>
    <r>
      <rPr>
        <i/>
        <sz val="11"/>
        <color theme="1"/>
        <rFont val="Symbol"/>
        <family val="1"/>
        <charset val="2"/>
      </rPr>
      <t>y</t>
    </r>
    <r>
      <rPr>
        <i/>
        <vertAlign val="subscript"/>
        <sz val="11"/>
        <color theme="1"/>
        <rFont val="Calibri"/>
        <family val="2"/>
        <scheme val="minor"/>
      </rPr>
      <t>r</t>
    </r>
    <r>
      <rPr>
        <i/>
        <sz val="11"/>
        <color theme="1"/>
        <rFont val="Calibri"/>
        <family val="2"/>
        <scheme val="minor"/>
      </rPr>
      <t>=</t>
    </r>
  </si>
  <si>
    <r>
      <t>h</t>
    </r>
    <r>
      <rPr>
        <i/>
        <vertAlign val="subscript"/>
        <sz val="11"/>
        <color theme="1"/>
        <rFont val="Calibri"/>
        <family val="2"/>
        <scheme val="minor"/>
      </rPr>
      <t>co</t>
    </r>
    <r>
      <rPr>
        <i/>
        <sz val="11"/>
        <color theme="1"/>
        <rFont val="Calibri"/>
        <family val="2"/>
        <scheme val="minor"/>
      </rPr>
      <t>=</t>
    </r>
  </si>
  <si>
    <t>z=</t>
  </si>
  <si>
    <r>
      <rPr>
        <i/>
        <sz val="11"/>
        <color theme="1"/>
        <rFont val="Symbol"/>
        <family val="1"/>
        <charset val="2"/>
      </rPr>
      <t>q</t>
    </r>
    <r>
      <rPr>
        <i/>
        <vertAlign val="subscript"/>
        <sz val="11"/>
        <color theme="1"/>
        <rFont val="Calibri"/>
        <family val="2"/>
        <scheme val="minor"/>
      </rPr>
      <t>s</t>
    </r>
    <r>
      <rPr>
        <i/>
        <sz val="11"/>
        <color theme="1"/>
        <rFont val="Calibri"/>
        <family val="2"/>
        <scheme val="minor"/>
      </rPr>
      <t>=</t>
    </r>
  </si>
  <si>
    <r>
      <rPr>
        <i/>
        <sz val="11"/>
        <color theme="1"/>
        <rFont val="Symbol"/>
        <family val="1"/>
        <charset val="2"/>
      </rPr>
      <t>q</t>
    </r>
    <r>
      <rPr>
        <i/>
        <vertAlign val="subscript"/>
        <sz val="11"/>
        <color theme="1"/>
        <rFont val="Calibri"/>
        <family val="2"/>
        <scheme val="minor"/>
      </rPr>
      <t>r</t>
    </r>
    <r>
      <rPr>
        <i/>
        <sz val="11"/>
        <color theme="1"/>
        <rFont val="Calibri"/>
        <family val="2"/>
        <scheme val="minor"/>
      </rPr>
      <t>=</t>
    </r>
  </si>
  <si>
    <r>
      <rPr>
        <sz val="11"/>
        <color theme="1"/>
        <rFont val="Calibri"/>
        <family val="2"/>
        <scheme val="minor"/>
      </rPr>
      <t>mm</t>
    </r>
    <r>
      <rPr>
        <i/>
        <sz val="11"/>
        <color theme="1"/>
        <rFont val="Calibri"/>
        <family val="2"/>
        <scheme val="minor"/>
      </rPr>
      <t xml:space="preserve">         c</t>
    </r>
    <r>
      <rPr>
        <i/>
        <vertAlign val="subscript"/>
        <sz val="11"/>
        <color theme="1"/>
        <rFont val="Calibri"/>
        <family val="2"/>
        <scheme val="minor"/>
      </rPr>
      <t>u</t>
    </r>
    <r>
      <rPr>
        <i/>
        <sz val="11"/>
        <color theme="1"/>
        <rFont val="Calibri"/>
        <family val="2"/>
        <scheme val="minor"/>
      </rPr>
      <t>=</t>
    </r>
  </si>
  <si>
    <r>
      <t>W</t>
    </r>
    <r>
      <rPr>
        <i/>
        <vertAlign val="subscript"/>
        <sz val="11"/>
        <color theme="1"/>
        <rFont val="Calibri"/>
        <family val="2"/>
        <scheme val="minor"/>
      </rPr>
      <t>L</t>
    </r>
    <r>
      <rPr>
        <i/>
        <sz val="11"/>
        <color theme="1"/>
        <rFont val="Calibri"/>
        <family val="2"/>
        <scheme val="minor"/>
      </rPr>
      <t>=</t>
    </r>
  </si>
  <si>
    <r>
      <t>C</t>
    </r>
    <r>
      <rPr>
        <i/>
        <vertAlign val="subscript"/>
        <sz val="11"/>
        <color theme="1"/>
        <rFont val="Calibri"/>
        <family val="2"/>
        <scheme val="minor"/>
      </rPr>
      <t>p</t>
    </r>
    <r>
      <rPr>
        <i/>
        <sz val="11"/>
        <color theme="1"/>
        <rFont val="Calibri"/>
        <family val="2"/>
        <scheme val="minor"/>
      </rPr>
      <t>=</t>
    </r>
  </si>
  <si>
    <r>
      <t>K</t>
    </r>
    <r>
      <rPr>
        <i/>
        <vertAlign val="subscript"/>
        <sz val="11"/>
        <color theme="1"/>
        <rFont val="Calibri"/>
        <family val="2"/>
        <scheme val="minor"/>
      </rPr>
      <t>s</t>
    </r>
    <r>
      <rPr>
        <i/>
        <sz val="11"/>
        <color theme="1"/>
        <rFont val="Calibri"/>
        <family val="2"/>
        <scheme val="minor"/>
      </rPr>
      <t>=</t>
    </r>
  </si>
  <si>
    <r>
      <t>b</t>
    </r>
    <r>
      <rPr>
        <i/>
        <vertAlign val="subscript"/>
        <sz val="11"/>
        <color theme="1"/>
        <rFont val="Calibri"/>
        <family val="2"/>
        <scheme val="minor"/>
      </rPr>
      <t>f</t>
    </r>
    <r>
      <rPr>
        <i/>
        <sz val="11"/>
        <color theme="1"/>
        <rFont val="Calibri"/>
        <family val="2"/>
        <scheme val="minor"/>
      </rPr>
      <t>=</t>
    </r>
  </si>
  <si>
    <r>
      <t>a</t>
    </r>
    <r>
      <rPr>
        <i/>
        <vertAlign val="subscript"/>
        <sz val="11"/>
        <color theme="1"/>
        <rFont val="Calibri"/>
        <family val="2"/>
        <scheme val="minor"/>
      </rPr>
      <t>f</t>
    </r>
    <r>
      <rPr>
        <i/>
        <sz val="11"/>
        <color theme="1"/>
        <rFont val="Calibri"/>
        <family val="2"/>
        <scheme val="minor"/>
      </rPr>
      <t>=</t>
    </r>
  </si>
  <si>
    <r>
      <t>c</t>
    </r>
    <r>
      <rPr>
        <i/>
        <vertAlign val="subscript"/>
        <sz val="11"/>
        <color theme="1"/>
        <rFont val="Calibri"/>
        <family val="2"/>
        <scheme val="minor"/>
      </rPr>
      <t>f</t>
    </r>
    <r>
      <rPr>
        <i/>
        <sz val="11"/>
        <color theme="1"/>
        <rFont val="Calibri"/>
        <family val="2"/>
        <scheme val="minor"/>
      </rPr>
      <t>=</t>
    </r>
  </si>
  <si>
    <r>
      <t>D</t>
    </r>
    <r>
      <rPr>
        <i/>
        <vertAlign val="subscript"/>
        <sz val="11"/>
        <color theme="1"/>
        <rFont val="Calibri"/>
        <family val="2"/>
        <scheme val="minor"/>
      </rPr>
      <t>100</t>
    </r>
    <r>
      <rPr>
        <i/>
        <sz val="11"/>
        <color theme="1"/>
        <rFont val="Calibri"/>
        <family val="2"/>
        <scheme val="minor"/>
      </rPr>
      <t>=</t>
    </r>
  </si>
  <si>
    <r>
      <t>D</t>
    </r>
    <r>
      <rPr>
        <i/>
        <vertAlign val="subscript"/>
        <sz val="11"/>
        <color theme="1"/>
        <rFont val="Calibri"/>
        <family val="2"/>
        <scheme val="minor"/>
      </rPr>
      <t>20</t>
    </r>
    <r>
      <rPr>
        <i/>
        <sz val="11"/>
        <color theme="1"/>
        <rFont val="Calibri"/>
        <family val="2"/>
        <scheme val="minor"/>
      </rPr>
      <t>=</t>
    </r>
  </si>
  <si>
    <r>
      <t>D</t>
    </r>
    <r>
      <rPr>
        <i/>
        <vertAlign val="subscript"/>
        <sz val="11"/>
        <color theme="1"/>
        <rFont val="Calibri"/>
        <family val="2"/>
        <scheme val="minor"/>
      </rPr>
      <t>30</t>
    </r>
    <r>
      <rPr>
        <i/>
        <sz val="11"/>
        <color theme="1"/>
        <rFont val="Calibri"/>
        <family val="2"/>
        <scheme val="minor"/>
      </rPr>
      <t>=</t>
    </r>
  </si>
  <si>
    <r>
      <t>D</t>
    </r>
    <r>
      <rPr>
        <i/>
        <vertAlign val="subscript"/>
        <sz val="11"/>
        <color theme="1"/>
        <rFont val="Calibri"/>
        <family val="2"/>
        <scheme val="minor"/>
      </rPr>
      <t>90</t>
    </r>
    <r>
      <rPr>
        <i/>
        <sz val="11"/>
        <color theme="1"/>
        <rFont val="Calibri"/>
        <family val="2"/>
        <scheme val="minor"/>
      </rPr>
      <t>=</t>
    </r>
  </si>
  <si>
    <r>
      <t>D</t>
    </r>
    <r>
      <rPr>
        <i/>
        <vertAlign val="subscript"/>
        <sz val="11"/>
        <color theme="1"/>
        <rFont val="Calibri"/>
        <family val="2"/>
        <scheme val="minor"/>
      </rPr>
      <t>0</t>
    </r>
    <r>
      <rPr>
        <i/>
        <sz val="11"/>
        <color theme="1"/>
        <rFont val="Calibri"/>
        <family val="2"/>
        <scheme val="minor"/>
      </rPr>
      <t>=</t>
    </r>
  </si>
  <si>
    <r>
      <rPr>
        <sz val="11"/>
        <color theme="1"/>
        <rFont val="Calibri"/>
        <family val="2"/>
        <scheme val="minor"/>
      </rPr>
      <t>mm</t>
    </r>
    <r>
      <rPr>
        <i/>
        <sz val="11"/>
        <color theme="1"/>
        <rFont val="Calibri"/>
        <family val="2"/>
        <scheme val="minor"/>
      </rPr>
      <t xml:space="preserve">     c</t>
    </r>
    <r>
      <rPr>
        <i/>
        <vertAlign val="subscript"/>
        <sz val="11"/>
        <color theme="1"/>
        <rFont val="Calibri"/>
        <family val="2"/>
        <scheme val="minor"/>
      </rPr>
      <t>f</t>
    </r>
    <r>
      <rPr>
        <i/>
        <sz val="11"/>
        <color theme="1"/>
        <rFont val="Calibri"/>
        <family val="2"/>
        <scheme val="minor"/>
      </rPr>
      <t>=</t>
    </r>
  </si>
  <si>
    <t>A=</t>
  </si>
  <si>
    <t>B=</t>
  </si>
  <si>
    <t>sand=</t>
  </si>
  <si>
    <t>clay=</t>
  </si>
  <si>
    <t>check using method</t>
  </si>
  <si>
    <r>
      <rPr>
        <i/>
        <sz val="11"/>
        <color theme="1"/>
        <rFont val="Symbol"/>
        <family val="1"/>
        <charset val="2"/>
      </rPr>
      <t>y</t>
    </r>
    <r>
      <rPr>
        <i/>
        <vertAlign val="subscript"/>
        <sz val="11"/>
        <color theme="1"/>
        <rFont val="Calibri"/>
        <family val="2"/>
        <scheme val="minor"/>
      </rPr>
      <t>e</t>
    </r>
    <r>
      <rPr>
        <i/>
        <sz val="11"/>
        <color theme="1"/>
        <rFont val="Calibri"/>
        <family val="2"/>
        <scheme val="minor"/>
      </rPr>
      <t>=</t>
    </r>
  </si>
  <si>
    <r>
      <t>h</t>
    </r>
    <r>
      <rPr>
        <i/>
        <vertAlign val="subscript"/>
        <sz val="11"/>
        <color theme="1"/>
        <rFont val="Calibri"/>
        <family val="2"/>
        <scheme val="minor"/>
      </rPr>
      <t>r</t>
    </r>
    <r>
      <rPr>
        <i/>
        <sz val="11"/>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</si>
</sst>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E+00"/>
    <numFmt numFmtId="165" formatCode="0.000"/>
    <numFmt numFmtId="166" formatCode="0.0000"/>
  </numFmts>
  <fonts count="39" x14ac:knownFonts="1">
    <font>
      <sz val="11"/>
      <color theme="1"/>
      <name val="Calibri"/>
      <family val="2"/>
      <scheme val="minor"/>
    </font>
    <font>
      <sz val="11"/>
      <color theme="1"/>
      <name val="Symbol"/>
      <family val="1"/>
      <charset val="2"/>
    </font>
    <font>
      <vertAlign val="superscript"/>
      <sz val="11"/>
      <color theme="1"/>
      <name val="Calibri"/>
      <family val="2"/>
      <scheme val="minor"/>
    </font>
    <font>
      <b/>
      <sz val="11"/>
      <color theme="1"/>
      <name val="Calibri"/>
      <family val="2"/>
      <scheme val="minor"/>
    </font>
    <font>
      <sz val="28"/>
      <color theme="1"/>
      <name val="Calibri"/>
      <family val="2"/>
      <scheme val="minor"/>
    </font>
    <font>
      <b/>
      <sz val="11"/>
      <color theme="1"/>
      <name val="Symbol"/>
      <family val="1"/>
      <charset val="2"/>
    </font>
    <font>
      <b/>
      <sz val="12"/>
      <color theme="1"/>
      <name val="Calibri"/>
      <family val="2"/>
      <scheme val="minor"/>
    </font>
    <font>
      <b/>
      <sz val="16"/>
      <color theme="1"/>
      <name val="Calibri"/>
      <family val="2"/>
      <scheme val="minor"/>
    </font>
    <font>
      <b/>
      <sz val="16"/>
      <name val="Calibri"/>
      <family val="2"/>
      <scheme val="minor"/>
    </font>
    <font>
      <i/>
      <sz val="11"/>
      <color rgb="FF0000CC"/>
      <name val="Calibri"/>
      <family val="2"/>
      <scheme val="minor"/>
    </font>
    <font>
      <sz val="11"/>
      <color theme="0"/>
      <name val="Calibri"/>
      <family val="2"/>
      <scheme val="minor"/>
    </font>
    <font>
      <b/>
      <i/>
      <sz val="13"/>
      <color theme="5" tint="-0.249977111117893"/>
      <name val="Calibri"/>
      <family val="2"/>
      <scheme val="minor"/>
    </font>
    <font>
      <b/>
      <sz val="10"/>
      <color rgb="FF000000"/>
      <name val="Arial"/>
      <family val="2"/>
    </font>
    <font>
      <b/>
      <sz val="12"/>
      <color theme="1"/>
      <name val="Cambria"/>
      <family val="1"/>
      <scheme val="major"/>
    </font>
    <font>
      <b/>
      <sz val="10"/>
      <color rgb="FF000000"/>
      <name val="Symbol"/>
      <family val="1"/>
      <charset val="2"/>
    </font>
    <font>
      <b/>
      <i/>
      <sz val="13"/>
      <color rgb="FF0097CC"/>
      <name val="Calibri"/>
      <family val="2"/>
      <scheme val="minor"/>
    </font>
    <font>
      <sz val="9"/>
      <color theme="1"/>
      <name val="Calibri"/>
      <family val="2"/>
      <scheme val="minor"/>
    </font>
    <font>
      <b/>
      <sz val="10"/>
      <color rgb="FF000000"/>
      <name val="Times New Roman"/>
      <family val="1"/>
    </font>
    <font>
      <sz val="10"/>
      <color rgb="FF000000"/>
      <name val="Times New Roman"/>
      <family val="1"/>
    </font>
    <font>
      <sz val="12"/>
      <color theme="1"/>
      <name val="Times New Roman"/>
      <family val="1"/>
    </font>
    <font>
      <i/>
      <sz val="12"/>
      <color theme="1"/>
      <name val="Times New Roman"/>
      <family val="1"/>
    </font>
    <font>
      <sz val="11"/>
      <name val="Calibri"/>
      <family val="2"/>
      <scheme val="minor"/>
    </font>
    <font>
      <vertAlign val="superscript"/>
      <sz val="11"/>
      <name val="Calibri"/>
      <family val="2"/>
      <scheme val="minor"/>
    </font>
    <font>
      <b/>
      <sz val="14"/>
      <color theme="1"/>
      <name val="Calibri"/>
      <family val="2"/>
      <scheme val="minor"/>
    </font>
    <font>
      <b/>
      <i/>
      <sz val="11"/>
      <color theme="1"/>
      <name val="Symbol"/>
      <family val="1"/>
      <charset val="2"/>
    </font>
    <font>
      <b/>
      <i/>
      <vertAlign val="subscript"/>
      <sz val="11"/>
      <color theme="1"/>
      <name val="Calibri"/>
      <family val="2"/>
      <scheme val="minor"/>
    </font>
    <font>
      <b/>
      <i/>
      <vertAlign val="superscript"/>
      <sz val="13"/>
      <color theme="5" tint="-0.249977111117893"/>
      <name val="Calibri"/>
      <family val="2"/>
      <scheme val="minor"/>
    </font>
    <font>
      <b/>
      <i/>
      <sz val="11"/>
      <color theme="1"/>
      <name val="Calibri"/>
      <family val="2"/>
      <scheme val="minor"/>
    </font>
    <font>
      <b/>
      <sz val="11"/>
      <color rgb="FF0070C0"/>
      <name val="Calibri"/>
      <family val="2"/>
      <scheme val="minor"/>
    </font>
    <font>
      <b/>
      <i/>
      <sz val="11"/>
      <color theme="1"/>
      <name val="Cambria"/>
      <family val="1"/>
      <scheme val="major"/>
    </font>
    <font>
      <b/>
      <sz val="11"/>
      <color theme="0"/>
      <name val="Calibri"/>
      <family val="2"/>
      <scheme val="minor"/>
    </font>
    <font>
      <sz val="11"/>
      <color theme="5"/>
      <name val="Calibri"/>
      <family val="2"/>
      <scheme val="minor"/>
    </font>
    <font>
      <sz val="11"/>
      <color theme="0" tint="-0.34998626667073579"/>
      <name val="Calibri"/>
      <family val="2"/>
      <scheme val="minor"/>
    </font>
    <font>
      <b/>
      <sz val="11"/>
      <name val="Calibri"/>
      <family val="2"/>
      <scheme val="minor"/>
    </font>
    <font>
      <b/>
      <i/>
      <sz val="11"/>
      <name val="Symbol"/>
      <family val="1"/>
      <charset val="2"/>
    </font>
    <font>
      <b/>
      <i/>
      <vertAlign val="subscript"/>
      <sz val="11"/>
      <name val="Calibri"/>
      <family val="2"/>
      <scheme val="minor"/>
    </font>
    <font>
      <i/>
      <sz val="11"/>
      <color theme="1"/>
      <name val="Calibri"/>
      <family val="2"/>
      <scheme val="minor"/>
    </font>
    <font>
      <i/>
      <sz val="11"/>
      <color theme="1"/>
      <name val="Symbol"/>
      <family val="1"/>
      <charset val="2"/>
    </font>
    <font>
      <i/>
      <vertAlign val="subscript"/>
      <sz val="11"/>
      <color theme="1"/>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5" tint="-0.249977111117893"/>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0097CC"/>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8" tint="0.59999389629810485"/>
        <bgColor indexed="64"/>
      </patternFill>
    </fill>
  </fills>
  <borders count="27">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bottom/>
      <diagonal/>
    </border>
    <border>
      <left/>
      <right/>
      <top/>
      <bottom style="medium">
        <color indexed="64"/>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style="medium">
        <color rgb="FF000000"/>
      </right>
      <top/>
      <bottom/>
      <diagonal/>
    </border>
    <border>
      <left/>
      <right style="medium">
        <color rgb="FF000000"/>
      </right>
      <top style="medium">
        <color rgb="FF000000"/>
      </top>
      <bottom/>
      <diagonal/>
    </border>
    <border>
      <left/>
      <right/>
      <top style="medium">
        <color rgb="FF000000"/>
      </top>
      <bottom/>
      <diagonal/>
    </border>
    <border>
      <left/>
      <right style="medium">
        <color rgb="FF000000"/>
      </right>
      <top/>
      <bottom style="medium">
        <color rgb="FF000000"/>
      </bottom>
      <diagonal/>
    </border>
    <border>
      <left/>
      <right/>
      <top/>
      <bottom style="medium">
        <color rgb="FF000000"/>
      </bottom>
      <diagonal/>
    </border>
    <border>
      <left style="thin">
        <color indexed="64"/>
      </left>
      <right style="thin">
        <color indexed="64"/>
      </right>
      <top style="thin">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s>
  <cellStyleXfs count="1">
    <xf numFmtId="0" fontId="0" fillId="0" borderId="0"/>
  </cellStyleXfs>
  <cellXfs count="146">
    <xf numFmtId="0" fontId="0" fillId="0" borderId="0" xfId="0"/>
    <xf numFmtId="0" fontId="0" fillId="0" borderId="0" xfId="0" applyAlignment="1">
      <alignment horizontal="right"/>
    </xf>
    <xf numFmtId="0" fontId="0" fillId="0" borderId="0" xfId="0" applyAlignment="1">
      <alignment horizontal="center"/>
    </xf>
    <xf numFmtId="0" fontId="1" fillId="0" borderId="0" xfId="0" applyFont="1"/>
    <xf numFmtId="0" fontId="0" fillId="2" borderId="0" xfId="0" applyFill="1"/>
    <xf numFmtId="0" fontId="4" fillId="0" borderId="0" xfId="0" applyFont="1"/>
    <xf numFmtId="0" fontId="0" fillId="0" borderId="4" xfId="0" applyBorder="1"/>
    <xf numFmtId="0" fontId="3" fillId="0" borderId="0" xfId="0" applyFont="1"/>
    <xf numFmtId="0" fontId="5" fillId="0" borderId="0" xfId="0" applyFont="1" applyAlignment="1">
      <alignment horizontal="center"/>
    </xf>
    <xf numFmtId="0" fontId="3" fillId="0" borderId="0" xfId="0" applyFont="1" applyAlignment="1">
      <alignment horizontal="center"/>
    </xf>
    <xf numFmtId="0" fontId="7" fillId="0" borderId="0" xfId="0" applyFont="1"/>
    <xf numFmtId="0" fontId="0" fillId="0" borderId="8" xfId="0" applyBorder="1"/>
    <xf numFmtId="0" fontId="0" fillId="0" borderId="9" xfId="0" applyBorder="1"/>
    <xf numFmtId="0" fontId="0" fillId="0" borderId="5" xfId="0" applyBorder="1"/>
    <xf numFmtId="0" fontId="0" fillId="0" borderId="10" xfId="0" applyBorder="1"/>
    <xf numFmtId="0" fontId="0" fillId="0" borderId="11" xfId="0" applyBorder="1"/>
    <xf numFmtId="0" fontId="3" fillId="0" borderId="4" xfId="0" applyFont="1" applyBorder="1" applyAlignment="1">
      <alignment wrapText="1"/>
    </xf>
    <xf numFmtId="0" fontId="3" fillId="0" borderId="4" xfId="0" applyFont="1" applyBorder="1"/>
    <xf numFmtId="0" fontId="3" fillId="0" borderId="6" xfId="0" applyFont="1" applyBorder="1"/>
    <xf numFmtId="0" fontId="3" fillId="0" borderId="11" xfId="0" applyFont="1" applyBorder="1"/>
    <xf numFmtId="0" fontId="0" fillId="0" borderId="0" xfId="0" applyProtection="1">
      <protection locked="0"/>
    </xf>
    <xf numFmtId="0" fontId="8" fillId="0" borderId="0" xfId="0" applyFont="1"/>
    <xf numFmtId="0" fontId="9" fillId="0" borderId="0" xfId="0" applyFont="1"/>
    <xf numFmtId="0" fontId="0" fillId="2" borderId="0" xfId="0" applyFill="1" applyAlignment="1">
      <alignment horizontal="center"/>
    </xf>
    <xf numFmtId="0" fontId="11" fillId="0" borderId="0" xfId="0" applyFont="1"/>
    <xf numFmtId="2" fontId="10" fillId="3" borderId="7" xfId="0" applyNumberFormat="1" applyFont="1" applyFill="1" applyBorder="1" applyAlignment="1">
      <alignment horizont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12" fillId="0" borderId="15" xfId="0" applyFont="1" applyBorder="1" applyAlignment="1">
      <alignment horizontal="center" vertical="center" wrapText="1"/>
    </xf>
    <xf numFmtId="0" fontId="0" fillId="0" borderId="0" xfId="0" applyAlignment="1">
      <alignment horizontal="left"/>
    </xf>
    <xf numFmtId="0" fontId="10" fillId="6" borderId="7" xfId="0" applyFont="1" applyFill="1" applyBorder="1" applyAlignment="1" applyProtection="1">
      <alignment horizontal="center"/>
      <protection locked="0"/>
    </xf>
    <xf numFmtId="0" fontId="15" fillId="0" borderId="0" xfId="0" applyFont="1"/>
    <xf numFmtId="164" fontId="10" fillId="6" borderId="7" xfId="0" applyNumberFormat="1" applyFont="1" applyFill="1" applyBorder="1" applyAlignment="1" applyProtection="1">
      <alignment horizontal="center"/>
      <protection locked="0"/>
    </xf>
    <xf numFmtId="0" fontId="16" fillId="0" borderId="0" xfId="0" applyFont="1"/>
    <xf numFmtId="0" fontId="17" fillId="7" borderId="14" xfId="0" applyFont="1" applyFill="1" applyBorder="1" applyAlignment="1">
      <alignment vertical="top" wrapText="1"/>
    </xf>
    <xf numFmtId="0" fontId="18" fillId="7" borderId="14" xfId="0" applyFont="1" applyFill="1" applyBorder="1" applyAlignment="1">
      <alignment horizontal="center" vertical="top" wrapText="1"/>
    </xf>
    <xf numFmtId="11" fontId="18" fillId="7" borderId="0" xfId="0" applyNumberFormat="1" applyFont="1" applyFill="1" applyAlignment="1">
      <alignment horizontal="center" vertical="top" wrapText="1"/>
    </xf>
    <xf numFmtId="0" fontId="17" fillId="4" borderId="17" xfId="0" applyFont="1" applyFill="1" applyBorder="1" applyAlignment="1">
      <alignment vertical="top" wrapText="1"/>
    </xf>
    <xf numFmtId="0" fontId="18" fillId="4" borderId="17" xfId="0" applyFont="1" applyFill="1" applyBorder="1" applyAlignment="1">
      <alignment horizontal="center" vertical="top" wrapText="1"/>
    </xf>
    <xf numFmtId="0" fontId="18" fillId="4" borderId="18" xfId="0" applyFont="1" applyFill="1" applyBorder="1" applyAlignment="1">
      <alignment horizontal="center" vertical="top" wrapText="1"/>
    </xf>
    <xf numFmtId="0" fontId="17" fillId="5" borderId="14" xfId="0" applyFont="1" applyFill="1" applyBorder="1" applyAlignment="1">
      <alignment vertical="top" wrapText="1"/>
    </xf>
    <xf numFmtId="0" fontId="18" fillId="5" borderId="14" xfId="0" applyFont="1" applyFill="1" applyBorder="1" applyAlignment="1">
      <alignment horizontal="center" vertical="top" wrapText="1"/>
    </xf>
    <xf numFmtId="11" fontId="18" fillId="5" borderId="0" xfId="0" applyNumberFormat="1" applyFont="1" applyFill="1" applyAlignment="1">
      <alignment horizontal="center" vertical="top" wrapText="1"/>
    </xf>
    <xf numFmtId="0" fontId="17" fillId="8" borderId="14" xfId="0" applyFont="1" applyFill="1" applyBorder="1" applyAlignment="1">
      <alignment vertical="top" wrapText="1"/>
    </xf>
    <xf numFmtId="0" fontId="18" fillId="8" borderId="14" xfId="0" applyFont="1" applyFill="1" applyBorder="1" applyAlignment="1">
      <alignment horizontal="center" vertical="top" wrapText="1"/>
    </xf>
    <xf numFmtId="11" fontId="18" fillId="8" borderId="0" xfId="0" applyNumberFormat="1" applyFont="1" applyFill="1" applyAlignment="1">
      <alignment horizontal="center" vertical="top" wrapText="1"/>
    </xf>
    <xf numFmtId="0" fontId="17" fillId="9" borderId="15" xfId="0" applyFont="1" applyFill="1" applyBorder="1" applyAlignment="1">
      <alignment vertical="top" wrapText="1"/>
    </xf>
    <xf numFmtId="0" fontId="17" fillId="9" borderId="15" xfId="0" applyFont="1" applyFill="1" applyBorder="1" applyAlignment="1">
      <alignment horizontal="center" vertical="top" wrapText="1"/>
    </xf>
    <xf numFmtId="11" fontId="17" fillId="9" borderId="16" xfId="0" applyNumberFormat="1" applyFont="1" applyFill="1" applyBorder="1" applyAlignment="1">
      <alignment horizontal="center" vertical="top" wrapText="1"/>
    </xf>
    <xf numFmtId="165" fontId="0" fillId="0" borderId="0" xfId="0" applyNumberFormat="1"/>
    <xf numFmtId="0" fontId="0" fillId="0" borderId="0" xfId="0" quotePrefix="1"/>
    <xf numFmtId="0" fontId="10" fillId="0" borderId="0" xfId="0" applyFont="1" applyAlignment="1" applyProtection="1">
      <alignment horizontal="center"/>
      <protection locked="0"/>
    </xf>
    <xf numFmtId="0" fontId="10" fillId="6" borderId="19" xfId="0" applyFont="1" applyFill="1" applyBorder="1" applyAlignment="1" applyProtection="1">
      <alignment horizontal="center"/>
      <protection locked="0"/>
    </xf>
    <xf numFmtId="0" fontId="0" fillId="0" borderId="20" xfId="0" applyBorder="1"/>
    <xf numFmtId="0" fontId="0" fillId="0" borderId="20" xfId="0" applyBorder="1" applyProtection="1">
      <protection locked="0"/>
    </xf>
    <xf numFmtId="164" fontId="10" fillId="0" borderId="20" xfId="0" applyNumberFormat="1" applyFont="1" applyBorder="1" applyAlignment="1" applyProtection="1">
      <alignment horizontal="center"/>
      <protection locked="0"/>
    </xf>
    <xf numFmtId="2" fontId="10" fillId="0" borderId="20" xfId="0" applyNumberFormat="1" applyFont="1" applyBorder="1" applyAlignment="1">
      <alignment horizontal="center"/>
    </xf>
    <xf numFmtId="166" fontId="0" fillId="0" borderId="0" xfId="0" applyNumberFormat="1"/>
    <xf numFmtId="0" fontId="10" fillId="0" borderId="20" xfId="0" applyFont="1" applyBorder="1" applyAlignment="1" applyProtection="1">
      <alignment horizontal="center"/>
      <protection locked="0"/>
    </xf>
    <xf numFmtId="0" fontId="0" fillId="0" borderId="20" xfId="0" applyBorder="1" applyAlignment="1">
      <alignment horizontal="center"/>
    </xf>
    <xf numFmtId="0" fontId="3" fillId="0" borderId="20" xfId="0" applyFont="1" applyBorder="1" applyAlignment="1">
      <alignment horizontal="center"/>
    </xf>
    <xf numFmtId="0" fontId="3" fillId="0" borderId="11" xfId="0" applyFont="1" applyBorder="1" applyAlignment="1">
      <alignment horizontal="center"/>
    </xf>
    <xf numFmtId="0" fontId="0" fillId="0" borderId="21" xfId="0" applyBorder="1" applyAlignment="1">
      <alignment horizontal="center"/>
    </xf>
    <xf numFmtId="0" fontId="5" fillId="0" borderId="11" xfId="0" applyFont="1" applyBorder="1" applyAlignment="1">
      <alignment horizontal="center"/>
    </xf>
    <xf numFmtId="0" fontId="19" fillId="0" borderId="0" xfId="0" applyFont="1"/>
    <xf numFmtId="0" fontId="20" fillId="0" borderId="0" xfId="0" applyFont="1" applyAlignment="1">
      <alignment horizontal="left" indent="15"/>
    </xf>
    <xf numFmtId="0" fontId="11" fillId="0" borderId="0" xfId="0" applyFont="1" applyAlignment="1">
      <alignment horizontal="left" indent="5"/>
    </xf>
    <xf numFmtId="0" fontId="0" fillId="0" borderId="0" xfId="0" applyAlignment="1">
      <alignment horizontal="left" indent="5"/>
    </xf>
    <xf numFmtId="0" fontId="21" fillId="0" borderId="20" xfId="0" applyFont="1" applyBorder="1" applyAlignment="1" applyProtection="1">
      <alignment horizontal="center"/>
      <protection locked="0"/>
    </xf>
    <xf numFmtId="0" fontId="10" fillId="0" borderId="21" xfId="0" applyFont="1" applyBorder="1" applyAlignment="1" applyProtection="1">
      <alignment horizontal="center"/>
      <protection locked="0"/>
    </xf>
    <xf numFmtId="0" fontId="0" fillId="0" borderId="21" xfId="0" applyBorder="1"/>
    <xf numFmtId="0" fontId="21" fillId="0" borderId="22" xfId="0" applyFont="1" applyBorder="1" applyAlignment="1" applyProtection="1">
      <alignment horizontal="center"/>
      <protection locked="0"/>
    </xf>
    <xf numFmtId="0" fontId="15" fillId="0" borderId="0" xfId="0" applyFont="1" applyAlignment="1">
      <alignment horizontal="center"/>
    </xf>
    <xf numFmtId="0" fontId="0" fillId="0" borderId="22" xfId="0" applyBorder="1"/>
    <xf numFmtId="166" fontId="21" fillId="0" borderId="0" xfId="0" applyNumberFormat="1" applyFont="1" applyAlignment="1">
      <alignment horizontal="center"/>
    </xf>
    <xf numFmtId="0" fontId="28" fillId="0" borderId="7" xfId="0" applyFont="1" applyBorder="1" applyAlignment="1">
      <alignment horizontal="center"/>
    </xf>
    <xf numFmtId="0" fontId="27" fillId="0" borderId="0" xfId="0" applyFont="1" applyAlignment="1">
      <alignment horizontal="right"/>
    </xf>
    <xf numFmtId="0" fontId="23" fillId="0" borderId="23" xfId="0" applyFont="1" applyBorder="1" applyAlignment="1">
      <alignment horizontal="center"/>
    </xf>
    <xf numFmtId="0" fontId="23" fillId="0" borderId="24" xfId="0" applyFont="1" applyBorder="1" applyAlignment="1">
      <alignment horizontal="center"/>
    </xf>
    <xf numFmtId="0" fontId="23" fillId="0" borderId="25" xfId="0" applyFont="1" applyBorder="1" applyAlignment="1">
      <alignment horizontal="center"/>
    </xf>
    <xf numFmtId="0" fontId="6" fillId="0" borderId="0" xfId="0" applyFont="1" applyAlignment="1">
      <alignment horizontal="center" vertical="center"/>
    </xf>
    <xf numFmtId="0" fontId="23" fillId="0" borderId="0" xfId="0" applyFont="1" applyAlignment="1">
      <alignment horizontal="center"/>
    </xf>
    <xf numFmtId="166" fontId="31" fillId="0" borderId="0" xfId="0" applyNumberFormat="1" applyFont="1"/>
    <xf numFmtId="0" fontId="32" fillId="0" borderId="0" xfId="0" applyFont="1"/>
    <xf numFmtId="0" fontId="6" fillId="0" borderId="0" xfId="0" applyFont="1" applyAlignment="1">
      <alignment wrapText="1"/>
    </xf>
    <xf numFmtId="3" fontId="0" fillId="0" borderId="0" xfId="0" applyNumberFormat="1"/>
    <xf numFmtId="2" fontId="21" fillId="0" borderId="0" xfId="0" applyNumberFormat="1" applyFont="1" applyAlignment="1">
      <alignment horizontal="left"/>
    </xf>
    <xf numFmtId="2" fontId="10" fillId="0" borderId="0" xfId="0" applyNumberFormat="1" applyFont="1" applyAlignment="1">
      <alignment horizontal="center"/>
    </xf>
    <xf numFmtId="0" fontId="3" fillId="0" borderId="0" xfId="0" applyFont="1" applyAlignment="1">
      <alignment horizontal="right"/>
    </xf>
    <xf numFmtId="0" fontId="0" fillId="0" borderId="0" xfId="0" applyAlignment="1">
      <alignment vertical="center" wrapText="1"/>
    </xf>
    <xf numFmtId="0" fontId="33" fillId="0" borderId="0" xfId="0" applyFont="1" applyAlignment="1">
      <alignment horizontal="left" vertical="center" wrapText="1"/>
    </xf>
    <xf numFmtId="0" fontId="0" fillId="0" borderId="0" xfId="0" applyAlignment="1">
      <alignment vertical="center"/>
    </xf>
    <xf numFmtId="0" fontId="6" fillId="0" borderId="0" xfId="0" applyFont="1" applyAlignment="1">
      <alignment horizontal="center" vertical="center" wrapText="1"/>
    </xf>
    <xf numFmtId="0" fontId="3" fillId="0" borderId="3" xfId="0" applyFont="1" applyBorder="1"/>
    <xf numFmtId="0" fontId="3" fillId="0" borderId="1" xfId="0" applyFont="1" applyBorder="1"/>
    <xf numFmtId="0" fontId="0" fillId="0" borderId="2" xfId="0" applyBorder="1"/>
    <xf numFmtId="0" fontId="30" fillId="0" borderId="21" xfId="0" applyFont="1" applyBorder="1" applyAlignment="1" applyProtection="1">
      <alignment horizontal="center"/>
      <protection hidden="1"/>
    </xf>
    <xf numFmtId="166" fontId="10" fillId="0" borderId="20" xfId="0" applyNumberFormat="1" applyFont="1" applyBorder="1" applyProtection="1">
      <protection hidden="1"/>
    </xf>
    <xf numFmtId="0" fontId="27" fillId="0" borderId="0" xfId="0" applyFont="1"/>
    <xf numFmtId="0" fontId="12" fillId="0" borderId="23" xfId="0" applyFont="1" applyBorder="1" applyAlignment="1">
      <alignment horizontal="center" vertical="center" wrapText="1"/>
    </xf>
    <xf numFmtId="0" fontId="0" fillId="0" borderId="24" xfId="0" applyBorder="1"/>
    <xf numFmtId="0" fontId="12" fillId="0" borderId="25" xfId="0" applyFont="1" applyBorder="1" applyAlignment="1">
      <alignment horizontal="center" vertical="center" wrapText="1"/>
    </xf>
    <xf numFmtId="0" fontId="24" fillId="0" borderId="0" xfId="0" applyFont="1" applyAlignment="1">
      <alignment horizontal="center"/>
    </xf>
    <xf numFmtId="0" fontId="27" fillId="0" borderId="0" xfId="0" applyFont="1" applyAlignment="1">
      <alignment horizontal="center"/>
    </xf>
    <xf numFmtId="0" fontId="36" fillId="0" borderId="0" xfId="0" applyFont="1"/>
    <xf numFmtId="0" fontId="36" fillId="0" borderId="0" xfId="0" applyFont="1" applyAlignment="1">
      <alignment horizontal="right"/>
    </xf>
    <xf numFmtId="0" fontId="0" fillId="10" borderId="0" xfId="0" applyFill="1" applyAlignment="1">
      <alignment horizontal="center"/>
    </xf>
    <xf numFmtId="0" fontId="24" fillId="0" borderId="26" xfId="0" applyFont="1" applyBorder="1" applyAlignment="1">
      <alignment horizontal="center"/>
    </xf>
    <xf numFmtId="0" fontId="0" fillId="0" borderId="26" xfId="0" applyBorder="1" applyAlignment="1">
      <alignment horizontal="center"/>
    </xf>
    <xf numFmtId="0" fontId="36" fillId="0" borderId="0" xfId="0" applyFont="1" applyAlignment="1">
      <alignment horizontal="left"/>
    </xf>
    <xf numFmtId="0" fontId="0" fillId="0" borderId="0" xfId="0" applyAlignment="1">
      <alignment horizontal="center" vertical="center"/>
    </xf>
    <xf numFmtId="0" fontId="0" fillId="2" borderId="0" xfId="0" applyFill="1" applyAlignment="1">
      <alignment horizontal="center" vertical="center"/>
    </xf>
    <xf numFmtId="11" fontId="0" fillId="0" borderId="0" xfId="0" applyNumberFormat="1" applyAlignment="1">
      <alignment horizontal="left"/>
    </xf>
    <xf numFmtId="0" fontId="37" fillId="0" borderId="0" xfId="0" applyFont="1" applyAlignment="1">
      <alignment horizontal="right"/>
    </xf>
    <xf numFmtId="0" fontId="0" fillId="2" borderId="0" xfId="0" applyFill="1" applyAlignment="1">
      <alignment horizontal="left"/>
    </xf>
    <xf numFmtId="11" fontId="0" fillId="2" borderId="0" xfId="0" applyNumberFormat="1" applyFill="1" applyAlignment="1">
      <alignment horizontal="left"/>
    </xf>
    <xf numFmtId="0" fontId="23" fillId="0" borderId="0" xfId="0" applyFont="1" applyAlignment="1">
      <alignment horizontal="center"/>
    </xf>
    <xf numFmtId="0" fontId="6" fillId="0" borderId="0" xfId="0" applyFont="1" applyAlignment="1">
      <alignment horizontal="center" vertical="center" wrapText="1"/>
    </xf>
    <xf numFmtId="0" fontId="6" fillId="0" borderId="8" xfId="0" applyFont="1" applyBorder="1" applyAlignment="1">
      <alignment horizontal="center" vertical="center"/>
    </xf>
    <xf numFmtId="0" fontId="6" fillId="0" borderId="9" xfId="0" applyFont="1" applyBorder="1" applyAlignment="1">
      <alignment horizontal="center" vertical="center"/>
    </xf>
    <xf numFmtId="0" fontId="6" fillId="0" borderId="5" xfId="0" applyFont="1" applyBorder="1" applyAlignment="1">
      <alignment horizontal="center" vertical="center"/>
    </xf>
    <xf numFmtId="0" fontId="6" fillId="0" borderId="6" xfId="0" applyFont="1" applyBorder="1" applyAlignment="1">
      <alignment horizontal="center" vertical="center"/>
    </xf>
    <xf numFmtId="0" fontId="6" fillId="0" borderId="11" xfId="0" applyFont="1" applyBorder="1" applyAlignment="1">
      <alignment horizontal="center" vertical="center"/>
    </xf>
    <xf numFmtId="0" fontId="6" fillId="0" borderId="2" xfId="0" applyFont="1" applyBorder="1" applyAlignment="1">
      <alignment horizontal="center" vertical="center"/>
    </xf>
    <xf numFmtId="0" fontId="0" fillId="0" borderId="0" xfId="0" applyAlignment="1">
      <alignment horizontal="center"/>
    </xf>
    <xf numFmtId="0" fontId="6" fillId="0" borderId="0" xfId="0" applyFont="1" applyAlignment="1">
      <alignment horizontal="center" vertical="center"/>
    </xf>
    <xf numFmtId="0" fontId="6" fillId="0" borderId="10" xfId="0" applyFont="1" applyBorder="1" applyAlignment="1">
      <alignment horizontal="center" vertical="center"/>
    </xf>
    <xf numFmtId="0" fontId="13" fillId="0" borderId="8" xfId="0" applyFont="1" applyBorder="1" applyAlignment="1">
      <alignment horizontal="center" wrapText="1"/>
    </xf>
    <xf numFmtId="0" fontId="13" fillId="0" borderId="9" xfId="0" applyFont="1" applyBorder="1" applyAlignment="1">
      <alignment horizontal="center"/>
    </xf>
    <xf numFmtId="0" fontId="13" fillId="0" borderId="5" xfId="0" applyFont="1" applyBorder="1" applyAlignment="1">
      <alignment horizontal="center"/>
    </xf>
    <xf numFmtId="0" fontId="13" fillId="0" borderId="4" xfId="0" applyFont="1" applyBorder="1" applyAlignment="1">
      <alignment horizontal="center"/>
    </xf>
    <xf numFmtId="0" fontId="13" fillId="0" borderId="0" xfId="0" applyFont="1" applyAlignment="1">
      <alignment horizontal="center"/>
    </xf>
    <xf numFmtId="0" fontId="13" fillId="0" borderId="10" xfId="0" applyFont="1" applyBorder="1" applyAlignment="1">
      <alignment horizontal="center"/>
    </xf>
    <xf numFmtId="0" fontId="0" fillId="0" borderId="3" xfId="0" applyBorder="1" applyAlignment="1">
      <alignment horizontal="center"/>
    </xf>
    <xf numFmtId="0" fontId="0" fillId="0" borderId="1" xfId="0" applyBorder="1" applyAlignment="1">
      <alignment horizontal="center"/>
    </xf>
    <xf numFmtId="0" fontId="0" fillId="0" borderId="6" xfId="0" applyBorder="1" applyAlignment="1">
      <alignment horizontal="center"/>
    </xf>
    <xf numFmtId="0" fontId="0" fillId="0" borderId="11" xfId="0" applyBorder="1" applyAlignment="1">
      <alignment horizontal="center"/>
    </xf>
    <xf numFmtId="0" fontId="0" fillId="0" borderId="2" xfId="0" applyBorder="1" applyAlignment="1">
      <alignment horizontal="center"/>
    </xf>
    <xf numFmtId="0" fontId="6" fillId="0" borderId="8" xfId="0" applyFont="1" applyBorder="1" applyAlignment="1">
      <alignment horizontal="center" wrapText="1"/>
    </xf>
    <xf numFmtId="0" fontId="6" fillId="0" borderId="9" xfId="0" applyFont="1" applyBorder="1" applyAlignment="1">
      <alignment horizontal="center"/>
    </xf>
    <xf numFmtId="0" fontId="6" fillId="0" borderId="5" xfId="0" applyFont="1" applyBorder="1" applyAlignment="1">
      <alignment horizontal="center"/>
    </xf>
    <xf numFmtId="0" fontId="6" fillId="0" borderId="4" xfId="0" applyFont="1" applyBorder="1" applyAlignment="1">
      <alignment horizontal="center"/>
    </xf>
    <xf numFmtId="0" fontId="6" fillId="0" borderId="0" xfId="0" applyFont="1" applyAlignment="1">
      <alignment horizontal="center"/>
    </xf>
    <xf numFmtId="0" fontId="6" fillId="0" borderId="10" xfId="0" applyFont="1" applyBorder="1" applyAlignment="1">
      <alignment horizontal="center"/>
    </xf>
    <xf numFmtId="0" fontId="3" fillId="0" borderId="26" xfId="0" applyFont="1" applyBorder="1" applyAlignment="1">
      <alignment horizontal="center"/>
    </xf>
    <xf numFmtId="0" fontId="3" fillId="0" borderId="0" xfId="0" applyFont="1" applyAlignment="1">
      <alignment horizontal="center"/>
    </xf>
  </cellXfs>
  <cellStyles count="1">
    <cellStyle name="Normal" xfId="0" builtinId="0"/>
  </cellStyles>
  <dxfs count="0"/>
  <tableStyles count="0" defaultTableStyle="TableStyleMedium9" defaultPivotStyle="PivotStyleLight16"/>
  <colors>
    <mruColors>
      <color rgb="FFE008B7"/>
      <color rgb="FFFDBBF0"/>
      <color rgb="FF4764F7"/>
      <color rgb="FF5E78F8"/>
      <color rgb="FF2DC8FF"/>
      <color rgb="FFE4A60A"/>
      <color rgb="FFFB79E2"/>
      <color rgb="FF8699FA"/>
      <color rgb="FF586D2D"/>
      <color rgb="FF00A7E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72270001682969"/>
          <c:y val="3.9183014494322245E-2"/>
          <c:w val="0.84305227297923002"/>
          <c:h val="0.64047331132218099"/>
        </c:manualLayout>
      </c:layout>
      <c:scatterChart>
        <c:scatterStyle val="smoothMarker"/>
        <c:varyColors val="0"/>
        <c:ser>
          <c:idx val="2"/>
          <c:order val="0"/>
          <c:tx>
            <c:v>Gadner 1958</c:v>
          </c:tx>
          <c:spPr>
            <a:ln w="25400">
              <a:solidFill>
                <a:srgbClr val="FFC000"/>
              </a:solidFill>
            </a:ln>
          </c:spPr>
          <c:marker>
            <c:symbol val="none"/>
          </c:marker>
          <c:xVal>
            <c:numRef>
              <c:f>'Closed Form Models  v1.4'!$A$15:$A$110</c:f>
              <c:numCache>
                <c:formatCode>General</c:formatCode>
                <c:ptCount val="11"/>
                <c:pt idx="0">
                  <c:v>1E-3</c:v>
                </c:pt>
                <c:pt idx="1">
                  <c:v>0.01</c:v>
                </c:pt>
                <c:pt idx="2">
                  <c:v>0.1</c:v>
                </c:pt>
                <c:pt idx="3">
                  <c:v>1</c:v>
                </c:pt>
                <c:pt idx="4">
                  <c:v>10</c:v>
                </c:pt>
                <c:pt idx="5">
                  <c:v>100</c:v>
                </c:pt>
                <c:pt idx="6">
                  <c:v>1000</c:v>
                </c:pt>
                <c:pt idx="7">
                  <c:v>10000</c:v>
                </c:pt>
                <c:pt idx="8">
                  <c:v>100000</c:v>
                </c:pt>
                <c:pt idx="9">
                  <c:v>1000000</c:v>
                </c:pt>
              </c:numCache>
            </c:numRef>
          </c:xVal>
          <c:yVal>
            <c:numRef>
              <c:f>'Closed Form Models  v1.4'!$B$15:$B$110</c:f>
              <c:numCache>
                <c:formatCode>0.0000</c:formatCode>
                <c:ptCount val="11"/>
                <c:pt idx="0">
                  <c:v>0.49999999999555556</c:v>
                </c:pt>
                <c:pt idx="1">
                  <c:v>0.49999999955555552</c:v>
                </c:pt>
                <c:pt idx="2">
                  <c:v>0.49999995555556054</c:v>
                </c:pt>
                <c:pt idx="3">
                  <c:v>0.49999555560493769</c:v>
                </c:pt>
                <c:pt idx="4">
                  <c:v>0.49955604883462823</c:v>
                </c:pt>
                <c:pt idx="5">
                  <c:v>0.45999999999999996</c:v>
                </c:pt>
                <c:pt idx="6">
                  <c:v>0.13302752293577982</c:v>
                </c:pt>
                <c:pt idx="7">
                  <c:v>0.1003596762913378</c:v>
                </c:pt>
                <c:pt idx="8">
                  <c:v>0.1000035999676003</c:v>
                </c:pt>
                <c:pt idx="9">
                  <c:v>0.10000003599999677</c:v>
                </c:pt>
              </c:numCache>
            </c:numRef>
          </c:yVal>
          <c:smooth val="1"/>
          <c:extLst>
            <c:ext xmlns:c16="http://schemas.microsoft.com/office/drawing/2014/chart" uri="{C3380CC4-5D6E-409C-BE32-E72D297353CC}">
              <c16:uniqueId val="{00000000-0FFC-45F5-9ABB-782C263FE1E3}"/>
            </c:ext>
          </c:extLst>
        </c:ser>
        <c:ser>
          <c:idx val="6"/>
          <c:order val="1"/>
          <c:tx>
            <c:v>Brooks and Corey 1964</c:v>
          </c:tx>
          <c:spPr>
            <a:ln w="25400" cmpd="sng">
              <a:solidFill>
                <a:srgbClr val="C00000"/>
              </a:solidFill>
              <a:prstDash val="solid"/>
            </a:ln>
          </c:spPr>
          <c:marker>
            <c:symbol val="none"/>
          </c:marker>
          <c:xVal>
            <c:numRef>
              <c:f>'Closed Form Models  v1.4'!$D$15:$D$110</c:f>
              <c:numCache>
                <c:formatCode>General</c:formatCode>
                <c:ptCount val="11"/>
                <c:pt idx="0">
                  <c:v>1E-3</c:v>
                </c:pt>
                <c:pt idx="1">
                  <c:v>0.01</c:v>
                </c:pt>
                <c:pt idx="2">
                  <c:v>0.1</c:v>
                </c:pt>
                <c:pt idx="3">
                  <c:v>1</c:v>
                </c:pt>
                <c:pt idx="4">
                  <c:v>10</c:v>
                </c:pt>
                <c:pt idx="5">
                  <c:v>100</c:v>
                </c:pt>
                <c:pt idx="6">
                  <c:v>1000</c:v>
                </c:pt>
                <c:pt idx="7">
                  <c:v>10000</c:v>
                </c:pt>
                <c:pt idx="8">
                  <c:v>100000</c:v>
                </c:pt>
                <c:pt idx="9">
                  <c:v>1000000</c:v>
                </c:pt>
              </c:numCache>
            </c:numRef>
          </c:xVal>
          <c:yVal>
            <c:numRef>
              <c:f>'Closed Form Models  v1.4'!$E$15:$E$110</c:f>
              <c:numCache>
                <c:formatCode>0.0000</c:formatCode>
                <c:ptCount val="11"/>
                <c:pt idx="0">
                  <c:v>0.5</c:v>
                </c:pt>
                <c:pt idx="1">
                  <c:v>0.5</c:v>
                </c:pt>
                <c:pt idx="2">
                  <c:v>0.5</c:v>
                </c:pt>
                <c:pt idx="3">
                  <c:v>0.5</c:v>
                </c:pt>
                <c:pt idx="4">
                  <c:v>0.5</c:v>
                </c:pt>
                <c:pt idx="5">
                  <c:v>0.5</c:v>
                </c:pt>
                <c:pt idx="6">
                  <c:v>0.10400000000000001</c:v>
                </c:pt>
                <c:pt idx="7">
                  <c:v>0.10004</c:v>
                </c:pt>
                <c:pt idx="8">
                  <c:v>0.1000004</c:v>
                </c:pt>
                <c:pt idx="9">
                  <c:v>0.100000004</c:v>
                </c:pt>
              </c:numCache>
            </c:numRef>
          </c:yVal>
          <c:smooth val="0"/>
          <c:extLst>
            <c:ext xmlns:c16="http://schemas.microsoft.com/office/drawing/2014/chart" uri="{C3380CC4-5D6E-409C-BE32-E72D297353CC}">
              <c16:uniqueId val="{00000001-0FFC-45F5-9ABB-782C263FE1E3}"/>
            </c:ext>
          </c:extLst>
        </c:ser>
        <c:ser>
          <c:idx val="5"/>
          <c:order val="2"/>
          <c:tx>
            <c:v>Van Genuchten 1980</c:v>
          </c:tx>
          <c:spPr>
            <a:ln w="25400" cmpd="sng">
              <a:solidFill>
                <a:srgbClr val="92D050"/>
              </a:solidFill>
              <a:prstDash val="solid"/>
            </a:ln>
          </c:spPr>
          <c:marker>
            <c:symbol val="none"/>
          </c:marker>
          <c:xVal>
            <c:numRef>
              <c:f>'Closed Form Models  v1.4'!$G$15:$G$110</c:f>
              <c:numCache>
                <c:formatCode>General</c:formatCode>
                <c:ptCount val="11"/>
                <c:pt idx="0">
                  <c:v>1E-3</c:v>
                </c:pt>
                <c:pt idx="1">
                  <c:v>0.01</c:v>
                </c:pt>
                <c:pt idx="2">
                  <c:v>0.1</c:v>
                </c:pt>
                <c:pt idx="3">
                  <c:v>1</c:v>
                </c:pt>
                <c:pt idx="4">
                  <c:v>10</c:v>
                </c:pt>
                <c:pt idx="5">
                  <c:v>100</c:v>
                </c:pt>
                <c:pt idx="6">
                  <c:v>1000</c:v>
                </c:pt>
                <c:pt idx="7">
                  <c:v>10000</c:v>
                </c:pt>
                <c:pt idx="8">
                  <c:v>100000</c:v>
                </c:pt>
                <c:pt idx="9">
                  <c:v>1000000</c:v>
                </c:pt>
              </c:numCache>
            </c:numRef>
          </c:xVal>
          <c:yVal>
            <c:numRef>
              <c:f>'Closed Form Models  v1.4'!$H$15:$H$110</c:f>
              <c:numCache>
                <c:formatCode>0.0000</c:formatCode>
                <c:ptCount val="11"/>
                <c:pt idx="0">
                  <c:v>0.49999999998</c:v>
                </c:pt>
                <c:pt idx="1">
                  <c:v>0.49999999800000006</c:v>
                </c:pt>
                <c:pt idx="2">
                  <c:v>0.49999980000014999</c:v>
                </c:pt>
                <c:pt idx="3">
                  <c:v>0.49998000149987509</c:v>
                </c:pt>
                <c:pt idx="4">
                  <c:v>0.49801487608399575</c:v>
                </c:pt>
                <c:pt idx="5">
                  <c:v>0.38284271247461898</c:v>
                </c:pt>
                <c:pt idx="6">
                  <c:v>0.13980148760839958</c:v>
                </c:pt>
                <c:pt idx="7">
                  <c:v>0.10399980001499876</c:v>
                </c:pt>
                <c:pt idx="8">
                  <c:v>0.10039999980000015</c:v>
                </c:pt>
                <c:pt idx="9">
                  <c:v>0.10003999999980001</c:v>
                </c:pt>
              </c:numCache>
            </c:numRef>
          </c:yVal>
          <c:smooth val="1"/>
          <c:extLst>
            <c:ext xmlns:c16="http://schemas.microsoft.com/office/drawing/2014/chart" uri="{C3380CC4-5D6E-409C-BE32-E72D297353CC}">
              <c16:uniqueId val="{00000002-0FFC-45F5-9ABB-782C263FE1E3}"/>
            </c:ext>
          </c:extLst>
        </c:ser>
        <c:ser>
          <c:idx val="0"/>
          <c:order val="3"/>
          <c:tx>
            <c:v>Fredlund and Xing 1994 (1)</c:v>
          </c:tx>
          <c:spPr>
            <a:ln w="25400">
              <a:solidFill>
                <a:srgbClr val="2DC8FF"/>
              </a:solidFill>
            </a:ln>
          </c:spPr>
          <c:marker>
            <c:symbol val="none"/>
          </c:marker>
          <c:xVal>
            <c:numRef>
              <c:f>'Closed Form Models  v1.4'!$J$15:$J$110</c:f>
              <c:numCache>
                <c:formatCode>General</c:formatCode>
                <c:ptCount val="11"/>
                <c:pt idx="0">
                  <c:v>1E-3</c:v>
                </c:pt>
                <c:pt idx="1">
                  <c:v>0.01</c:v>
                </c:pt>
                <c:pt idx="2">
                  <c:v>0.1</c:v>
                </c:pt>
                <c:pt idx="3">
                  <c:v>1</c:v>
                </c:pt>
                <c:pt idx="4">
                  <c:v>10</c:v>
                </c:pt>
                <c:pt idx="5">
                  <c:v>100</c:v>
                </c:pt>
                <c:pt idx="6">
                  <c:v>1000</c:v>
                </c:pt>
                <c:pt idx="7">
                  <c:v>10000</c:v>
                </c:pt>
                <c:pt idx="8">
                  <c:v>100000</c:v>
                </c:pt>
                <c:pt idx="9">
                  <c:v>1000000</c:v>
                </c:pt>
              </c:numCache>
            </c:numRef>
          </c:xVal>
          <c:yVal>
            <c:numRef>
              <c:f>'Closed Form Models  v1.4'!$K$15:$K$110</c:f>
              <c:numCache>
                <c:formatCode>0.0000</c:formatCode>
                <c:ptCount val="11"/>
                <c:pt idx="0">
                  <c:v>0.49999999998528488</c:v>
                </c:pt>
                <c:pt idx="1">
                  <c:v>0.49999999852848231</c:v>
                </c:pt>
                <c:pt idx="2">
                  <c:v>0.49999985284830484</c:v>
                </c:pt>
                <c:pt idx="3">
                  <c:v>0.49998528563431843</c:v>
                </c:pt>
                <c:pt idx="4">
                  <c:v>0.49853655615145764</c:v>
                </c:pt>
                <c:pt idx="5">
                  <c:v>0.40458514384586408</c:v>
                </c:pt>
                <c:pt idx="6">
                  <c:v>0.18635597016339017</c:v>
                </c:pt>
                <c:pt idx="7">
                  <c:v>0.14342816665294722</c:v>
                </c:pt>
                <c:pt idx="8">
                  <c:v>0.12895295976356178</c:v>
                </c:pt>
                <c:pt idx="9">
                  <c:v>0.12171472406311887</c:v>
                </c:pt>
              </c:numCache>
            </c:numRef>
          </c:yVal>
          <c:smooth val="1"/>
          <c:extLst>
            <c:ext xmlns:c16="http://schemas.microsoft.com/office/drawing/2014/chart" uri="{C3380CC4-5D6E-409C-BE32-E72D297353CC}">
              <c16:uniqueId val="{00000003-0FFC-45F5-9ABB-782C263FE1E3}"/>
            </c:ext>
          </c:extLst>
        </c:ser>
        <c:ser>
          <c:idx val="1"/>
          <c:order val="4"/>
          <c:tx>
            <c:v>Fredlund and Xing 1994 (2)</c:v>
          </c:tx>
          <c:spPr>
            <a:ln w="25400">
              <a:solidFill>
                <a:srgbClr val="7030A0"/>
              </a:solidFill>
            </a:ln>
          </c:spPr>
          <c:marker>
            <c:symbol val="none"/>
          </c:marker>
          <c:xVal>
            <c:numRef>
              <c:f>'Closed Form Models  v1.4'!$M$15:$M$110</c:f>
              <c:numCache>
                <c:formatCode>General</c:formatCode>
                <c:ptCount val="11"/>
                <c:pt idx="0">
                  <c:v>1E-3</c:v>
                </c:pt>
                <c:pt idx="1">
                  <c:v>0.01</c:v>
                </c:pt>
                <c:pt idx="2">
                  <c:v>0.1</c:v>
                </c:pt>
                <c:pt idx="3">
                  <c:v>1</c:v>
                </c:pt>
                <c:pt idx="4">
                  <c:v>10</c:v>
                </c:pt>
                <c:pt idx="5">
                  <c:v>100</c:v>
                </c:pt>
                <c:pt idx="6">
                  <c:v>1000</c:v>
                </c:pt>
                <c:pt idx="7">
                  <c:v>10000</c:v>
                </c:pt>
                <c:pt idx="8">
                  <c:v>100000</c:v>
                </c:pt>
                <c:pt idx="9">
                  <c:v>1000000</c:v>
                </c:pt>
              </c:numCache>
            </c:numRef>
          </c:xVal>
          <c:yVal>
            <c:numRef>
              <c:f>'Closed Form Models  v1.4'!$N$15:$N$110</c:f>
              <c:numCache>
                <c:formatCode>0.0000</c:formatCode>
                <c:ptCount val="11"/>
                <c:pt idx="0">
                  <c:v>0.4999998684270644</c:v>
                </c:pt>
                <c:pt idx="1">
                  <c:v>0.4999986826270309</c:v>
                </c:pt>
                <c:pt idx="2">
                  <c:v>0.49998666191327129</c:v>
                </c:pt>
                <c:pt idx="3">
                  <c:v>0.49985018858375202</c:v>
                </c:pt>
                <c:pt idx="4">
                  <c:v>0.49687289668156115</c:v>
                </c:pt>
                <c:pt idx="5">
                  <c:v>0.37159949020625871</c:v>
                </c:pt>
                <c:pt idx="6">
                  <c:v>9.2343938405450812E-2</c:v>
                </c:pt>
                <c:pt idx="7">
                  <c:v>3.2542834017276041E-2</c:v>
                </c:pt>
                <c:pt idx="8">
                  <c:v>1.0941520951370114E-2</c:v>
                </c:pt>
                <c:pt idx="9">
                  <c:v>0</c:v>
                </c:pt>
              </c:numCache>
            </c:numRef>
          </c:yVal>
          <c:smooth val="1"/>
          <c:extLst>
            <c:ext xmlns:c16="http://schemas.microsoft.com/office/drawing/2014/chart" uri="{C3380CC4-5D6E-409C-BE32-E72D297353CC}">
              <c16:uniqueId val="{00000004-0FFC-45F5-9ABB-782C263FE1E3}"/>
            </c:ext>
          </c:extLst>
        </c:ser>
        <c:dLbls>
          <c:showLegendKey val="0"/>
          <c:showVal val="0"/>
          <c:showCatName val="0"/>
          <c:showSerName val="0"/>
          <c:showPercent val="0"/>
          <c:showBubbleSize val="0"/>
        </c:dLbls>
        <c:axId val="383795504"/>
        <c:axId val="383795896"/>
      </c:scatterChart>
      <c:valAx>
        <c:axId val="383795504"/>
        <c:scaling>
          <c:logBase val="10"/>
          <c:orientation val="minMax"/>
          <c:max val="1000000"/>
          <c:min val="1.0000000000000005E-2"/>
        </c:scaling>
        <c:delete val="0"/>
        <c:axPos val="b"/>
        <c:majorGridlines/>
        <c:minorGridlines/>
        <c:numFmt formatCode="General" sourceLinked="1"/>
        <c:majorTickMark val="out"/>
        <c:minorTickMark val="none"/>
        <c:tickLblPos val="nextTo"/>
        <c:spPr>
          <a:noFill/>
        </c:spPr>
        <c:crossAx val="383795896"/>
        <c:crosses val="autoZero"/>
        <c:crossBetween val="midCat"/>
      </c:valAx>
      <c:valAx>
        <c:axId val="383795896"/>
        <c:scaling>
          <c:orientation val="minMax"/>
          <c:min val="0"/>
        </c:scaling>
        <c:delete val="0"/>
        <c:axPos val="l"/>
        <c:majorGridlines/>
        <c:numFmt formatCode="0.00" sourceLinked="0"/>
        <c:majorTickMark val="out"/>
        <c:minorTickMark val="none"/>
        <c:tickLblPos val="nextTo"/>
        <c:crossAx val="383795504"/>
        <c:crossesAt val="1.0000000000000116E-4"/>
        <c:crossBetween val="midCat"/>
      </c:valAx>
      <c:spPr>
        <a:noFill/>
        <a:ln>
          <a:solidFill>
            <a:schemeClr val="bg1">
              <a:lumMod val="65000"/>
            </a:schemeClr>
          </a:solidFill>
        </a:ln>
      </c:spPr>
    </c:plotArea>
    <c:legend>
      <c:legendPos val="r"/>
      <c:layout>
        <c:manualLayout>
          <c:xMode val="edge"/>
          <c:yMode val="edge"/>
          <c:x val="5.4001882204460942E-2"/>
          <c:y val="0.75362354316749558"/>
          <c:w val="0.34978323682494838"/>
          <c:h val="0.22118413342786244"/>
        </c:manualLayout>
      </c:layout>
      <c:overlay val="0"/>
      <c:spPr>
        <a:solidFill>
          <a:schemeClr val="lt1"/>
        </a:solidFill>
        <a:ln>
          <a:solidFill>
            <a:schemeClr val="lt1">
              <a:shade val="50000"/>
            </a:schemeClr>
          </a:solidFill>
        </a:ln>
      </c:spPr>
    </c:legend>
    <c:plotVisOnly val="1"/>
    <c:dispBlanksAs val="span"/>
    <c:showDLblsOverMax val="0"/>
  </c:chart>
  <c:spPr>
    <a:noFill/>
    <a:ln>
      <a:noFill/>
    </a:ln>
  </c:spPr>
  <c:printSettings>
    <c:headerFooter/>
    <c:pageMargins b="0.75000000000000488" l="0.70000000000000062" r="0.70000000000000062" t="0.75000000000000488"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9658398191557571E-2"/>
          <c:y val="6.7983662846164333E-2"/>
          <c:w val="0.82342991519123698"/>
          <c:h val="0.65495966270548789"/>
        </c:manualLayout>
      </c:layout>
      <c:scatterChart>
        <c:scatterStyle val="smoothMarker"/>
        <c:varyColors val="0"/>
        <c:ser>
          <c:idx val="2"/>
          <c:order val="0"/>
          <c:tx>
            <c:v>Aubertin et al 2003</c:v>
          </c:tx>
          <c:spPr>
            <a:ln w="31750">
              <a:solidFill>
                <a:srgbClr val="FFC000"/>
              </a:solidFill>
            </a:ln>
          </c:spPr>
          <c:marker>
            <c:symbol val="none"/>
          </c:marker>
          <c:xVal>
            <c:numRef>
              <c:f>'Aubertin et al 2003  v1.4'!$P$8:$P$28</c:f>
              <c:numCache>
                <c:formatCode>General</c:formatCode>
                <c:ptCount val="21"/>
                <c:pt idx="0">
                  <c:v>1E-3</c:v>
                </c:pt>
                <c:pt idx="1">
                  <c:v>0.01</c:v>
                </c:pt>
                <c:pt idx="2">
                  <c:v>0.1</c:v>
                </c:pt>
                <c:pt idx="3">
                  <c:v>0.5</c:v>
                </c:pt>
                <c:pt idx="4">
                  <c:v>1</c:v>
                </c:pt>
                <c:pt idx="5">
                  <c:v>5</c:v>
                </c:pt>
                <c:pt idx="6">
                  <c:v>10</c:v>
                </c:pt>
                <c:pt idx="7">
                  <c:v>50</c:v>
                </c:pt>
                <c:pt idx="8">
                  <c:v>100</c:v>
                </c:pt>
                <c:pt idx="9">
                  <c:v>200</c:v>
                </c:pt>
                <c:pt idx="10">
                  <c:v>300</c:v>
                </c:pt>
                <c:pt idx="11">
                  <c:v>400</c:v>
                </c:pt>
                <c:pt idx="12">
                  <c:v>500</c:v>
                </c:pt>
                <c:pt idx="13">
                  <c:v>1000</c:v>
                </c:pt>
                <c:pt idx="14">
                  <c:v>5000</c:v>
                </c:pt>
                <c:pt idx="15">
                  <c:v>10000</c:v>
                </c:pt>
                <c:pt idx="16">
                  <c:v>50000</c:v>
                </c:pt>
                <c:pt idx="17">
                  <c:v>100000</c:v>
                </c:pt>
                <c:pt idx="18">
                  <c:v>500000</c:v>
                </c:pt>
                <c:pt idx="19">
                  <c:v>1000000</c:v>
                </c:pt>
              </c:numCache>
            </c:numRef>
          </c:xVal>
          <c:yVal>
            <c:numRef>
              <c:f>'Aubertin et al 2003  v1.4'!$Q$8:$Q$27</c:f>
              <c:numCache>
                <c:formatCode>General</c:formatCode>
                <c:ptCount val="20"/>
                <c:pt idx="0">
                  <c:v>0.6</c:v>
                </c:pt>
                <c:pt idx="1">
                  <c:v>0.6</c:v>
                </c:pt>
                <c:pt idx="2">
                  <c:v>0.6</c:v>
                </c:pt>
                <c:pt idx="3">
                  <c:v>0.6</c:v>
                </c:pt>
                <c:pt idx="4">
                  <c:v>0.6</c:v>
                </c:pt>
                <c:pt idx="5">
                  <c:v>0.6</c:v>
                </c:pt>
                <c:pt idx="6">
                  <c:v>0.6</c:v>
                </c:pt>
                <c:pt idx="7">
                  <c:v>0.58022141099294533</c:v>
                </c:pt>
                <c:pt idx="8">
                  <c:v>0.46379143884278945</c:v>
                </c:pt>
                <c:pt idx="9">
                  <c:v>0.35615313523329356</c:v>
                </c:pt>
                <c:pt idx="10">
                  <c:v>0.31613357728187991</c:v>
                </c:pt>
                <c:pt idx="11">
                  <c:v>0.2944622260894692</c:v>
                </c:pt>
                <c:pt idx="12">
                  <c:v>0.28019720190532715</c:v>
                </c:pt>
                <c:pt idx="13">
                  <c:v>0.24426116443007767</c:v>
                </c:pt>
                <c:pt idx="14">
                  <c:v>0.18072906554860521</c:v>
                </c:pt>
                <c:pt idx="15">
                  <c:v>0.15622157282403781</c:v>
                </c:pt>
                <c:pt idx="16">
                  <c:v>9.8154866792899975E-2</c:v>
                </c:pt>
                <c:pt idx="17">
                  <c:v>7.2373040078687653E-2</c:v>
                </c:pt>
                <c:pt idx="18">
                  <c:v>1.8394477327960734E-2</c:v>
                </c:pt>
                <c:pt idx="19">
                  <c:v>1.9343554514596785E-10</c:v>
                </c:pt>
              </c:numCache>
            </c:numRef>
          </c:yVal>
          <c:smooth val="1"/>
          <c:extLst>
            <c:ext xmlns:c16="http://schemas.microsoft.com/office/drawing/2014/chart" uri="{C3380CC4-5D6E-409C-BE32-E72D297353CC}">
              <c16:uniqueId val="{00000000-2A27-4941-8784-A5BA2BD5721F}"/>
            </c:ext>
          </c:extLst>
        </c:ser>
        <c:ser>
          <c:idx val="6"/>
          <c:order val="1"/>
          <c:tx>
            <c:v>Perera et al 2005*</c:v>
          </c:tx>
          <c:spPr>
            <a:ln w="31750">
              <a:solidFill>
                <a:srgbClr val="C00000"/>
              </a:solidFill>
              <a:prstDash val="solid"/>
            </a:ln>
          </c:spPr>
          <c:marker>
            <c:symbol val="none"/>
          </c:marker>
          <c:xVal>
            <c:numRef>
              <c:f>'Perera et al 2005  v1.4'!$K$8:$K$22</c:f>
              <c:numCache>
                <c:formatCode>General</c:formatCode>
                <c:ptCount val="15"/>
                <c:pt idx="0">
                  <c:v>1E-3</c:v>
                </c:pt>
                <c:pt idx="1">
                  <c:v>0.01</c:v>
                </c:pt>
                <c:pt idx="2">
                  <c:v>0.1</c:v>
                </c:pt>
                <c:pt idx="3">
                  <c:v>0.2</c:v>
                </c:pt>
                <c:pt idx="4">
                  <c:v>0.25</c:v>
                </c:pt>
                <c:pt idx="5">
                  <c:v>0.5</c:v>
                </c:pt>
                <c:pt idx="6">
                  <c:v>1</c:v>
                </c:pt>
                <c:pt idx="7">
                  <c:v>2</c:v>
                </c:pt>
                <c:pt idx="8">
                  <c:v>5</c:v>
                </c:pt>
                <c:pt idx="9">
                  <c:v>10</c:v>
                </c:pt>
                <c:pt idx="10">
                  <c:v>100</c:v>
                </c:pt>
                <c:pt idx="11">
                  <c:v>1000</c:v>
                </c:pt>
                <c:pt idx="12">
                  <c:v>10000</c:v>
                </c:pt>
                <c:pt idx="13">
                  <c:v>100000</c:v>
                </c:pt>
                <c:pt idx="14">
                  <c:v>1000000</c:v>
                </c:pt>
              </c:numCache>
            </c:numRef>
          </c:xVal>
          <c:yVal>
            <c:numRef>
              <c:f>'Perera et al 2005  v1.4'!$L$8:$L$22</c:f>
              <c:numCache>
                <c:formatCode>General</c:formatCode>
                <c:ptCount val="15"/>
                <c:pt idx="0">
                  <c:v>0.60014744210354631</c:v>
                </c:pt>
                <c:pt idx="1">
                  <c:v>0.60038766665080168</c:v>
                </c:pt>
                <c:pt idx="2">
                  <c:v>0.60100467187538997</c:v>
                </c:pt>
                <c:pt idx="3">
                  <c:v>0.60132923325182908</c:v>
                </c:pt>
                <c:pt idx="4">
                  <c:v>0.60145294695096652</c:v>
                </c:pt>
                <c:pt idx="5">
                  <c:v>0.6019065031719355</c:v>
                </c:pt>
                <c:pt idx="6">
                  <c:v>0.60247693398155044</c:v>
                </c:pt>
                <c:pt idx="7">
                  <c:v>0.6031695479790401</c:v>
                </c:pt>
                <c:pt idx="8">
                  <c:v>0.60422281320349902</c:v>
                </c:pt>
                <c:pt idx="9">
                  <c:v>0.60497950814088752</c:v>
                </c:pt>
                <c:pt idx="10">
                  <c:v>0.60031623323104089</c:v>
                </c:pt>
                <c:pt idx="11">
                  <c:v>0.53900328630567496</c:v>
                </c:pt>
                <c:pt idx="12">
                  <c:v>0.38973759811580772</c:v>
                </c:pt>
                <c:pt idx="13">
                  <c:v>0.20288793266595115</c:v>
                </c:pt>
                <c:pt idx="14">
                  <c:v>0</c:v>
                </c:pt>
              </c:numCache>
            </c:numRef>
          </c:yVal>
          <c:smooth val="1"/>
          <c:extLst>
            <c:ext xmlns:c16="http://schemas.microsoft.com/office/drawing/2014/chart" uri="{C3380CC4-5D6E-409C-BE32-E72D297353CC}">
              <c16:uniqueId val="{00000001-2A27-4941-8784-A5BA2BD5721F}"/>
            </c:ext>
          </c:extLst>
        </c:ser>
        <c:ser>
          <c:idx val="5"/>
          <c:order val="2"/>
          <c:tx>
            <c:v>Zapata et al 2000*</c:v>
          </c:tx>
          <c:spPr>
            <a:ln w="31750" cmpd="sng">
              <a:solidFill>
                <a:srgbClr val="C00000"/>
              </a:solidFill>
              <a:prstDash val="dash"/>
            </a:ln>
          </c:spPr>
          <c:marker>
            <c:symbol val="none"/>
          </c:marker>
          <c:xVal>
            <c:numRef>
              <c:f>'Zapata et al 2000 v1.4'!$K$8:$K$22</c:f>
              <c:numCache>
                <c:formatCode>General</c:formatCode>
                <c:ptCount val="15"/>
                <c:pt idx="0">
                  <c:v>1E-3</c:v>
                </c:pt>
                <c:pt idx="1">
                  <c:v>0.01</c:v>
                </c:pt>
                <c:pt idx="2">
                  <c:v>0.1</c:v>
                </c:pt>
                <c:pt idx="3">
                  <c:v>0.2</c:v>
                </c:pt>
                <c:pt idx="4">
                  <c:v>0.25</c:v>
                </c:pt>
                <c:pt idx="5">
                  <c:v>0.5</c:v>
                </c:pt>
                <c:pt idx="6">
                  <c:v>1</c:v>
                </c:pt>
                <c:pt idx="7">
                  <c:v>2</c:v>
                </c:pt>
                <c:pt idx="8">
                  <c:v>5</c:v>
                </c:pt>
                <c:pt idx="9">
                  <c:v>10</c:v>
                </c:pt>
                <c:pt idx="10">
                  <c:v>100</c:v>
                </c:pt>
                <c:pt idx="11">
                  <c:v>1000</c:v>
                </c:pt>
                <c:pt idx="12">
                  <c:v>10000</c:v>
                </c:pt>
                <c:pt idx="13">
                  <c:v>100000</c:v>
                </c:pt>
                <c:pt idx="14">
                  <c:v>1000000</c:v>
                </c:pt>
              </c:numCache>
            </c:numRef>
          </c:xVal>
          <c:yVal>
            <c:numRef>
              <c:f>'Zapata et al 2000 v1.4'!$L$8:$L$22</c:f>
              <c:numCache>
                <c:formatCode>General</c:formatCode>
                <c:ptCount val="15"/>
                <c:pt idx="0">
                  <c:v>0.59999895613147947</c:v>
                </c:pt>
                <c:pt idx="1">
                  <c:v>0.59999262081011129</c:v>
                </c:pt>
                <c:pt idx="2">
                  <c:v>0.599947821235295</c:v>
                </c:pt>
                <c:pt idx="3">
                  <c:v>0.59990597961692982</c:v>
                </c:pt>
                <c:pt idx="4">
                  <c:v>0.59988635629329135</c:v>
                </c:pt>
                <c:pt idx="5">
                  <c:v>0.59979524045424248</c:v>
                </c:pt>
                <c:pt idx="6">
                  <c:v>0.59963112512617955</c:v>
                </c:pt>
                <c:pt idx="7">
                  <c:v>0.59933567561825463</c:v>
                </c:pt>
                <c:pt idx="8">
                  <c:v>0.59855556073867444</c:v>
                </c:pt>
                <c:pt idx="9">
                  <c:v>0.59740455035257134</c:v>
                </c:pt>
                <c:pt idx="10">
                  <c:v>0.58239221383423756</c:v>
                </c:pt>
                <c:pt idx="11">
                  <c:v>0.50361904209622999</c:v>
                </c:pt>
                <c:pt idx="12">
                  <c:v>0.32288978434600468</c:v>
                </c:pt>
                <c:pt idx="13">
                  <c:v>0.15217823674942965</c:v>
                </c:pt>
                <c:pt idx="14">
                  <c:v>0</c:v>
                </c:pt>
              </c:numCache>
            </c:numRef>
          </c:yVal>
          <c:smooth val="1"/>
          <c:extLst>
            <c:ext xmlns:c16="http://schemas.microsoft.com/office/drawing/2014/chart" uri="{C3380CC4-5D6E-409C-BE32-E72D297353CC}">
              <c16:uniqueId val="{00000002-2A27-4941-8784-A5BA2BD5721F}"/>
            </c:ext>
          </c:extLst>
        </c:ser>
        <c:ser>
          <c:idx val="0"/>
          <c:order val="3"/>
          <c:tx>
            <c:v>Ghanbarian et al 2010**</c:v>
          </c:tx>
          <c:spPr>
            <a:ln>
              <a:solidFill>
                <a:srgbClr val="2DC8FF"/>
              </a:solidFill>
            </a:ln>
          </c:spPr>
          <c:marker>
            <c:symbol val="none"/>
          </c:marker>
          <c:xVal>
            <c:numRef>
              <c:f>'Ghanbarian et al 2010  v1.4'!$H$9:$H$23</c:f>
              <c:numCache>
                <c:formatCode>General</c:formatCode>
                <c:ptCount val="15"/>
                <c:pt idx="0">
                  <c:v>1E-3</c:v>
                </c:pt>
                <c:pt idx="1">
                  <c:v>0.01</c:v>
                </c:pt>
                <c:pt idx="2">
                  <c:v>0.1</c:v>
                </c:pt>
                <c:pt idx="3">
                  <c:v>0.2</c:v>
                </c:pt>
                <c:pt idx="4">
                  <c:v>0.25</c:v>
                </c:pt>
                <c:pt idx="5">
                  <c:v>0.5</c:v>
                </c:pt>
                <c:pt idx="6">
                  <c:v>1</c:v>
                </c:pt>
                <c:pt idx="7">
                  <c:v>2</c:v>
                </c:pt>
                <c:pt idx="8">
                  <c:v>5</c:v>
                </c:pt>
                <c:pt idx="9">
                  <c:v>10</c:v>
                </c:pt>
                <c:pt idx="10">
                  <c:v>100</c:v>
                </c:pt>
                <c:pt idx="11">
                  <c:v>1000</c:v>
                </c:pt>
                <c:pt idx="12">
                  <c:v>10000</c:v>
                </c:pt>
                <c:pt idx="13">
                  <c:v>100000</c:v>
                </c:pt>
                <c:pt idx="14">
                  <c:v>1000000</c:v>
                </c:pt>
              </c:numCache>
            </c:numRef>
          </c:xVal>
          <c:yVal>
            <c:numRef>
              <c:f>'Ghanbarian et al 2010  v1.4'!$I$9:$I$23</c:f>
              <c:numCache>
                <c:formatCode>General</c:formatCode>
                <c:ptCount val="15"/>
                <c:pt idx="0">
                  <c:v>0.59999992599014473</c:v>
                </c:pt>
                <c:pt idx="1">
                  <c:v>0.59999912105073627</c:v>
                </c:pt>
                <c:pt idx="2">
                  <c:v>0.59998956282752847</c:v>
                </c:pt>
                <c:pt idx="3">
                  <c:v>0.59997802034949066</c:v>
                </c:pt>
                <c:pt idx="4">
                  <c:v>0.59997206617428667</c:v>
                </c:pt>
                <c:pt idx="5">
                  <c:v>0.59994119064871576</c:v>
                </c:pt>
                <c:pt idx="6">
                  <c:v>0.59987624938284267</c:v>
                </c:pt>
                <c:pt idx="7">
                  <c:v>0.59973986601956852</c:v>
                </c:pt>
                <c:pt idx="8">
                  <c:v>0.59930797198739616</c:v>
                </c:pt>
                <c:pt idx="9">
                  <c:v>0.59855829531770444</c:v>
                </c:pt>
                <c:pt idx="10">
                  <c:v>0.58588286807861589</c:v>
                </c:pt>
                <c:pt idx="11">
                  <c:v>0.53467578154025008</c:v>
                </c:pt>
                <c:pt idx="12">
                  <c:v>0.46532164692063155</c:v>
                </c:pt>
                <c:pt idx="13">
                  <c:v>0.4031813497527369</c:v>
                </c:pt>
                <c:pt idx="14">
                  <c:v>0.3505666745133979</c:v>
                </c:pt>
              </c:numCache>
            </c:numRef>
          </c:yVal>
          <c:smooth val="1"/>
          <c:extLst>
            <c:ext xmlns:c16="http://schemas.microsoft.com/office/drawing/2014/chart" uri="{C3380CC4-5D6E-409C-BE32-E72D297353CC}">
              <c16:uniqueId val="{00000003-2A27-4941-8784-A5BA2BD5721F}"/>
            </c:ext>
          </c:extLst>
        </c:ser>
        <c:ser>
          <c:idx val="8"/>
          <c:order val="4"/>
          <c:tx>
            <c:v>Sleep 2011 - 90% Drying</c:v>
          </c:tx>
          <c:spPr>
            <a:ln>
              <a:solidFill>
                <a:schemeClr val="tx1"/>
              </a:solidFill>
              <a:prstDash val="sysDash"/>
            </a:ln>
          </c:spPr>
          <c:marker>
            <c:symbol val="none"/>
          </c:marker>
          <c:xVal>
            <c:numRef>
              <c:f>'Sleep 2011  v1.4'!$P$8:$P$15</c:f>
              <c:numCache>
                <c:formatCode>General</c:formatCode>
                <c:ptCount val="8"/>
                <c:pt idx="0">
                  <c:v>1E-3</c:v>
                </c:pt>
                <c:pt idx="1">
                  <c:v>70</c:v>
                </c:pt>
                <c:pt idx="2">
                  <c:v>100000</c:v>
                </c:pt>
              </c:numCache>
            </c:numRef>
          </c:xVal>
          <c:yVal>
            <c:numRef>
              <c:f>'Sleep 2011  v1.4'!$Q$8:$Q$15</c:f>
              <c:numCache>
                <c:formatCode>General</c:formatCode>
                <c:ptCount val="8"/>
                <c:pt idx="0">
                  <c:v>0.6</c:v>
                </c:pt>
                <c:pt idx="1">
                  <c:v>0.6</c:v>
                </c:pt>
                <c:pt idx="2">
                  <c:v>0.33</c:v>
                </c:pt>
                <c:pt idx="3">
                  <c:v>0.24</c:v>
                </c:pt>
                <c:pt idx="4">
                  <c:v>0.16800000000000001</c:v>
                </c:pt>
                <c:pt idx="5">
                  <c:v>7.8E-2</c:v>
                </c:pt>
              </c:numCache>
            </c:numRef>
          </c:yVal>
          <c:smooth val="0"/>
          <c:extLst>
            <c:ext xmlns:c16="http://schemas.microsoft.com/office/drawing/2014/chart" uri="{C3380CC4-5D6E-409C-BE32-E72D297353CC}">
              <c16:uniqueId val="{00000004-2A27-4941-8784-A5BA2BD5721F}"/>
            </c:ext>
          </c:extLst>
        </c:ser>
        <c:ser>
          <c:idx val="7"/>
          <c:order val="5"/>
          <c:tx>
            <c:v>Sleep 2011 - Ave Drying</c:v>
          </c:tx>
          <c:spPr>
            <a:ln>
              <a:solidFill>
                <a:schemeClr val="tx1">
                  <a:lumMod val="85000"/>
                  <a:lumOff val="15000"/>
                </a:schemeClr>
              </a:solidFill>
            </a:ln>
          </c:spPr>
          <c:marker>
            <c:symbol val="none"/>
          </c:marker>
          <c:xVal>
            <c:numRef>
              <c:f>'Sleep 2011  v1.4'!$O$8:$O$15</c:f>
              <c:numCache>
                <c:formatCode>General</c:formatCode>
                <c:ptCount val="8"/>
                <c:pt idx="0">
                  <c:v>1E-3</c:v>
                </c:pt>
                <c:pt idx="1">
                  <c:v>6</c:v>
                </c:pt>
                <c:pt idx="3">
                  <c:v>100000</c:v>
                </c:pt>
              </c:numCache>
            </c:numRef>
          </c:xVal>
          <c:yVal>
            <c:numRef>
              <c:f>'Sleep 2011  v1.4'!$Q$8:$Q$15</c:f>
              <c:numCache>
                <c:formatCode>General</c:formatCode>
                <c:ptCount val="8"/>
                <c:pt idx="0">
                  <c:v>0.6</c:v>
                </c:pt>
                <c:pt idx="1">
                  <c:v>0.6</c:v>
                </c:pt>
                <c:pt idx="2">
                  <c:v>0.33</c:v>
                </c:pt>
                <c:pt idx="3">
                  <c:v>0.24</c:v>
                </c:pt>
                <c:pt idx="4">
                  <c:v>0.16800000000000001</c:v>
                </c:pt>
                <c:pt idx="5">
                  <c:v>7.8E-2</c:v>
                </c:pt>
              </c:numCache>
            </c:numRef>
          </c:yVal>
          <c:smooth val="0"/>
          <c:extLst>
            <c:ext xmlns:c16="http://schemas.microsoft.com/office/drawing/2014/chart" uri="{C3380CC4-5D6E-409C-BE32-E72D297353CC}">
              <c16:uniqueId val="{00000005-2A27-4941-8784-A5BA2BD5721F}"/>
            </c:ext>
          </c:extLst>
        </c:ser>
        <c:ser>
          <c:idx val="4"/>
          <c:order val="6"/>
          <c:tx>
            <c:v>Sleep 2011 - Ave Wetting</c:v>
          </c:tx>
          <c:spPr>
            <a:ln>
              <a:solidFill>
                <a:srgbClr val="7030A0"/>
              </a:solidFill>
            </a:ln>
          </c:spPr>
          <c:marker>
            <c:symbol val="none"/>
          </c:marker>
          <c:xVal>
            <c:numRef>
              <c:f>'Sleep 2011  v1.4'!$N$8:$N$15</c:f>
              <c:numCache>
                <c:formatCode>General</c:formatCode>
                <c:ptCount val="8"/>
                <c:pt idx="0">
                  <c:v>1E-3</c:v>
                </c:pt>
                <c:pt idx="1">
                  <c:v>0.95</c:v>
                </c:pt>
                <c:pt idx="4">
                  <c:v>100000</c:v>
                </c:pt>
              </c:numCache>
            </c:numRef>
          </c:xVal>
          <c:yVal>
            <c:numRef>
              <c:f>'Sleep 2011  v1.4'!$Q$8:$Q$15</c:f>
              <c:numCache>
                <c:formatCode>General</c:formatCode>
                <c:ptCount val="8"/>
                <c:pt idx="0">
                  <c:v>0.6</c:v>
                </c:pt>
                <c:pt idx="1">
                  <c:v>0.6</c:v>
                </c:pt>
                <c:pt idx="2">
                  <c:v>0.33</c:v>
                </c:pt>
                <c:pt idx="3">
                  <c:v>0.24</c:v>
                </c:pt>
                <c:pt idx="4">
                  <c:v>0.16800000000000001</c:v>
                </c:pt>
                <c:pt idx="5">
                  <c:v>7.8E-2</c:v>
                </c:pt>
              </c:numCache>
            </c:numRef>
          </c:yVal>
          <c:smooth val="0"/>
          <c:extLst>
            <c:ext xmlns:c16="http://schemas.microsoft.com/office/drawing/2014/chart" uri="{C3380CC4-5D6E-409C-BE32-E72D297353CC}">
              <c16:uniqueId val="{00000006-2A27-4941-8784-A5BA2BD5721F}"/>
            </c:ext>
          </c:extLst>
        </c:ser>
        <c:ser>
          <c:idx val="3"/>
          <c:order val="7"/>
          <c:tx>
            <c:v>Sleep 2011 - 90% Wetting</c:v>
          </c:tx>
          <c:spPr>
            <a:ln>
              <a:solidFill>
                <a:srgbClr val="7030A0"/>
              </a:solidFill>
              <a:prstDash val="sysDash"/>
            </a:ln>
          </c:spPr>
          <c:marker>
            <c:symbol val="none"/>
          </c:marker>
          <c:xVal>
            <c:numRef>
              <c:f>'Sleep 2011  v1.4'!$M$8:$M$15</c:f>
              <c:numCache>
                <c:formatCode>General</c:formatCode>
                <c:ptCount val="8"/>
                <c:pt idx="0">
                  <c:v>1E-3</c:v>
                </c:pt>
                <c:pt idx="1">
                  <c:v>9.5000000000000001E-2</c:v>
                </c:pt>
                <c:pt idx="5">
                  <c:v>100000</c:v>
                </c:pt>
              </c:numCache>
            </c:numRef>
          </c:xVal>
          <c:yVal>
            <c:numRef>
              <c:f>'Sleep 2011  v1.4'!$Q$8:$Q$15</c:f>
              <c:numCache>
                <c:formatCode>General</c:formatCode>
                <c:ptCount val="8"/>
                <c:pt idx="0">
                  <c:v>0.6</c:v>
                </c:pt>
                <c:pt idx="1">
                  <c:v>0.6</c:v>
                </c:pt>
                <c:pt idx="2">
                  <c:v>0.33</c:v>
                </c:pt>
                <c:pt idx="3">
                  <c:v>0.24</c:v>
                </c:pt>
                <c:pt idx="4">
                  <c:v>0.16800000000000001</c:v>
                </c:pt>
                <c:pt idx="5">
                  <c:v>7.8E-2</c:v>
                </c:pt>
              </c:numCache>
            </c:numRef>
          </c:yVal>
          <c:smooth val="0"/>
          <c:extLst>
            <c:ext xmlns:c16="http://schemas.microsoft.com/office/drawing/2014/chart" uri="{C3380CC4-5D6E-409C-BE32-E72D297353CC}">
              <c16:uniqueId val="{00000007-2A27-4941-8784-A5BA2BD5721F}"/>
            </c:ext>
          </c:extLst>
        </c:ser>
        <c:ser>
          <c:idx val="1"/>
          <c:order val="8"/>
          <c:tx>
            <c:v>Saxton et al 1986</c:v>
          </c:tx>
          <c:spPr>
            <a:ln>
              <a:solidFill>
                <a:srgbClr val="4764F7"/>
              </a:solidFill>
            </a:ln>
          </c:spPr>
          <c:marker>
            <c:symbol val="none"/>
          </c:marker>
          <c:xVal>
            <c:numRef>
              <c:f>'Saxton et al 1986  v1.4'!$N$8:$N$22</c:f>
              <c:numCache>
                <c:formatCode>General</c:formatCode>
                <c:ptCount val="15"/>
                <c:pt idx="0">
                  <c:v>1E-3</c:v>
                </c:pt>
                <c:pt idx="1">
                  <c:v>0.01</c:v>
                </c:pt>
                <c:pt idx="2">
                  <c:v>0.1</c:v>
                </c:pt>
                <c:pt idx="3">
                  <c:v>0.2</c:v>
                </c:pt>
                <c:pt idx="4">
                  <c:v>0.25</c:v>
                </c:pt>
                <c:pt idx="5">
                  <c:v>0.5</c:v>
                </c:pt>
                <c:pt idx="6">
                  <c:v>1</c:v>
                </c:pt>
                <c:pt idx="7">
                  <c:v>2</c:v>
                </c:pt>
                <c:pt idx="8">
                  <c:v>5</c:v>
                </c:pt>
                <c:pt idx="9">
                  <c:v>10</c:v>
                </c:pt>
                <c:pt idx="10">
                  <c:v>100</c:v>
                </c:pt>
                <c:pt idx="11">
                  <c:v>1000</c:v>
                </c:pt>
                <c:pt idx="12">
                  <c:v>10000</c:v>
                </c:pt>
                <c:pt idx="13">
                  <c:v>100000</c:v>
                </c:pt>
                <c:pt idx="14">
                  <c:v>1000000</c:v>
                </c:pt>
              </c:numCache>
            </c:numRef>
          </c:xVal>
          <c:yVal>
            <c:numRef>
              <c:f>'Saxton et al 1986  v1.4'!$O$8:$O$22</c:f>
              <c:numCache>
                <c:formatCode>General</c:formatCode>
                <c:ptCount val="15"/>
                <c:pt idx="0">
                  <c:v>0.6</c:v>
                </c:pt>
                <c:pt idx="1">
                  <c:v>0.6</c:v>
                </c:pt>
                <c:pt idx="2">
                  <c:v>0.6</c:v>
                </c:pt>
                <c:pt idx="3">
                  <c:v>0.6</c:v>
                </c:pt>
                <c:pt idx="4">
                  <c:v>0.6</c:v>
                </c:pt>
                <c:pt idx="5">
                  <c:v>0.6</c:v>
                </c:pt>
                <c:pt idx="6">
                  <c:v>0.6</c:v>
                </c:pt>
                <c:pt idx="7">
                  <c:v>0.6</c:v>
                </c:pt>
                <c:pt idx="8">
                  <c:v>0.6</c:v>
                </c:pt>
                <c:pt idx="9">
                  <c:v>0.6</c:v>
                </c:pt>
                <c:pt idx="10">
                  <c:v>0.6</c:v>
                </c:pt>
                <c:pt idx="11">
                  <c:v>0.54349084617726251</c:v>
                </c:pt>
                <c:pt idx="12">
                  <c:v>0.46611894488126615</c:v>
                </c:pt>
                <c:pt idx="13">
                  <c:v>0.39976178495996606</c:v>
                </c:pt>
                <c:pt idx="14">
                  <c:v>0.34285129679740056</c:v>
                </c:pt>
              </c:numCache>
            </c:numRef>
          </c:yVal>
          <c:smooth val="1"/>
          <c:extLst>
            <c:ext xmlns:c16="http://schemas.microsoft.com/office/drawing/2014/chart" uri="{C3380CC4-5D6E-409C-BE32-E72D297353CC}">
              <c16:uniqueId val="{00000008-2A27-4941-8784-A5BA2BD5721F}"/>
            </c:ext>
          </c:extLst>
        </c:ser>
        <c:dLbls>
          <c:showLegendKey val="0"/>
          <c:showVal val="0"/>
          <c:showCatName val="0"/>
          <c:showSerName val="0"/>
          <c:showPercent val="0"/>
          <c:showBubbleSize val="0"/>
        </c:dLbls>
        <c:axId val="383792760"/>
        <c:axId val="383794720"/>
      </c:scatterChart>
      <c:valAx>
        <c:axId val="383792760"/>
        <c:scaling>
          <c:logBase val="10"/>
          <c:orientation val="minMax"/>
          <c:max val="1000000"/>
          <c:min val="1.0000000000000005E-2"/>
        </c:scaling>
        <c:delete val="0"/>
        <c:axPos val="b"/>
        <c:majorGridlines/>
        <c:minorGridlines/>
        <c:numFmt formatCode="General" sourceLinked="1"/>
        <c:majorTickMark val="out"/>
        <c:minorTickMark val="none"/>
        <c:tickLblPos val="nextTo"/>
        <c:crossAx val="383794720"/>
        <c:crosses val="autoZero"/>
        <c:crossBetween val="midCat"/>
      </c:valAx>
      <c:valAx>
        <c:axId val="383794720"/>
        <c:scaling>
          <c:orientation val="minMax"/>
          <c:min val="0"/>
        </c:scaling>
        <c:delete val="0"/>
        <c:axPos val="l"/>
        <c:majorGridlines/>
        <c:numFmt formatCode="General" sourceLinked="1"/>
        <c:majorTickMark val="out"/>
        <c:minorTickMark val="none"/>
        <c:tickLblPos val="nextTo"/>
        <c:crossAx val="383792760"/>
        <c:crossesAt val="1.0000000000000109E-4"/>
        <c:crossBetween val="midCat"/>
      </c:valAx>
      <c:spPr>
        <a:ln>
          <a:solidFill>
            <a:schemeClr val="bg1">
              <a:lumMod val="65000"/>
            </a:schemeClr>
          </a:solidFill>
        </a:ln>
      </c:spPr>
    </c:plotArea>
    <c:legend>
      <c:legendPos val="r"/>
      <c:layout>
        <c:manualLayout>
          <c:xMode val="edge"/>
          <c:yMode val="edge"/>
          <c:x val="0.14681826043420981"/>
          <c:y val="0.30920263972062717"/>
          <c:w val="0.21902119460500971"/>
          <c:h val="0.37412924246538143"/>
        </c:manualLayout>
      </c:layout>
      <c:overlay val="0"/>
      <c:spPr>
        <a:solidFill>
          <a:schemeClr val="bg1"/>
        </a:solidFill>
        <a:ln>
          <a:solidFill>
            <a:schemeClr val="bg1">
              <a:lumMod val="85000"/>
            </a:schemeClr>
          </a:solidFill>
        </a:ln>
      </c:spPr>
    </c:legend>
    <c:plotVisOnly val="1"/>
    <c:dispBlanksAs val="span"/>
    <c:showDLblsOverMax val="0"/>
  </c:chart>
  <c:spPr>
    <a:noFill/>
    <a:ln>
      <a:noFill/>
    </a:ln>
  </c:spPr>
  <c:printSettings>
    <c:headerFooter/>
    <c:pageMargins b="0.75000000000000466" l="0.70000000000000062" r="0.70000000000000062" t="0.75000000000000466"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72270001682962"/>
          <c:y val="3.9183014494322245E-2"/>
          <c:w val="0.79532899428033932"/>
          <c:h val="0.70669358943855964"/>
        </c:manualLayout>
      </c:layout>
      <c:scatterChart>
        <c:scatterStyle val="smoothMarker"/>
        <c:varyColors val="0"/>
        <c:ser>
          <c:idx val="2"/>
          <c:order val="0"/>
          <c:tx>
            <c:v>Aubertin et al 2003</c:v>
          </c:tx>
          <c:spPr>
            <a:ln w="31750">
              <a:solidFill>
                <a:srgbClr val="FFC000"/>
              </a:solidFill>
            </a:ln>
          </c:spPr>
          <c:marker>
            <c:symbol val="none"/>
          </c:marker>
          <c:xVal>
            <c:numRef>
              <c:f>'Aubertin et al 2003  v1.4'!$P$37:$P$55</c:f>
              <c:numCache>
                <c:formatCode>General</c:formatCode>
                <c:ptCount val="19"/>
                <c:pt idx="0">
                  <c:v>1E-3</c:v>
                </c:pt>
                <c:pt idx="1">
                  <c:v>0.01</c:v>
                </c:pt>
                <c:pt idx="2">
                  <c:v>0.1</c:v>
                </c:pt>
                <c:pt idx="3">
                  <c:v>0.5</c:v>
                </c:pt>
                <c:pt idx="4">
                  <c:v>1</c:v>
                </c:pt>
                <c:pt idx="5">
                  <c:v>5</c:v>
                </c:pt>
                <c:pt idx="6">
                  <c:v>10</c:v>
                </c:pt>
                <c:pt idx="7">
                  <c:v>50</c:v>
                </c:pt>
                <c:pt idx="8">
                  <c:v>100</c:v>
                </c:pt>
                <c:pt idx="9">
                  <c:v>500</c:v>
                </c:pt>
                <c:pt idx="10">
                  <c:v>1000</c:v>
                </c:pt>
                <c:pt idx="11">
                  <c:v>5000</c:v>
                </c:pt>
                <c:pt idx="12">
                  <c:v>10000</c:v>
                </c:pt>
                <c:pt idx="13">
                  <c:v>50000</c:v>
                </c:pt>
                <c:pt idx="14">
                  <c:v>100000</c:v>
                </c:pt>
                <c:pt idx="15">
                  <c:v>500000</c:v>
                </c:pt>
                <c:pt idx="16">
                  <c:v>1000000</c:v>
                </c:pt>
              </c:numCache>
            </c:numRef>
          </c:xVal>
          <c:yVal>
            <c:numRef>
              <c:f>'Aubertin et al 2003  v1.4'!$Q$37:$Q$53</c:f>
              <c:numCache>
                <c:formatCode>General</c:formatCode>
                <c:ptCount val="17"/>
                <c:pt idx="0">
                  <c:v>0.33333333333333331</c:v>
                </c:pt>
                <c:pt idx="1">
                  <c:v>0.33333333333333331</c:v>
                </c:pt>
                <c:pt idx="2">
                  <c:v>0.33333333333333331</c:v>
                </c:pt>
                <c:pt idx="3">
                  <c:v>0.33333333333333331</c:v>
                </c:pt>
                <c:pt idx="4">
                  <c:v>0.33333333333333331</c:v>
                </c:pt>
                <c:pt idx="5">
                  <c:v>0.33333333333333331</c:v>
                </c:pt>
                <c:pt idx="6">
                  <c:v>0.33333333333333331</c:v>
                </c:pt>
                <c:pt idx="7">
                  <c:v>0.30371062165094148</c:v>
                </c:pt>
                <c:pt idx="8">
                  <c:v>0.16385027370727456</c:v>
                </c:pt>
                <c:pt idx="9">
                  <c:v>2.788542516338003E-2</c:v>
                </c:pt>
                <c:pt idx="10">
                  <c:v>1.8700223430889298E-2</c:v>
                </c:pt>
                <c:pt idx="11">
                  <c:v>1.0012947741059345E-2</c:v>
                </c:pt>
                <c:pt idx="12">
                  <c:v>7.718858151585661E-3</c:v>
                </c:pt>
                <c:pt idx="13">
                  <c:v>3.8335304911474291E-3</c:v>
                </c:pt>
                <c:pt idx="14">
                  <c:v>2.6250565317906304E-3</c:v>
                </c:pt>
                <c:pt idx="15">
                  <c:v>6.0437647806888223E-4</c:v>
                </c:pt>
                <c:pt idx="16">
                  <c:v>1.9220385816715624E-9</c:v>
                </c:pt>
              </c:numCache>
            </c:numRef>
          </c:yVal>
          <c:smooth val="1"/>
          <c:extLst>
            <c:ext xmlns:c16="http://schemas.microsoft.com/office/drawing/2014/chart" uri="{C3380CC4-5D6E-409C-BE32-E72D297353CC}">
              <c16:uniqueId val="{00000000-908C-447A-B556-6CBAEBB9B736}"/>
            </c:ext>
          </c:extLst>
        </c:ser>
        <c:ser>
          <c:idx val="6"/>
          <c:order val="1"/>
          <c:tx>
            <c:v>Perera et al 2005*</c:v>
          </c:tx>
          <c:spPr>
            <a:ln w="31750" cmpd="sng">
              <a:solidFill>
                <a:srgbClr val="C00000"/>
              </a:solidFill>
              <a:prstDash val="solid"/>
            </a:ln>
          </c:spPr>
          <c:marker>
            <c:symbol val="none"/>
          </c:marker>
          <c:xVal>
            <c:numRef>
              <c:f>'Perera et al 2005  v1.4'!$K$30:$K$44</c:f>
              <c:numCache>
                <c:formatCode>General</c:formatCode>
                <c:ptCount val="15"/>
                <c:pt idx="0">
                  <c:v>1E-3</c:v>
                </c:pt>
                <c:pt idx="1">
                  <c:v>0.01</c:v>
                </c:pt>
                <c:pt idx="2">
                  <c:v>0.1</c:v>
                </c:pt>
                <c:pt idx="3">
                  <c:v>0.2</c:v>
                </c:pt>
                <c:pt idx="4">
                  <c:v>0.25</c:v>
                </c:pt>
                <c:pt idx="5">
                  <c:v>0.5</c:v>
                </c:pt>
                <c:pt idx="6">
                  <c:v>1</c:v>
                </c:pt>
                <c:pt idx="7">
                  <c:v>2</c:v>
                </c:pt>
                <c:pt idx="8">
                  <c:v>5</c:v>
                </c:pt>
                <c:pt idx="9">
                  <c:v>10</c:v>
                </c:pt>
                <c:pt idx="10">
                  <c:v>100</c:v>
                </c:pt>
                <c:pt idx="11">
                  <c:v>1000</c:v>
                </c:pt>
                <c:pt idx="12">
                  <c:v>10000</c:v>
                </c:pt>
                <c:pt idx="13">
                  <c:v>100000</c:v>
                </c:pt>
                <c:pt idx="14">
                  <c:v>1000000</c:v>
                </c:pt>
              </c:numCache>
            </c:numRef>
          </c:xVal>
          <c:yVal>
            <c:numRef>
              <c:f>'Perera et al 2005  v1.4'!$L$30:$L$44</c:f>
              <c:numCache>
                <c:formatCode>General</c:formatCode>
                <c:ptCount val="15"/>
                <c:pt idx="0">
                  <c:v>0.33333297142680085</c:v>
                </c:pt>
                <c:pt idx="1">
                  <c:v>0.33332971423766122</c:v>
                </c:pt>
                <c:pt idx="2">
                  <c:v>0.3332969727481993</c:v>
                </c:pt>
                <c:pt idx="3">
                  <c:v>0.33325953858863355</c:v>
                </c:pt>
                <c:pt idx="4">
                  <c:v>0.33324007898122149</c:v>
                </c:pt>
                <c:pt idx="5">
                  <c:v>0.33312998281749018</c:v>
                </c:pt>
                <c:pt idx="6">
                  <c:v>0.33279281013994783</c:v>
                </c:pt>
                <c:pt idx="7">
                  <c:v>0.33120193919163554</c:v>
                </c:pt>
                <c:pt idx="8">
                  <c:v>0.31219130855759875</c:v>
                </c:pt>
                <c:pt idx="9">
                  <c:v>0.24295417036682032</c:v>
                </c:pt>
                <c:pt idx="10">
                  <c:v>7.8168138719382704E-2</c:v>
                </c:pt>
                <c:pt idx="11">
                  <c:v>4.0482229084762164E-2</c:v>
                </c:pt>
                <c:pt idx="12">
                  <c:v>2.1003592263617758E-2</c:v>
                </c:pt>
                <c:pt idx="13">
                  <c:v>8.7122394658599531E-3</c:v>
                </c:pt>
                <c:pt idx="14">
                  <c:v>0</c:v>
                </c:pt>
              </c:numCache>
            </c:numRef>
          </c:yVal>
          <c:smooth val="1"/>
          <c:extLst>
            <c:ext xmlns:c16="http://schemas.microsoft.com/office/drawing/2014/chart" uri="{C3380CC4-5D6E-409C-BE32-E72D297353CC}">
              <c16:uniqueId val="{00000001-908C-447A-B556-6CBAEBB9B736}"/>
            </c:ext>
          </c:extLst>
        </c:ser>
        <c:ser>
          <c:idx val="5"/>
          <c:order val="2"/>
          <c:tx>
            <c:v>Zapata et al 2000*</c:v>
          </c:tx>
          <c:spPr>
            <a:ln w="31750" cmpd="sng">
              <a:solidFill>
                <a:srgbClr val="C00000"/>
              </a:solidFill>
              <a:prstDash val="dash"/>
            </a:ln>
          </c:spPr>
          <c:marker>
            <c:symbol val="none"/>
          </c:marker>
          <c:xVal>
            <c:numRef>
              <c:f>'Zapata et al 2000 v1.4'!$K$29:$K$43</c:f>
              <c:numCache>
                <c:formatCode>General</c:formatCode>
                <c:ptCount val="15"/>
                <c:pt idx="0">
                  <c:v>1E-3</c:v>
                </c:pt>
                <c:pt idx="1">
                  <c:v>0.01</c:v>
                </c:pt>
                <c:pt idx="2">
                  <c:v>0.1</c:v>
                </c:pt>
                <c:pt idx="3">
                  <c:v>0.2</c:v>
                </c:pt>
                <c:pt idx="4">
                  <c:v>0.25</c:v>
                </c:pt>
                <c:pt idx="5">
                  <c:v>0.5</c:v>
                </c:pt>
                <c:pt idx="6">
                  <c:v>1</c:v>
                </c:pt>
                <c:pt idx="7">
                  <c:v>2</c:v>
                </c:pt>
                <c:pt idx="8">
                  <c:v>5</c:v>
                </c:pt>
                <c:pt idx="9">
                  <c:v>10</c:v>
                </c:pt>
                <c:pt idx="10">
                  <c:v>100</c:v>
                </c:pt>
                <c:pt idx="11">
                  <c:v>1000</c:v>
                </c:pt>
                <c:pt idx="12">
                  <c:v>10000</c:v>
                </c:pt>
                <c:pt idx="13">
                  <c:v>100000</c:v>
                </c:pt>
                <c:pt idx="14">
                  <c:v>1000000</c:v>
                </c:pt>
              </c:numCache>
            </c:numRef>
          </c:xVal>
          <c:yVal>
            <c:numRef>
              <c:f>'Zapata et al 2000 v1.4'!$L$29:$L$43</c:f>
              <c:numCache>
                <c:formatCode>General</c:formatCode>
                <c:ptCount val="15"/>
                <c:pt idx="0">
                  <c:v>0.33332431506772009</c:v>
                </c:pt>
                <c:pt idx="1">
                  <c:v>0.33324329037559275</c:v>
                </c:pt>
                <c:pt idx="2">
                  <c:v>0.33244656341335316</c:v>
                </c:pt>
                <c:pt idx="3">
                  <c:v>0.33158886340365756</c:v>
                </c:pt>
                <c:pt idx="4">
                  <c:v>0.33117023405134688</c:v>
                </c:pt>
                <c:pt idx="5">
                  <c:v>0.32914624734756398</c:v>
                </c:pt>
                <c:pt idx="6">
                  <c:v>0.32096635391150807</c:v>
                </c:pt>
                <c:pt idx="7">
                  <c:v>0.17071168376465984</c:v>
                </c:pt>
                <c:pt idx="8">
                  <c:v>7.2114116593326297E-2</c:v>
                </c:pt>
                <c:pt idx="9">
                  <c:v>5.1733241997033448E-2</c:v>
                </c:pt>
                <c:pt idx="10">
                  <c:v>2.531155757452554E-2</c:v>
                </c:pt>
                <c:pt idx="11">
                  <c:v>1.4348589406315006E-2</c:v>
                </c:pt>
                <c:pt idx="12">
                  <c:v>7.8630123742081601E-3</c:v>
                </c:pt>
                <c:pt idx="13">
                  <c:v>3.3818923422613534E-3</c:v>
                </c:pt>
                <c:pt idx="14">
                  <c:v>0</c:v>
                </c:pt>
              </c:numCache>
            </c:numRef>
          </c:yVal>
          <c:smooth val="0"/>
          <c:extLst>
            <c:ext xmlns:c16="http://schemas.microsoft.com/office/drawing/2014/chart" uri="{C3380CC4-5D6E-409C-BE32-E72D297353CC}">
              <c16:uniqueId val="{00000002-908C-447A-B556-6CBAEBB9B736}"/>
            </c:ext>
          </c:extLst>
        </c:ser>
        <c:ser>
          <c:idx val="0"/>
          <c:order val="3"/>
          <c:tx>
            <c:v>Ghanbarian et al 2010**</c:v>
          </c:tx>
          <c:spPr>
            <a:ln>
              <a:solidFill>
                <a:srgbClr val="2DC8FF"/>
              </a:solidFill>
            </a:ln>
          </c:spPr>
          <c:marker>
            <c:symbol val="none"/>
          </c:marker>
          <c:xVal>
            <c:numRef>
              <c:f>'Ghanbarian et al 2010  v1.4'!$H$31:$H$45</c:f>
              <c:numCache>
                <c:formatCode>General</c:formatCode>
                <c:ptCount val="15"/>
                <c:pt idx="0">
                  <c:v>1E-3</c:v>
                </c:pt>
                <c:pt idx="1">
                  <c:v>0.01</c:v>
                </c:pt>
                <c:pt idx="2">
                  <c:v>0.1</c:v>
                </c:pt>
                <c:pt idx="3">
                  <c:v>0.2</c:v>
                </c:pt>
                <c:pt idx="4">
                  <c:v>0.25</c:v>
                </c:pt>
                <c:pt idx="5">
                  <c:v>0.5</c:v>
                </c:pt>
                <c:pt idx="6">
                  <c:v>1</c:v>
                </c:pt>
                <c:pt idx="7">
                  <c:v>2</c:v>
                </c:pt>
                <c:pt idx="8">
                  <c:v>5</c:v>
                </c:pt>
                <c:pt idx="9">
                  <c:v>10</c:v>
                </c:pt>
                <c:pt idx="10">
                  <c:v>100</c:v>
                </c:pt>
                <c:pt idx="11">
                  <c:v>1000</c:v>
                </c:pt>
                <c:pt idx="12">
                  <c:v>10000</c:v>
                </c:pt>
                <c:pt idx="13">
                  <c:v>100000</c:v>
                </c:pt>
                <c:pt idx="14">
                  <c:v>1000000</c:v>
                </c:pt>
              </c:numCache>
            </c:numRef>
          </c:xVal>
          <c:yVal>
            <c:numRef>
              <c:f>'Ghanbarian et al 2010  v1.4'!$I$31:$I$45</c:f>
              <c:numCache>
                <c:formatCode>General</c:formatCode>
                <c:ptCount val="15"/>
                <c:pt idx="0">
                  <c:v>0.33332710133892435</c:v>
                </c:pt>
                <c:pt idx="1">
                  <c:v>0.33322203866746891</c:v>
                </c:pt>
                <c:pt idx="2">
                  <c:v>0.33138134271196656</c:v>
                </c:pt>
                <c:pt idx="3">
                  <c:v>0.32880762872109504</c:v>
                </c:pt>
                <c:pt idx="4">
                  <c:v>0.32743543969484734</c:v>
                </c:pt>
                <c:pt idx="5">
                  <c:v>0.32033243900918357</c:v>
                </c:pt>
                <c:pt idx="6">
                  <c:v>0.30685366031559419</c:v>
                </c:pt>
                <c:pt idx="7">
                  <c:v>0.28549985151972235</c:v>
                </c:pt>
                <c:pt idx="8">
                  <c:v>0.2487694433658611</c:v>
                </c:pt>
                <c:pt idx="9">
                  <c:v>0.21988535403822435</c:v>
                </c:pt>
                <c:pt idx="10">
                  <c:v>0.14445558147802295</c:v>
                </c:pt>
                <c:pt idx="11">
                  <c:v>0.10068398906959317</c:v>
                </c:pt>
                <c:pt idx="12">
                  <c:v>7.6148320085981033E-2</c:v>
                </c:pt>
                <c:pt idx="13">
                  <c:v>6.24227481521476E-2</c:v>
                </c:pt>
                <c:pt idx="14">
                  <c:v>5.4745350052780126E-2</c:v>
                </c:pt>
              </c:numCache>
            </c:numRef>
          </c:yVal>
          <c:smooth val="1"/>
          <c:extLst>
            <c:ext xmlns:c16="http://schemas.microsoft.com/office/drawing/2014/chart" uri="{C3380CC4-5D6E-409C-BE32-E72D297353CC}">
              <c16:uniqueId val="{00000003-908C-447A-B556-6CBAEBB9B736}"/>
            </c:ext>
          </c:extLst>
        </c:ser>
        <c:ser>
          <c:idx val="3"/>
          <c:order val="4"/>
          <c:tx>
            <c:v>Sleep 2011 - 90% Drying</c:v>
          </c:tx>
          <c:spPr>
            <a:ln>
              <a:solidFill>
                <a:schemeClr val="tx1"/>
              </a:solidFill>
              <a:prstDash val="sysDash"/>
            </a:ln>
          </c:spPr>
          <c:marker>
            <c:symbol val="none"/>
          </c:marker>
          <c:xVal>
            <c:numRef>
              <c:f>'Sleep 2011  v1.4'!$P$25:$P$32</c:f>
              <c:numCache>
                <c:formatCode>General</c:formatCode>
                <c:ptCount val="8"/>
                <c:pt idx="0">
                  <c:v>1E-3</c:v>
                </c:pt>
                <c:pt idx="1">
                  <c:v>30</c:v>
                </c:pt>
                <c:pt idx="2">
                  <c:v>130</c:v>
                </c:pt>
                <c:pt idx="6">
                  <c:v>800</c:v>
                </c:pt>
                <c:pt idx="7">
                  <c:v>1000000</c:v>
                </c:pt>
              </c:numCache>
            </c:numRef>
          </c:xVal>
          <c:yVal>
            <c:numRef>
              <c:f>'Sleep 2011  v1.4'!$Q$25:$Q$32</c:f>
              <c:numCache>
                <c:formatCode>General</c:formatCode>
                <c:ptCount val="8"/>
                <c:pt idx="0">
                  <c:v>0.33333333333333331</c:v>
                </c:pt>
                <c:pt idx="1">
                  <c:v>0.33333333333333331</c:v>
                </c:pt>
                <c:pt idx="2">
                  <c:v>0.18333333333333335</c:v>
                </c:pt>
                <c:pt idx="3">
                  <c:v>0.13333333333333333</c:v>
                </c:pt>
                <c:pt idx="4">
                  <c:v>9.3333333333333338E-2</c:v>
                </c:pt>
                <c:pt idx="5">
                  <c:v>4.3333333333333335E-2</c:v>
                </c:pt>
                <c:pt idx="6">
                  <c:v>3.3333333333333333E-2</c:v>
                </c:pt>
                <c:pt idx="7">
                  <c:v>0</c:v>
                </c:pt>
              </c:numCache>
            </c:numRef>
          </c:yVal>
          <c:smooth val="0"/>
          <c:extLst>
            <c:ext xmlns:c16="http://schemas.microsoft.com/office/drawing/2014/chart" uri="{C3380CC4-5D6E-409C-BE32-E72D297353CC}">
              <c16:uniqueId val="{00000004-908C-447A-B556-6CBAEBB9B736}"/>
            </c:ext>
          </c:extLst>
        </c:ser>
        <c:ser>
          <c:idx val="4"/>
          <c:order val="5"/>
          <c:tx>
            <c:v>Sleep 2011 - Ave Drying</c:v>
          </c:tx>
          <c:spPr>
            <a:ln>
              <a:solidFill>
                <a:schemeClr val="tx1"/>
              </a:solidFill>
            </a:ln>
          </c:spPr>
          <c:marker>
            <c:symbol val="none"/>
          </c:marker>
          <c:xVal>
            <c:numRef>
              <c:f>'Sleep 2011  v1.4'!$O$25:$O$32</c:f>
              <c:numCache>
                <c:formatCode>General</c:formatCode>
                <c:ptCount val="8"/>
                <c:pt idx="0">
                  <c:v>1E-3</c:v>
                </c:pt>
                <c:pt idx="1">
                  <c:v>4</c:v>
                </c:pt>
                <c:pt idx="3">
                  <c:v>45</c:v>
                </c:pt>
                <c:pt idx="6">
                  <c:v>150</c:v>
                </c:pt>
                <c:pt idx="7">
                  <c:v>1000000</c:v>
                </c:pt>
              </c:numCache>
            </c:numRef>
          </c:xVal>
          <c:yVal>
            <c:numRef>
              <c:f>'Sleep 2011  v1.4'!$Q$25:$Q$32</c:f>
              <c:numCache>
                <c:formatCode>General</c:formatCode>
                <c:ptCount val="8"/>
                <c:pt idx="0">
                  <c:v>0.33333333333333331</c:v>
                </c:pt>
                <c:pt idx="1">
                  <c:v>0.33333333333333331</c:v>
                </c:pt>
                <c:pt idx="2">
                  <c:v>0.18333333333333335</c:v>
                </c:pt>
                <c:pt idx="3">
                  <c:v>0.13333333333333333</c:v>
                </c:pt>
                <c:pt idx="4">
                  <c:v>9.3333333333333338E-2</c:v>
                </c:pt>
                <c:pt idx="5">
                  <c:v>4.3333333333333335E-2</c:v>
                </c:pt>
                <c:pt idx="6">
                  <c:v>3.3333333333333333E-2</c:v>
                </c:pt>
                <c:pt idx="7">
                  <c:v>0</c:v>
                </c:pt>
              </c:numCache>
            </c:numRef>
          </c:yVal>
          <c:smooth val="0"/>
          <c:extLst>
            <c:ext xmlns:c16="http://schemas.microsoft.com/office/drawing/2014/chart" uri="{C3380CC4-5D6E-409C-BE32-E72D297353CC}">
              <c16:uniqueId val="{00000005-908C-447A-B556-6CBAEBB9B736}"/>
            </c:ext>
          </c:extLst>
        </c:ser>
        <c:ser>
          <c:idx val="7"/>
          <c:order val="6"/>
          <c:tx>
            <c:v>Sleep 2011 - Ave Wetting</c:v>
          </c:tx>
          <c:spPr>
            <a:ln>
              <a:solidFill>
                <a:srgbClr val="7030A0"/>
              </a:solidFill>
            </a:ln>
          </c:spPr>
          <c:marker>
            <c:symbol val="none"/>
          </c:marker>
          <c:xVal>
            <c:numRef>
              <c:f>'Sleep 2011  v1.4'!$N$25:$N$32</c:f>
              <c:numCache>
                <c:formatCode>General</c:formatCode>
                <c:ptCount val="8"/>
                <c:pt idx="0">
                  <c:v>1E-3</c:v>
                </c:pt>
                <c:pt idx="1">
                  <c:v>0.82</c:v>
                </c:pt>
                <c:pt idx="4">
                  <c:v>12</c:v>
                </c:pt>
                <c:pt idx="6">
                  <c:v>25</c:v>
                </c:pt>
                <c:pt idx="7">
                  <c:v>1000000</c:v>
                </c:pt>
              </c:numCache>
            </c:numRef>
          </c:xVal>
          <c:yVal>
            <c:numRef>
              <c:f>'Sleep 2011  v1.4'!$Q$25:$Q$32</c:f>
              <c:numCache>
                <c:formatCode>General</c:formatCode>
                <c:ptCount val="8"/>
                <c:pt idx="0">
                  <c:v>0.33333333333333331</c:v>
                </c:pt>
                <c:pt idx="1">
                  <c:v>0.33333333333333331</c:v>
                </c:pt>
                <c:pt idx="2">
                  <c:v>0.18333333333333335</c:v>
                </c:pt>
                <c:pt idx="3">
                  <c:v>0.13333333333333333</c:v>
                </c:pt>
                <c:pt idx="4">
                  <c:v>9.3333333333333338E-2</c:v>
                </c:pt>
                <c:pt idx="5">
                  <c:v>4.3333333333333335E-2</c:v>
                </c:pt>
                <c:pt idx="6">
                  <c:v>3.3333333333333333E-2</c:v>
                </c:pt>
                <c:pt idx="7">
                  <c:v>0</c:v>
                </c:pt>
              </c:numCache>
            </c:numRef>
          </c:yVal>
          <c:smooth val="0"/>
          <c:extLst>
            <c:ext xmlns:c16="http://schemas.microsoft.com/office/drawing/2014/chart" uri="{C3380CC4-5D6E-409C-BE32-E72D297353CC}">
              <c16:uniqueId val="{00000006-908C-447A-B556-6CBAEBB9B736}"/>
            </c:ext>
          </c:extLst>
        </c:ser>
        <c:ser>
          <c:idx val="8"/>
          <c:order val="7"/>
          <c:tx>
            <c:v>Sleep 2011 - 90% Wetting</c:v>
          </c:tx>
          <c:spPr>
            <a:ln>
              <a:solidFill>
                <a:srgbClr val="7030A0"/>
              </a:solidFill>
              <a:prstDash val="sysDash"/>
            </a:ln>
          </c:spPr>
          <c:marker>
            <c:symbol val="none"/>
          </c:marker>
          <c:xVal>
            <c:numRef>
              <c:f>'Sleep 2011  v1.4'!$M$25:$M$32</c:f>
              <c:numCache>
                <c:formatCode>General</c:formatCode>
                <c:ptCount val="8"/>
                <c:pt idx="0">
                  <c:v>1E-3</c:v>
                </c:pt>
                <c:pt idx="1">
                  <c:v>0.12</c:v>
                </c:pt>
                <c:pt idx="5">
                  <c:v>3</c:v>
                </c:pt>
                <c:pt idx="6">
                  <c:v>3.5</c:v>
                </c:pt>
                <c:pt idx="7">
                  <c:v>1000000</c:v>
                </c:pt>
              </c:numCache>
            </c:numRef>
          </c:xVal>
          <c:yVal>
            <c:numRef>
              <c:f>'Sleep 2011  v1.4'!$Q$25:$Q$32</c:f>
              <c:numCache>
                <c:formatCode>General</c:formatCode>
                <c:ptCount val="8"/>
                <c:pt idx="0">
                  <c:v>0.33333333333333331</c:v>
                </c:pt>
                <c:pt idx="1">
                  <c:v>0.33333333333333331</c:v>
                </c:pt>
                <c:pt idx="2">
                  <c:v>0.18333333333333335</c:v>
                </c:pt>
                <c:pt idx="3">
                  <c:v>0.13333333333333333</c:v>
                </c:pt>
                <c:pt idx="4">
                  <c:v>9.3333333333333338E-2</c:v>
                </c:pt>
                <c:pt idx="5">
                  <c:v>4.3333333333333335E-2</c:v>
                </c:pt>
                <c:pt idx="6">
                  <c:v>3.3333333333333333E-2</c:v>
                </c:pt>
                <c:pt idx="7">
                  <c:v>0</c:v>
                </c:pt>
              </c:numCache>
            </c:numRef>
          </c:yVal>
          <c:smooth val="0"/>
          <c:extLst>
            <c:ext xmlns:c16="http://schemas.microsoft.com/office/drawing/2014/chart" uri="{C3380CC4-5D6E-409C-BE32-E72D297353CC}">
              <c16:uniqueId val="{00000007-908C-447A-B556-6CBAEBB9B736}"/>
            </c:ext>
          </c:extLst>
        </c:ser>
        <c:ser>
          <c:idx val="1"/>
          <c:order val="8"/>
          <c:tx>
            <c:v>Benson et al 2014 - Drying</c:v>
          </c:tx>
          <c:spPr>
            <a:ln>
              <a:solidFill>
                <a:srgbClr val="92D050"/>
              </a:solidFill>
            </a:ln>
          </c:spPr>
          <c:marker>
            <c:symbol val="none"/>
          </c:marker>
          <c:xVal>
            <c:numRef>
              <c:f>'Benson et al_2014  v1.4'!$R$9:$R$23</c:f>
              <c:numCache>
                <c:formatCode>General</c:formatCode>
                <c:ptCount val="15"/>
                <c:pt idx="0">
                  <c:v>1E-3</c:v>
                </c:pt>
                <c:pt idx="1">
                  <c:v>0.01</c:v>
                </c:pt>
                <c:pt idx="2">
                  <c:v>0.1</c:v>
                </c:pt>
                <c:pt idx="3">
                  <c:v>0.2</c:v>
                </c:pt>
                <c:pt idx="4">
                  <c:v>0.25</c:v>
                </c:pt>
                <c:pt idx="5">
                  <c:v>0.5</c:v>
                </c:pt>
                <c:pt idx="6">
                  <c:v>1</c:v>
                </c:pt>
                <c:pt idx="7">
                  <c:v>2</c:v>
                </c:pt>
                <c:pt idx="8">
                  <c:v>5</c:v>
                </c:pt>
                <c:pt idx="9">
                  <c:v>10</c:v>
                </c:pt>
                <c:pt idx="10">
                  <c:v>100</c:v>
                </c:pt>
                <c:pt idx="11">
                  <c:v>1000</c:v>
                </c:pt>
                <c:pt idx="12">
                  <c:v>10000</c:v>
                </c:pt>
                <c:pt idx="13">
                  <c:v>100000</c:v>
                </c:pt>
                <c:pt idx="14">
                  <c:v>1000000</c:v>
                </c:pt>
              </c:numCache>
            </c:numRef>
          </c:xVal>
          <c:yVal>
            <c:numRef>
              <c:f>'Benson et al_2014  v1.4'!$S$9:$S$23</c:f>
              <c:numCache>
                <c:formatCode>General</c:formatCode>
                <c:ptCount val="15"/>
                <c:pt idx="0">
                  <c:v>0.33333332792595971</c:v>
                </c:pt>
                <c:pt idx="1">
                  <c:v>0.33333279259745369</c:v>
                </c:pt>
                <c:pt idx="2">
                  <c:v>0.33327927454337064</c:v>
                </c:pt>
                <c:pt idx="3">
                  <c:v>0.33311727732360052</c:v>
                </c:pt>
                <c:pt idx="4">
                  <c:v>0.33299595542174298</c:v>
                </c:pt>
                <c:pt idx="5">
                  <c:v>0.33199076376316505</c:v>
                </c:pt>
                <c:pt idx="6">
                  <c:v>0.32807103032650553</c:v>
                </c:pt>
                <c:pt idx="7">
                  <c:v>0.31383567240430721</c:v>
                </c:pt>
                <c:pt idx="8">
                  <c:v>0.25160081218073616</c:v>
                </c:pt>
                <c:pt idx="9">
                  <c:v>0.17549431937577095</c:v>
                </c:pt>
                <c:pt idx="10">
                  <c:v>5.5256178208740805E-2</c:v>
                </c:pt>
                <c:pt idx="11">
                  <c:v>4.1527664703608962E-2</c:v>
                </c:pt>
                <c:pt idx="12">
                  <c:v>4.0152768521406153E-2</c:v>
                </c:pt>
                <c:pt idx="13">
                  <c:v>4.0015276854191706E-2</c:v>
                </c:pt>
                <c:pt idx="14">
                  <c:v>4.0001527685421222E-2</c:v>
                </c:pt>
              </c:numCache>
            </c:numRef>
          </c:yVal>
          <c:smooth val="1"/>
          <c:extLst>
            <c:ext xmlns:c16="http://schemas.microsoft.com/office/drawing/2014/chart" uri="{C3380CC4-5D6E-409C-BE32-E72D297353CC}">
              <c16:uniqueId val="{00000008-908C-447A-B556-6CBAEBB9B736}"/>
            </c:ext>
          </c:extLst>
        </c:ser>
        <c:ser>
          <c:idx val="9"/>
          <c:order val="9"/>
          <c:tx>
            <c:v>Benson et al 2014 -Wetting</c:v>
          </c:tx>
          <c:spPr>
            <a:ln>
              <a:solidFill>
                <a:srgbClr val="92D050"/>
              </a:solidFill>
              <a:prstDash val="sysDash"/>
            </a:ln>
          </c:spPr>
          <c:marker>
            <c:symbol val="none"/>
          </c:marker>
          <c:xVal>
            <c:numRef>
              <c:f>'Benson et al_2014  v1.4'!$R$9:$R$23</c:f>
              <c:numCache>
                <c:formatCode>General</c:formatCode>
                <c:ptCount val="15"/>
                <c:pt idx="0">
                  <c:v>1E-3</c:v>
                </c:pt>
                <c:pt idx="1">
                  <c:v>0.01</c:v>
                </c:pt>
                <c:pt idx="2">
                  <c:v>0.1</c:v>
                </c:pt>
                <c:pt idx="3">
                  <c:v>0.2</c:v>
                </c:pt>
                <c:pt idx="4">
                  <c:v>0.25</c:v>
                </c:pt>
                <c:pt idx="5">
                  <c:v>0.5</c:v>
                </c:pt>
                <c:pt idx="6">
                  <c:v>1</c:v>
                </c:pt>
                <c:pt idx="7">
                  <c:v>2</c:v>
                </c:pt>
                <c:pt idx="8">
                  <c:v>5</c:v>
                </c:pt>
                <c:pt idx="9">
                  <c:v>10</c:v>
                </c:pt>
                <c:pt idx="10">
                  <c:v>100</c:v>
                </c:pt>
                <c:pt idx="11">
                  <c:v>1000</c:v>
                </c:pt>
                <c:pt idx="12">
                  <c:v>10000</c:v>
                </c:pt>
                <c:pt idx="13">
                  <c:v>100000</c:v>
                </c:pt>
                <c:pt idx="14">
                  <c:v>1000000</c:v>
                </c:pt>
              </c:numCache>
            </c:numRef>
          </c:xVal>
          <c:yVal>
            <c:numRef>
              <c:f>'Benson et al_2014  v1.4'!$V$9:$V$23</c:f>
              <c:numCache>
                <c:formatCode>General</c:formatCode>
                <c:ptCount val="15"/>
                <c:pt idx="0">
                  <c:v>0.33333332146044475</c:v>
                </c:pt>
                <c:pt idx="1">
                  <c:v>0.33333214605161587</c:v>
                </c:pt>
                <c:pt idx="2">
                  <c:v>0.33321467647678799</c:v>
                </c:pt>
                <c:pt idx="3">
                  <c:v>0.33285956801369032</c:v>
                </c:pt>
                <c:pt idx="4">
                  <c:v>0.33259408174081689</c:v>
                </c:pt>
                <c:pt idx="5">
                  <c:v>0.33040941731447948</c:v>
                </c:pt>
                <c:pt idx="6">
                  <c:v>0.32213587319429843</c:v>
                </c:pt>
                <c:pt idx="7">
                  <c:v>0.29494660512324644</c:v>
                </c:pt>
                <c:pt idx="8">
                  <c:v>0.20868860703889638</c:v>
                </c:pt>
                <c:pt idx="9">
                  <c:v>0.13726496665858556</c:v>
                </c:pt>
                <c:pt idx="10">
                  <c:v>5.0303406675568027E-2</c:v>
                </c:pt>
                <c:pt idx="11">
                  <c:v>4.103097049700493E-2</c:v>
                </c:pt>
                <c:pt idx="12">
                  <c:v>4.0103097680113345E-2</c:v>
                </c:pt>
                <c:pt idx="13">
                  <c:v>4.0010309768641755E-2</c:v>
                </c:pt>
                <c:pt idx="14">
                  <c:v>4.0001030976864804E-2</c:v>
                </c:pt>
              </c:numCache>
            </c:numRef>
          </c:yVal>
          <c:smooth val="1"/>
          <c:extLst>
            <c:ext xmlns:c16="http://schemas.microsoft.com/office/drawing/2014/chart" uri="{C3380CC4-5D6E-409C-BE32-E72D297353CC}">
              <c16:uniqueId val="{00000009-908C-447A-B556-6CBAEBB9B736}"/>
            </c:ext>
          </c:extLst>
        </c:ser>
        <c:ser>
          <c:idx val="10"/>
          <c:order val="10"/>
          <c:tx>
            <c:v>Saxton et al 1986</c:v>
          </c:tx>
          <c:spPr>
            <a:ln>
              <a:solidFill>
                <a:srgbClr val="4764F7"/>
              </a:solidFill>
            </a:ln>
          </c:spPr>
          <c:marker>
            <c:symbol val="none"/>
          </c:marker>
          <c:xVal>
            <c:numRef>
              <c:f>'Saxton et al 1986  v1.4'!$N$32:$N$46</c:f>
              <c:numCache>
                <c:formatCode>General</c:formatCode>
                <c:ptCount val="15"/>
                <c:pt idx="0">
                  <c:v>1E-3</c:v>
                </c:pt>
                <c:pt idx="1">
                  <c:v>0.01</c:v>
                </c:pt>
                <c:pt idx="2">
                  <c:v>0.1</c:v>
                </c:pt>
                <c:pt idx="3">
                  <c:v>0.2</c:v>
                </c:pt>
                <c:pt idx="4">
                  <c:v>0.25</c:v>
                </c:pt>
                <c:pt idx="5">
                  <c:v>0.5</c:v>
                </c:pt>
                <c:pt idx="6">
                  <c:v>1</c:v>
                </c:pt>
                <c:pt idx="7">
                  <c:v>2</c:v>
                </c:pt>
                <c:pt idx="8">
                  <c:v>5</c:v>
                </c:pt>
                <c:pt idx="9">
                  <c:v>10</c:v>
                </c:pt>
                <c:pt idx="10">
                  <c:v>100</c:v>
                </c:pt>
                <c:pt idx="11">
                  <c:v>1000</c:v>
                </c:pt>
                <c:pt idx="12">
                  <c:v>10000</c:v>
                </c:pt>
                <c:pt idx="13">
                  <c:v>100000</c:v>
                </c:pt>
                <c:pt idx="14">
                  <c:v>1000000</c:v>
                </c:pt>
              </c:numCache>
            </c:numRef>
          </c:xVal>
          <c:yVal>
            <c:numRef>
              <c:f>'Saxton et al 1986  v1.4'!$O$32:$O$46</c:f>
              <c:numCache>
                <c:formatCode>General</c:formatCode>
                <c:ptCount val="15"/>
                <c:pt idx="0">
                  <c:v>0.33333333333333331</c:v>
                </c:pt>
                <c:pt idx="1">
                  <c:v>0.33333333333333331</c:v>
                </c:pt>
                <c:pt idx="2">
                  <c:v>0.33333333333333331</c:v>
                </c:pt>
                <c:pt idx="3">
                  <c:v>0.33333333333333331</c:v>
                </c:pt>
                <c:pt idx="4">
                  <c:v>0.33333333333333331</c:v>
                </c:pt>
                <c:pt idx="5">
                  <c:v>0.33333333333333331</c:v>
                </c:pt>
                <c:pt idx="6">
                  <c:v>0.33333333333333331</c:v>
                </c:pt>
                <c:pt idx="7">
                  <c:v>0.33333333333333331</c:v>
                </c:pt>
                <c:pt idx="8">
                  <c:v>0.33333333333333331</c:v>
                </c:pt>
                <c:pt idx="9">
                  <c:v>0.33333333333333331</c:v>
                </c:pt>
                <c:pt idx="10">
                  <c:v>0.32834660626111511</c:v>
                </c:pt>
                <c:pt idx="11">
                  <c:v>0.20847845940016851</c:v>
                </c:pt>
                <c:pt idx="12">
                  <c:v>0.1323700845541978</c:v>
                </c:pt>
                <c:pt idx="13">
                  <c:v>8.4046281497374309E-2</c:v>
                </c:pt>
                <c:pt idx="14">
                  <c:v>5.3363850732026062E-2</c:v>
                </c:pt>
              </c:numCache>
            </c:numRef>
          </c:yVal>
          <c:smooth val="1"/>
          <c:extLst>
            <c:ext xmlns:c16="http://schemas.microsoft.com/office/drawing/2014/chart" uri="{C3380CC4-5D6E-409C-BE32-E72D297353CC}">
              <c16:uniqueId val="{0000000A-908C-447A-B556-6CBAEBB9B736}"/>
            </c:ext>
          </c:extLst>
        </c:ser>
        <c:dLbls>
          <c:showLegendKey val="0"/>
          <c:showVal val="0"/>
          <c:showCatName val="0"/>
          <c:showSerName val="0"/>
          <c:showPercent val="0"/>
          <c:showBubbleSize val="0"/>
        </c:dLbls>
        <c:axId val="383793152"/>
        <c:axId val="383793544"/>
      </c:scatterChart>
      <c:valAx>
        <c:axId val="383793152"/>
        <c:scaling>
          <c:logBase val="10"/>
          <c:orientation val="minMax"/>
          <c:max val="1000000"/>
          <c:min val="1.0000000000000005E-2"/>
        </c:scaling>
        <c:delete val="0"/>
        <c:axPos val="b"/>
        <c:majorGridlines/>
        <c:minorGridlines/>
        <c:numFmt formatCode="General" sourceLinked="1"/>
        <c:majorTickMark val="out"/>
        <c:minorTickMark val="none"/>
        <c:tickLblPos val="nextTo"/>
        <c:crossAx val="383793544"/>
        <c:crosses val="autoZero"/>
        <c:crossBetween val="midCat"/>
      </c:valAx>
      <c:valAx>
        <c:axId val="383793544"/>
        <c:scaling>
          <c:orientation val="minMax"/>
          <c:min val="0"/>
        </c:scaling>
        <c:delete val="0"/>
        <c:axPos val="l"/>
        <c:majorGridlines/>
        <c:numFmt formatCode="General" sourceLinked="1"/>
        <c:majorTickMark val="out"/>
        <c:minorTickMark val="none"/>
        <c:tickLblPos val="nextTo"/>
        <c:crossAx val="383793152"/>
        <c:crossesAt val="1.0000000000000109E-4"/>
        <c:crossBetween val="midCat"/>
      </c:valAx>
      <c:spPr>
        <a:ln>
          <a:solidFill>
            <a:schemeClr val="bg1">
              <a:lumMod val="65000"/>
            </a:schemeClr>
          </a:solidFill>
        </a:ln>
      </c:spPr>
    </c:plotArea>
    <c:legend>
      <c:legendPos val="r"/>
      <c:layout>
        <c:manualLayout>
          <c:xMode val="edge"/>
          <c:yMode val="edge"/>
          <c:x val="0.64914047161428612"/>
          <c:y val="5.9563276239954582E-2"/>
          <c:w val="0.22230977033382637"/>
          <c:h val="0.45569770273561166"/>
        </c:manualLayout>
      </c:layout>
      <c:overlay val="0"/>
      <c:spPr>
        <a:solidFill>
          <a:schemeClr val="lt1"/>
        </a:solidFill>
        <a:ln>
          <a:solidFill>
            <a:schemeClr val="lt1">
              <a:shade val="50000"/>
            </a:schemeClr>
          </a:solidFill>
        </a:ln>
      </c:spPr>
    </c:legend>
    <c:plotVisOnly val="1"/>
    <c:dispBlanksAs val="span"/>
    <c:showDLblsOverMax val="0"/>
  </c:chart>
  <c:spPr>
    <a:noFill/>
    <a:ln>
      <a:noFill/>
    </a:ln>
  </c:spPr>
  <c:printSettings>
    <c:headerFooter/>
    <c:pageMargins b="0.75000000000000466" l="0.70000000000000062" r="0.70000000000000062" t="0.75000000000000466" header="0.30000000000000032" footer="0.30000000000000032"/>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s>
</file>

<file path=xl/drawings/_rels/drawing9.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_rels/drawing10.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11" Type="http://schemas.openxmlformats.org/officeDocument/2006/relationships/image" Target="../media/image24.emf"/><Relationship Id="rId5" Type="http://schemas.openxmlformats.org/officeDocument/2006/relationships/image" Target="../media/image18.emf"/><Relationship Id="rId10" Type="http://schemas.openxmlformats.org/officeDocument/2006/relationships/image" Target="../media/image23.emf"/><Relationship Id="rId4" Type="http://schemas.openxmlformats.org/officeDocument/2006/relationships/image" Target="../media/image17.emf"/><Relationship Id="rId9" Type="http://schemas.openxmlformats.org/officeDocument/2006/relationships/image" Target="../media/image22.emf"/></Relationships>
</file>

<file path=xl/drawings/_rels/drawing11.x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 Id="rId5" Type="http://schemas.openxmlformats.org/officeDocument/2006/relationships/image" Target="../media/image29.emf"/><Relationship Id="rId4" Type="http://schemas.openxmlformats.org/officeDocument/2006/relationships/image" Target="../media/image28.emf"/></Relationships>
</file>

<file path=xl/drawings/_rels/drawing12.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1.emf"/><Relationship Id="rId1" Type="http://schemas.openxmlformats.org/officeDocument/2006/relationships/image" Target="../media/image30.emf"/><Relationship Id="rId4" Type="http://schemas.openxmlformats.org/officeDocument/2006/relationships/image" Target="../media/image33.emf"/></Relationships>
</file>

<file path=xl/drawings/_rels/drawing13.x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 Id="rId4" Type="http://schemas.openxmlformats.org/officeDocument/2006/relationships/image" Target="../media/image37.emf"/></Relationships>
</file>

<file path=xl/drawings/_rels/drawing14.x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5" Type="http://schemas.openxmlformats.org/officeDocument/2006/relationships/image" Target="../media/image42.emf"/><Relationship Id="rId4"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xdr:twoCellAnchor>
    <xdr:from>
      <xdr:col>0</xdr:col>
      <xdr:colOff>171449</xdr:colOff>
      <xdr:row>0</xdr:row>
      <xdr:rowOff>133346</xdr:rowOff>
    </xdr:from>
    <xdr:to>
      <xdr:col>13</xdr:col>
      <xdr:colOff>95250</xdr:colOff>
      <xdr:row>56</xdr:row>
      <xdr:rowOff>19050</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171449" y="133346"/>
          <a:ext cx="7848601" cy="10591804"/>
        </a:xfrm>
        <a:prstGeom prst="rect">
          <a:avLst/>
        </a:prstGeom>
        <a:solidFill>
          <a:srgbClr val="B6F9FC">
            <a:alpha val="69000"/>
          </a:srgbClr>
        </a:solidFill>
        <a:ln w="41275" cmpd="thinThick">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endParaRPr lang="en-US" sz="1100"/>
        </a:p>
        <a:p>
          <a:endParaRPr lang="en-US" sz="1400"/>
        </a:p>
        <a:p>
          <a:pPr algn="ctr"/>
          <a:r>
            <a:rPr lang="en-US" sz="1400" b="1">
              <a:solidFill>
                <a:sysClr val="windowText" lastClr="000000"/>
              </a:solidFill>
            </a:rPr>
            <a:t>Soil Water Characteristic Curves (SWCC)</a:t>
          </a:r>
          <a:r>
            <a:rPr lang="en-US" sz="1400" b="1" baseline="0">
              <a:solidFill>
                <a:sysClr val="windowText" lastClr="000000"/>
              </a:solidFill>
            </a:rPr>
            <a:t> </a:t>
          </a:r>
          <a:endParaRPr lang="en-US" sz="1400" b="1">
            <a:solidFill>
              <a:sysClr val="windowText" lastClr="000000"/>
            </a:solidFill>
          </a:endParaRPr>
        </a:p>
        <a:p>
          <a:pPr algn="ctr" eaLnBrk="1" fontAlgn="auto" latinLnBrk="0" hangingPunct="1"/>
          <a:r>
            <a:rPr lang="en-US" sz="1100" b="1" baseline="0">
              <a:solidFill>
                <a:schemeClr val="dk1"/>
              </a:solidFill>
              <a:latin typeface="+mn-lt"/>
              <a:ea typeface="+mn-ea"/>
              <a:cs typeface="+mn-cs"/>
            </a:rPr>
            <a:t>Spreadsheet ver 1.4</a:t>
          </a:r>
        </a:p>
        <a:p>
          <a:pPr eaLnBrk="1" fontAlgn="auto" latinLnBrk="0" hangingPunct="1"/>
          <a:endParaRPr lang="en-US" sz="1100" b="1" baseline="0">
            <a:solidFill>
              <a:schemeClr val="dk1"/>
            </a:solidFill>
            <a:latin typeface="+mn-lt"/>
            <a:ea typeface="+mn-ea"/>
            <a:cs typeface="+mn-cs"/>
          </a:endParaRPr>
        </a:p>
        <a:p>
          <a:pPr eaLnBrk="1" fontAlgn="auto" latinLnBrk="0" hangingPunct="1"/>
          <a:r>
            <a:rPr lang="en-US" sz="1100" baseline="0">
              <a:solidFill>
                <a:schemeClr val="dk1"/>
              </a:solidFill>
              <a:latin typeface="+mn-lt"/>
              <a:ea typeface="+mn-ea"/>
              <a:cs typeface="+mn-cs"/>
            </a:rPr>
            <a:t>To estimate the SWCC for transient seepage analysis, </a:t>
          </a:r>
          <a:r>
            <a:rPr lang="en-US" sz="1100" b="0" baseline="0">
              <a:solidFill>
                <a:schemeClr val="dk1"/>
              </a:solidFill>
              <a:latin typeface="+mn-lt"/>
              <a:ea typeface="+mn-ea"/>
              <a:cs typeface="+mn-cs"/>
            </a:rPr>
            <a:t>SEEP/W</a:t>
          </a:r>
          <a:r>
            <a:rPr lang="en-US" sz="1100" baseline="0">
              <a:solidFill>
                <a:schemeClr val="dk1"/>
              </a:solidFill>
              <a:latin typeface="+mn-lt"/>
              <a:ea typeface="+mn-ea"/>
              <a:cs typeface="+mn-cs"/>
            </a:rPr>
            <a:t> uses  two closed form models, van Genuchten (1980) and Fredlund and Xing (1994), as well as the Modified Kovacs model (Aubertin et al. 2003) which utilizes basic index soil properties. SEEP/W provides a list of sample SWCCs for six different soils, but the user manual states that they should be used for initial checking only.  SEEP/W user</a:t>
          </a:r>
          <a:r>
            <a:rPr lang="en-US" sz="1100">
              <a:solidFill>
                <a:schemeClr val="dk1"/>
              </a:solidFill>
              <a:latin typeface="+mn-lt"/>
              <a:ea typeface="+mn-ea"/>
              <a:cs typeface="+mn-cs"/>
            </a:rPr>
            <a:t>s are able to insert </a:t>
          </a:r>
          <a:r>
            <a:rPr lang="en-US" sz="1100" baseline="0">
              <a:solidFill>
                <a:schemeClr val="dk1"/>
              </a:solidFill>
              <a:latin typeface="+mn-lt"/>
              <a:ea typeface="+mn-ea"/>
              <a:cs typeface="+mn-cs"/>
            </a:rPr>
            <a:t>add-in functions or </a:t>
          </a:r>
          <a:r>
            <a:rPr lang="en-US" sz="1100">
              <a:solidFill>
                <a:schemeClr val="dk1"/>
              </a:solidFill>
              <a:latin typeface="+mn-lt"/>
              <a:ea typeface="+mn-ea"/>
              <a:cs typeface="+mn-cs"/>
            </a:rPr>
            <a:t>input the SWCC as discrete coordinates based on available methods  that estimate the curves based on grain</a:t>
          </a:r>
          <a:r>
            <a:rPr lang="en-US" sz="1100" baseline="0">
              <a:solidFill>
                <a:schemeClr val="dk1"/>
              </a:solidFill>
              <a:latin typeface="+mn-lt"/>
              <a:ea typeface="+mn-ea"/>
              <a:cs typeface="+mn-cs"/>
            </a:rPr>
            <a:t> </a:t>
          </a:r>
          <a:r>
            <a:rPr lang="en-US" sz="1100">
              <a:solidFill>
                <a:schemeClr val="dk1"/>
              </a:solidFill>
              <a:latin typeface="+mn-lt"/>
              <a:ea typeface="+mn-ea"/>
              <a:cs typeface="+mn-cs"/>
            </a:rPr>
            <a:t>size information, soil type, or previously published data. </a:t>
          </a:r>
          <a:endParaRPr lang="en-US"/>
        </a:p>
        <a:p>
          <a:pPr eaLnBrk="1" fontAlgn="base" latinLnBrk="0" hangingPunct="1"/>
          <a:endParaRPr lang="en-US" sz="1100" baseline="0">
            <a:solidFill>
              <a:schemeClr val="dk1"/>
            </a:solidFill>
            <a:latin typeface="+mn-lt"/>
            <a:ea typeface="+mn-ea"/>
            <a:cs typeface="+mn-cs"/>
          </a:endParaRPr>
        </a:p>
        <a:p>
          <a:pPr eaLnBrk="1" fontAlgn="base" latinLnBrk="0" hangingPunct="1"/>
          <a:r>
            <a:rPr lang="en-US" sz="1100" baseline="0">
              <a:solidFill>
                <a:schemeClr val="dk1"/>
              </a:solidFill>
              <a:latin typeface="+mn-lt"/>
              <a:ea typeface="+mn-ea"/>
              <a:cs typeface="+mn-cs"/>
            </a:rPr>
            <a:t>SWCCs can be measured in the lab; however, due to the cost, time, and </a:t>
          </a:r>
          <a:r>
            <a:rPr lang="en-US" sz="1100">
              <a:solidFill>
                <a:schemeClr val="dk1"/>
              </a:solidFill>
              <a:latin typeface="+mn-lt"/>
              <a:ea typeface="+mn-ea"/>
              <a:cs typeface="+mn-cs"/>
            </a:rPr>
            <a:t>high variability in the results, empirical </a:t>
          </a:r>
          <a:r>
            <a:rPr lang="en-US" sz="1100" baseline="0">
              <a:solidFill>
                <a:schemeClr val="dk1"/>
              </a:solidFill>
              <a:latin typeface="+mn-lt"/>
              <a:ea typeface="+mn-ea"/>
              <a:cs typeface="+mn-cs"/>
            </a:rPr>
            <a:t>equations were developed using multiple regression approaches on databases consisting of a large number of measured SWCCs. </a:t>
          </a:r>
          <a:r>
            <a:rPr lang="en-US" sz="1100">
              <a:solidFill>
                <a:schemeClr val="dk1"/>
              </a:solidFill>
              <a:latin typeface="+mn-lt"/>
              <a:ea typeface="+mn-ea"/>
              <a:cs typeface="+mn-cs"/>
            </a:rPr>
            <a:t>This spreadsheet uses different methods to calculate the input parameters</a:t>
          </a:r>
          <a:r>
            <a:rPr lang="en-US" sz="1100" baseline="0">
              <a:solidFill>
                <a:schemeClr val="dk1"/>
              </a:solidFill>
              <a:latin typeface="+mn-lt"/>
              <a:ea typeface="+mn-ea"/>
              <a:cs typeface="+mn-cs"/>
            </a:rPr>
            <a:t> required by SEEP/W  for van Genuchten and Fredlund and Xing equations. These methods use  basic soil properties  like grain size distribution and Atterberg  limits to estimate the equation parameters. The spreadsheet calculates the SWCCs using seven different methods for  comparison.  It also compares  four closed form models:  Gardner (1958), Brooks and Corey (1964), van Genuchten (1980), and Fredlund and Xing (1994), given the model parameters are known.</a:t>
          </a:r>
          <a:endParaRPr lang="en-US" sz="1100" b="1" baseline="0">
            <a:solidFill>
              <a:schemeClr val="dk1"/>
            </a:solidFill>
            <a:latin typeface="+mn-lt"/>
            <a:ea typeface="+mn-ea"/>
            <a:cs typeface="+mn-cs"/>
          </a:endParaRPr>
        </a:p>
        <a:p>
          <a:pPr fontAlgn="base"/>
          <a:endParaRPr lang="en-US" sz="1100" b="1" baseline="0">
            <a:solidFill>
              <a:schemeClr val="dk1"/>
            </a:solidFill>
            <a:latin typeface="+mn-lt"/>
            <a:ea typeface="+mn-ea"/>
            <a:cs typeface="+mn-cs"/>
          </a:endParaRPr>
        </a:p>
        <a:p>
          <a:r>
            <a:rPr lang="en-US" sz="1100" b="1" baseline="0">
              <a:solidFill>
                <a:schemeClr val="dk1"/>
              </a:solidFill>
              <a:latin typeface="+mn-lt"/>
              <a:ea typeface="+mn-ea"/>
              <a:cs typeface="+mn-cs"/>
            </a:rPr>
            <a:t>How to Use the Spreadsheet</a:t>
          </a:r>
          <a:endParaRPr lang="en-US"/>
        </a:p>
        <a:p>
          <a:r>
            <a:rPr lang="en-US" sz="1100" b="1" baseline="0">
              <a:solidFill>
                <a:schemeClr val="dk1"/>
              </a:solidFill>
              <a:latin typeface="+mn-lt"/>
              <a:ea typeface="+mn-ea"/>
              <a:cs typeface="+mn-cs"/>
            </a:rPr>
            <a:t>1) </a:t>
          </a:r>
          <a:r>
            <a:rPr lang="en-US" sz="1100" b="0" baseline="0">
              <a:solidFill>
                <a:schemeClr val="dk1"/>
              </a:solidFill>
              <a:latin typeface="+mn-lt"/>
              <a:ea typeface="+mn-ea"/>
              <a:cs typeface="+mn-cs"/>
            </a:rPr>
            <a:t>If the  equation parameters of the closed form models are known, the user can use the first tab to generate the SWCCs.</a:t>
          </a:r>
          <a:endParaRPr lang="en-US"/>
        </a:p>
        <a:p>
          <a:r>
            <a:rPr lang="en-US" sz="1100" b="1" baseline="0">
              <a:solidFill>
                <a:schemeClr val="dk1"/>
              </a:solidFill>
              <a:latin typeface="+mn-lt"/>
              <a:ea typeface="+mn-ea"/>
              <a:cs typeface="+mn-cs"/>
            </a:rPr>
            <a:t>2) </a:t>
          </a:r>
          <a:r>
            <a:rPr lang="en-US" sz="1100" b="0" baseline="0">
              <a:solidFill>
                <a:schemeClr val="dk1"/>
              </a:solidFill>
              <a:latin typeface="+mn-lt"/>
              <a:ea typeface="+mn-ea"/>
              <a:cs typeface="+mn-cs"/>
            </a:rPr>
            <a:t>If  only the soil index properties are known, the </a:t>
          </a:r>
          <a:r>
            <a:rPr lang="en-US" sz="1100" baseline="0">
              <a:solidFill>
                <a:schemeClr val="dk1"/>
              </a:solidFill>
              <a:latin typeface="+mn-lt"/>
              <a:ea typeface="+mn-ea"/>
              <a:cs typeface="+mn-cs"/>
            </a:rPr>
            <a:t>user  will input them in either of the </a:t>
          </a:r>
          <a:r>
            <a:rPr lang="en-US" sz="1100" i="1" baseline="0">
              <a:solidFill>
                <a:schemeClr val="dk1"/>
              </a:solidFill>
              <a:latin typeface="+mn-lt"/>
              <a:ea typeface="+mn-ea"/>
              <a:cs typeface="+mn-cs"/>
            </a:rPr>
            <a:t>red</a:t>
          </a:r>
          <a:r>
            <a:rPr lang="en-US" sz="1100" baseline="0">
              <a:solidFill>
                <a:schemeClr val="dk1"/>
              </a:solidFill>
              <a:latin typeface="+mn-lt"/>
              <a:ea typeface="+mn-ea"/>
              <a:cs typeface="+mn-cs"/>
            </a:rPr>
            <a:t> tab spreadsheets; "SWCC - Fine Grained" or "SWCC - Coarse Grained", based on the  classification of the soil being modeled. </a:t>
          </a:r>
          <a:endParaRPr lang="en-US"/>
        </a:p>
        <a:p>
          <a:r>
            <a:rPr lang="en-US" sz="1100" b="1" baseline="0">
              <a:solidFill>
                <a:schemeClr val="dk1"/>
              </a:solidFill>
              <a:latin typeface="+mn-lt"/>
              <a:ea typeface="+mn-ea"/>
              <a:cs typeface="+mn-cs"/>
            </a:rPr>
            <a:t>3) </a:t>
          </a:r>
          <a:r>
            <a:rPr lang="en-US" sz="1100" baseline="0">
              <a:solidFill>
                <a:schemeClr val="dk1"/>
              </a:solidFill>
              <a:latin typeface="+mn-lt"/>
              <a:ea typeface="+mn-ea"/>
              <a:cs typeface="+mn-cs"/>
            </a:rPr>
            <a:t>The generated plots and model parameters  required by SEEP/W  for van Genuchten and Fredlund and Xing equations will be shown on the same tab. </a:t>
          </a:r>
          <a:endParaRPr lang="en-US"/>
        </a:p>
        <a:p>
          <a:pPr fontAlgn="base"/>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More details about the used methods are found on the </a:t>
          </a:r>
          <a:r>
            <a:rPr lang="en-US" sz="1100" i="1" baseline="0">
              <a:solidFill>
                <a:schemeClr val="dk1"/>
              </a:solidFill>
              <a:latin typeface="+mn-lt"/>
              <a:ea typeface="+mn-ea"/>
              <a:cs typeface="+mn-cs"/>
            </a:rPr>
            <a:t>yellow</a:t>
          </a:r>
          <a:r>
            <a:rPr lang="en-US" sz="1100" baseline="0">
              <a:solidFill>
                <a:schemeClr val="dk1"/>
              </a:solidFill>
              <a:latin typeface="+mn-lt"/>
              <a:ea typeface="+mn-ea"/>
              <a:cs typeface="+mn-cs"/>
            </a:rPr>
            <a:t> tabs in the enclosed report.</a:t>
          </a:r>
          <a:endParaRPr lang="en-US"/>
        </a:p>
        <a:p>
          <a:pPr fontAlgn="base"/>
          <a:endParaRPr lang="en-US" sz="1100" baseline="0">
            <a:solidFill>
              <a:schemeClr val="dk1"/>
            </a:solidFill>
            <a:latin typeface="+mn-lt"/>
            <a:ea typeface="+mn-ea"/>
            <a:cs typeface="+mn-cs"/>
          </a:endParaRPr>
        </a:p>
        <a:p>
          <a:r>
            <a:rPr lang="en-US" sz="1100" b="1">
              <a:solidFill>
                <a:schemeClr val="dk1"/>
              </a:solidFill>
              <a:latin typeface="+mn-lt"/>
              <a:ea typeface="+mn-ea"/>
              <a:cs typeface="+mn-cs"/>
            </a:rPr>
            <a:t>References</a:t>
          </a:r>
          <a:endParaRPr lang="en-US"/>
        </a:p>
        <a:p>
          <a:r>
            <a:rPr lang="en-US" sz="1100" b="0">
              <a:solidFill>
                <a:schemeClr val="dk1"/>
              </a:solidFill>
              <a:latin typeface="+mn-lt"/>
              <a:ea typeface="+mn-ea"/>
              <a:cs typeface="+mn-cs"/>
            </a:rPr>
            <a:t>Aubertin, </a:t>
          </a:r>
          <a:r>
            <a:rPr lang="en-US" sz="1100">
              <a:solidFill>
                <a:schemeClr val="dk1"/>
              </a:solidFill>
              <a:latin typeface="+mn-lt"/>
              <a:ea typeface="+mn-ea"/>
              <a:cs typeface="+mn-cs"/>
            </a:rPr>
            <a:t>M., </a:t>
          </a:r>
          <a:r>
            <a:rPr lang="en-US" sz="1100" baseline="0">
              <a:solidFill>
                <a:schemeClr val="dk1"/>
              </a:solidFill>
              <a:latin typeface="+mn-lt"/>
              <a:ea typeface="+mn-ea"/>
              <a:cs typeface="+mn-cs"/>
            </a:rPr>
            <a:t> M. Mbonimpa, B.Bussiere, and R.P. Chapuis. </a:t>
          </a:r>
          <a:r>
            <a:rPr lang="en-US" sz="1100">
              <a:solidFill>
                <a:schemeClr val="dk1"/>
              </a:solidFill>
              <a:latin typeface="+mn-lt"/>
              <a:ea typeface="+mn-ea"/>
              <a:cs typeface="+mn-cs"/>
            </a:rPr>
            <a:t>2003. A Physically-based model to predict the water retention curve from basic geotechnical properties. </a:t>
          </a:r>
          <a:r>
            <a:rPr lang="en-US" sz="1100" i="1">
              <a:solidFill>
                <a:schemeClr val="dk1"/>
              </a:solidFill>
              <a:latin typeface="+mn-lt"/>
              <a:ea typeface="+mn-ea"/>
              <a:cs typeface="+mn-cs"/>
            </a:rPr>
            <a:t>Canadian Geotechnical Journal</a:t>
          </a:r>
          <a:r>
            <a:rPr lang="en-US" sz="1100">
              <a:solidFill>
                <a:schemeClr val="dk1"/>
              </a:solidFill>
              <a:latin typeface="+mn-lt"/>
              <a:ea typeface="+mn-ea"/>
              <a:cs typeface="+mn-cs"/>
            </a:rPr>
            <a:t>  40(6):</a:t>
          </a:r>
          <a:r>
            <a:rPr lang="en-US" sz="1100" baseline="0">
              <a:solidFill>
                <a:schemeClr val="dk1"/>
              </a:solidFill>
              <a:latin typeface="+mn-lt"/>
              <a:ea typeface="+mn-ea"/>
              <a:cs typeface="+mn-cs"/>
            </a:rPr>
            <a:t> </a:t>
          </a:r>
          <a:r>
            <a:rPr lang="en-US" sz="1100">
              <a:solidFill>
                <a:schemeClr val="dk1"/>
              </a:solidFill>
              <a:latin typeface="+mn-lt"/>
              <a:ea typeface="+mn-ea"/>
              <a:cs typeface="+mn-cs"/>
            </a:rPr>
            <a:t>1104-1122.</a:t>
          </a:r>
        </a:p>
        <a:p>
          <a:pPr eaLnBrk="1" fontAlgn="auto" latinLnBrk="0" hangingPunct="1"/>
          <a:endParaRPr lang="en-US" sz="1100">
            <a:solidFill>
              <a:schemeClr val="dk1"/>
            </a:solidFill>
            <a:latin typeface="+mn-lt"/>
            <a:ea typeface="+mn-ea"/>
            <a:cs typeface="+mn-cs"/>
          </a:endParaRPr>
        </a:p>
        <a:p>
          <a:pPr eaLnBrk="1" fontAlgn="auto" latinLnBrk="0" hangingPunct="1"/>
          <a:r>
            <a:rPr lang="en-US" sz="1100">
              <a:solidFill>
                <a:schemeClr val="dk1"/>
              </a:solidFill>
              <a:latin typeface="+mn-lt"/>
              <a:ea typeface="+mn-ea"/>
              <a:cs typeface="+mn-cs"/>
            </a:rPr>
            <a:t>Benson, C., I. Chiang, T. Chalermyanont, and A. Sawangsuriya.</a:t>
          </a:r>
          <a:r>
            <a:rPr lang="en-US" sz="1100" baseline="0">
              <a:solidFill>
                <a:schemeClr val="dk1"/>
              </a:solidFill>
              <a:latin typeface="+mn-lt"/>
              <a:ea typeface="+mn-ea"/>
              <a:cs typeface="+mn-cs"/>
            </a:rPr>
            <a:t> </a:t>
          </a:r>
          <a:r>
            <a:rPr lang="en-US" sz="1100">
              <a:solidFill>
                <a:schemeClr val="dk1"/>
              </a:solidFill>
              <a:latin typeface="+mn-lt"/>
              <a:ea typeface="+mn-ea"/>
              <a:cs typeface="+mn-cs"/>
            </a:rPr>
            <a:t>2014. Estimating van Genuchten parameters </a:t>
          </a:r>
          <a:r>
            <a:rPr lang="el-GR" sz="1100">
              <a:solidFill>
                <a:schemeClr val="dk1"/>
              </a:solidFill>
              <a:latin typeface="+mn-lt"/>
              <a:ea typeface="+mn-ea"/>
              <a:cs typeface="+mn-cs"/>
            </a:rPr>
            <a:t>α </a:t>
          </a:r>
          <a:r>
            <a:rPr lang="en-US" sz="1100">
              <a:solidFill>
                <a:schemeClr val="dk1"/>
              </a:solidFill>
              <a:latin typeface="+mn-lt"/>
              <a:ea typeface="+mn-ea"/>
              <a:cs typeface="+mn-cs"/>
            </a:rPr>
            <a:t>and n for clean sands from particle size distribution data. In </a:t>
          </a:r>
          <a:r>
            <a:rPr lang="en-US" sz="1100" i="1">
              <a:solidFill>
                <a:schemeClr val="dk1"/>
              </a:solidFill>
              <a:latin typeface="+mn-lt"/>
              <a:ea typeface="+mn-ea"/>
              <a:cs typeface="+mn-cs"/>
            </a:rPr>
            <a:t>Soil behavior fundamentals to innovations in geotechnical engineering</a:t>
          </a:r>
          <a:r>
            <a:rPr lang="en-US" sz="1100">
              <a:solidFill>
                <a:schemeClr val="dk1"/>
              </a:solidFill>
              <a:latin typeface="+mn-lt"/>
              <a:ea typeface="+mn-ea"/>
              <a:cs typeface="+mn-cs"/>
            </a:rPr>
            <a:t>. 410-427. </a:t>
          </a:r>
          <a:endParaRPr lang="en-US"/>
        </a:p>
        <a:p>
          <a:pPr eaLnBrk="1" fontAlgn="auto" latinLnBrk="0" hangingPunct="1"/>
          <a:endParaRPr lang="en-US" sz="1100">
            <a:solidFill>
              <a:schemeClr val="dk1"/>
            </a:solidFill>
            <a:latin typeface="+mn-lt"/>
            <a:ea typeface="+mn-ea"/>
            <a:cs typeface="+mn-cs"/>
          </a:endParaRPr>
        </a:p>
        <a:p>
          <a:pPr eaLnBrk="1" fontAlgn="auto" latinLnBrk="0" hangingPunct="1"/>
          <a:r>
            <a:rPr lang="en-US" sz="1100">
              <a:solidFill>
                <a:schemeClr val="dk1"/>
              </a:solidFill>
              <a:latin typeface="+mn-lt"/>
              <a:ea typeface="+mn-ea"/>
              <a:cs typeface="+mn-cs"/>
            </a:rPr>
            <a:t>Brooks, R. H., and A. T. Corey. 1964. Hydraulic properties of porous media. </a:t>
          </a:r>
          <a:r>
            <a:rPr lang="en-US" sz="1100" i="1">
              <a:solidFill>
                <a:schemeClr val="dk1"/>
              </a:solidFill>
              <a:latin typeface="+mn-lt"/>
              <a:ea typeface="+mn-ea"/>
              <a:cs typeface="+mn-cs"/>
            </a:rPr>
            <a:t>Hydrol. Pap.</a:t>
          </a:r>
          <a:r>
            <a:rPr lang="en-US" sz="1100">
              <a:solidFill>
                <a:schemeClr val="dk1"/>
              </a:solidFill>
              <a:latin typeface="+mn-lt"/>
              <a:ea typeface="+mn-ea"/>
              <a:cs typeface="+mn-cs"/>
            </a:rPr>
            <a:t> 3. Colo. State Univ., Fort Collins, CO, 27 pp.</a:t>
          </a:r>
        </a:p>
        <a:p>
          <a:pPr eaLnBrk="1" fontAlgn="auto" latinLnBrk="0" hangingPunct="1"/>
          <a:endParaRPr lang="en-US" sz="1100">
            <a:solidFill>
              <a:schemeClr val="dk1"/>
            </a:solidFill>
            <a:latin typeface="+mn-lt"/>
            <a:ea typeface="+mn-ea"/>
            <a:cs typeface="+mn-cs"/>
          </a:endParaRPr>
        </a:p>
        <a:p>
          <a:pPr eaLnBrk="1" fontAlgn="auto" latinLnBrk="0" hangingPunct="1"/>
          <a:r>
            <a:rPr lang="en-US" sz="1100">
              <a:solidFill>
                <a:schemeClr val="dk1"/>
              </a:solidFill>
              <a:latin typeface="+mn-lt"/>
              <a:ea typeface="+mn-ea"/>
              <a:cs typeface="+mn-cs"/>
            </a:rPr>
            <a:t>Fredlund, D. G., and A. Xing,. 1994. Equations for the soil-water characteristic curve. </a:t>
          </a:r>
          <a:r>
            <a:rPr lang="en-US" sz="1100" i="1">
              <a:solidFill>
                <a:schemeClr val="dk1"/>
              </a:solidFill>
              <a:latin typeface="+mn-lt"/>
              <a:ea typeface="+mn-ea"/>
              <a:cs typeface="+mn-cs"/>
            </a:rPr>
            <a:t>Canadian Geotechnical Journal</a:t>
          </a:r>
          <a:r>
            <a:rPr lang="en-US" sz="1100">
              <a:solidFill>
                <a:schemeClr val="dk1"/>
              </a:solidFill>
              <a:latin typeface="+mn-lt"/>
              <a:ea typeface="+mn-ea"/>
              <a:cs typeface="+mn-cs"/>
            </a:rPr>
            <a:t> 31: 521-532.</a:t>
          </a:r>
          <a:endParaRPr lang="en-US"/>
        </a:p>
        <a:p>
          <a:pPr eaLnBrk="1" fontAlgn="auto" latinLnBrk="0" hangingPunct="1"/>
          <a:endParaRPr lang="en-US" sz="1100">
            <a:solidFill>
              <a:schemeClr val="dk1"/>
            </a:solidFill>
            <a:latin typeface="+mn-lt"/>
            <a:ea typeface="+mn-ea"/>
            <a:cs typeface="+mn-cs"/>
          </a:endParaRPr>
        </a:p>
        <a:p>
          <a:pPr eaLnBrk="1" fontAlgn="auto" latinLnBrk="0" hangingPunct="1"/>
          <a:r>
            <a:rPr lang="en-US" sz="1100">
              <a:solidFill>
                <a:schemeClr val="dk1"/>
              </a:solidFill>
              <a:latin typeface="+mn-lt"/>
              <a:ea typeface="+mn-ea"/>
              <a:cs typeface="+mn-cs"/>
            </a:rPr>
            <a:t>Gardner, W. R. 1958. Some steady state solutions of unsaturated moisture flow equations with applications to evaporation from a water table. </a:t>
          </a:r>
          <a:r>
            <a:rPr lang="en-US" sz="1100" i="1">
              <a:solidFill>
                <a:schemeClr val="dk1"/>
              </a:solidFill>
              <a:latin typeface="+mn-lt"/>
              <a:ea typeface="+mn-ea"/>
              <a:cs typeface="+mn-cs"/>
            </a:rPr>
            <a:t>Soil Sci.</a:t>
          </a:r>
          <a:r>
            <a:rPr lang="en-US" sz="1100">
              <a:solidFill>
                <a:schemeClr val="dk1"/>
              </a:solidFill>
              <a:latin typeface="+mn-lt"/>
              <a:ea typeface="+mn-ea"/>
              <a:cs typeface="+mn-cs"/>
            </a:rPr>
            <a:t> 85 (4):</a:t>
          </a:r>
          <a:r>
            <a:rPr lang="en-US" sz="1100" baseline="0">
              <a:solidFill>
                <a:schemeClr val="dk1"/>
              </a:solidFill>
              <a:latin typeface="+mn-lt"/>
              <a:ea typeface="+mn-ea"/>
              <a:cs typeface="+mn-cs"/>
            </a:rPr>
            <a:t> </a:t>
          </a:r>
          <a:r>
            <a:rPr lang="en-US" sz="1100">
              <a:solidFill>
                <a:schemeClr val="dk1"/>
              </a:solidFill>
              <a:latin typeface="+mn-lt"/>
              <a:ea typeface="+mn-ea"/>
              <a:cs typeface="+mn-cs"/>
            </a:rPr>
            <a:t>228–232.</a:t>
          </a:r>
          <a:endParaRPr lang="en-US"/>
        </a:p>
        <a:p>
          <a:endParaRPr lang="en-US" sz="1100">
            <a:solidFill>
              <a:schemeClr val="dk1"/>
            </a:solidFill>
            <a:latin typeface="+mn-lt"/>
            <a:ea typeface="+mn-ea"/>
            <a:cs typeface="+mn-cs"/>
          </a:endParaRPr>
        </a:p>
        <a:p>
          <a:r>
            <a:rPr lang="en-US" sz="1100">
              <a:solidFill>
                <a:schemeClr val="dk1"/>
              </a:solidFill>
              <a:latin typeface="+mn-lt"/>
              <a:ea typeface="+mn-ea"/>
              <a:cs typeface="+mn-cs"/>
            </a:rPr>
            <a:t>Ghanbarian, A.B. , A. Liaghat,  G.H. Huang, and M. Th. Van Genuchten.  2010. Estimation of the Van Genuchen soil water retention properties from soil textural data. </a:t>
          </a:r>
          <a:r>
            <a:rPr lang="en-US" sz="1100" i="1">
              <a:solidFill>
                <a:schemeClr val="dk1"/>
              </a:solidFill>
              <a:latin typeface="+mn-lt"/>
              <a:ea typeface="+mn-ea"/>
              <a:cs typeface="+mn-cs"/>
            </a:rPr>
            <a:t>Soil Science Society of China </a:t>
          </a:r>
          <a:r>
            <a:rPr lang="en-US" sz="1100">
              <a:solidFill>
                <a:schemeClr val="dk1"/>
              </a:solidFill>
              <a:latin typeface="+mn-lt"/>
              <a:ea typeface="+mn-ea"/>
              <a:cs typeface="+mn-cs"/>
            </a:rPr>
            <a:t>20(4): 465.</a:t>
          </a:r>
          <a:r>
            <a:rPr lang="en-US" sz="1100" baseline="0">
              <a:solidFill>
                <a:schemeClr val="dk1"/>
              </a:solidFill>
              <a:latin typeface="+mn-lt"/>
              <a:ea typeface="+mn-ea"/>
              <a:cs typeface="+mn-cs"/>
            </a:rPr>
            <a:t> Elsevier.</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r>
            <a:rPr lang="en-US" sz="1100">
              <a:solidFill>
                <a:schemeClr val="dk1"/>
              </a:solidFill>
              <a:latin typeface="+mn-lt"/>
              <a:ea typeface="+mn-ea"/>
              <a:cs typeface="+mn-cs"/>
            </a:rPr>
            <a:t>Perera, Y. Y., C.E. Zapata, W.N. Houston, and S.L.</a:t>
          </a:r>
          <a:r>
            <a:rPr lang="en-US" sz="1100" baseline="0">
              <a:solidFill>
                <a:schemeClr val="dk1"/>
              </a:solidFill>
              <a:latin typeface="+mn-lt"/>
              <a:ea typeface="+mn-ea"/>
              <a:cs typeface="+mn-cs"/>
            </a:rPr>
            <a:t> </a:t>
          </a:r>
          <a:r>
            <a:rPr lang="en-US" sz="1100">
              <a:solidFill>
                <a:schemeClr val="dk1"/>
              </a:solidFill>
              <a:latin typeface="+mn-lt"/>
              <a:ea typeface="+mn-ea"/>
              <a:cs typeface="+mn-cs"/>
            </a:rPr>
            <a:t>Houston.</a:t>
          </a:r>
          <a:r>
            <a:rPr lang="en-US" sz="1100" baseline="0">
              <a:solidFill>
                <a:schemeClr val="dk1"/>
              </a:solidFill>
              <a:latin typeface="+mn-lt"/>
              <a:ea typeface="+mn-ea"/>
              <a:cs typeface="+mn-cs"/>
            </a:rPr>
            <a:t> </a:t>
          </a:r>
          <a:r>
            <a:rPr lang="en-US" sz="1100">
              <a:solidFill>
                <a:schemeClr val="dk1"/>
              </a:solidFill>
              <a:latin typeface="+mn-lt"/>
              <a:ea typeface="+mn-ea"/>
              <a:cs typeface="+mn-cs"/>
            </a:rPr>
            <a:t>2005. Prediction of the soil-water characteristic curve based on grain-size-distribution and index properties.</a:t>
          </a:r>
          <a:r>
            <a:rPr lang="en-US" sz="1100" baseline="0">
              <a:solidFill>
                <a:schemeClr val="dk1"/>
              </a:solidFill>
              <a:latin typeface="+mn-lt"/>
              <a:ea typeface="+mn-ea"/>
              <a:cs typeface="+mn-cs"/>
            </a:rPr>
            <a:t> </a:t>
          </a:r>
          <a:r>
            <a:rPr lang="en-US" sz="1100">
              <a:solidFill>
                <a:schemeClr val="dk1"/>
              </a:solidFill>
              <a:latin typeface="+mn-lt"/>
              <a:ea typeface="+mn-ea"/>
              <a:cs typeface="+mn-cs"/>
            </a:rPr>
            <a:t>ASCE Geotechnical Special Publication. 130, Reston, VA :</a:t>
          </a:r>
          <a:r>
            <a:rPr lang="en-US" sz="1100" baseline="0">
              <a:solidFill>
                <a:schemeClr val="dk1"/>
              </a:solidFill>
              <a:latin typeface="+mn-lt"/>
              <a:ea typeface="+mn-ea"/>
              <a:cs typeface="+mn-cs"/>
            </a:rPr>
            <a:t> </a:t>
          </a:r>
          <a:r>
            <a:rPr lang="en-US" sz="1100">
              <a:solidFill>
                <a:schemeClr val="dk1"/>
              </a:solidFill>
              <a:latin typeface="+mn-lt"/>
              <a:ea typeface="+mn-ea"/>
              <a:cs typeface="+mn-cs"/>
            </a:rPr>
            <a:t>49-60.</a:t>
          </a:r>
        </a:p>
        <a:p>
          <a:endParaRPr lang="en-US" sz="1100">
            <a:solidFill>
              <a:schemeClr val="dk1"/>
            </a:solidFill>
            <a:latin typeface="+mn-lt"/>
            <a:ea typeface="+mn-ea"/>
            <a:cs typeface="+mn-cs"/>
          </a:endParaRPr>
        </a:p>
        <a:p>
          <a:pPr eaLnBrk="1" fontAlgn="auto" latinLnBrk="0" hangingPunct="1"/>
          <a:r>
            <a:rPr lang="en-US" sz="1100">
              <a:solidFill>
                <a:schemeClr val="dk1"/>
              </a:solidFill>
              <a:latin typeface="+mn-lt"/>
              <a:ea typeface="+mn-ea"/>
              <a:cs typeface="+mn-cs"/>
            </a:rPr>
            <a:t>Saxton, K. E., W.J. Rauls, J.S. Romberger, and R.I. Papendick 1986. Estimating generalized soil-water characteristics from texture. </a:t>
          </a:r>
          <a:r>
            <a:rPr lang="en-US" sz="1100" i="1">
              <a:solidFill>
                <a:schemeClr val="dk1"/>
              </a:solidFill>
              <a:latin typeface="+mn-lt"/>
              <a:ea typeface="+mn-ea"/>
              <a:cs typeface="+mn-cs"/>
            </a:rPr>
            <a:t>Soil Science Society of America Journal</a:t>
          </a:r>
          <a:r>
            <a:rPr lang="en-US" sz="1100">
              <a:solidFill>
                <a:schemeClr val="dk1"/>
              </a:solidFill>
              <a:latin typeface="+mn-lt"/>
              <a:ea typeface="+mn-ea"/>
              <a:cs typeface="+mn-cs"/>
            </a:rPr>
            <a:t> 50(4): 1031-1036.</a:t>
          </a:r>
        </a:p>
        <a:p>
          <a:endParaRPr lang="en-US" sz="1100">
            <a:solidFill>
              <a:schemeClr val="dk1"/>
            </a:solidFill>
            <a:latin typeface="+mn-lt"/>
            <a:ea typeface="+mn-ea"/>
            <a:cs typeface="+mn-cs"/>
          </a:endParaRPr>
        </a:p>
        <a:p>
          <a:pPr eaLnBrk="1" fontAlgn="auto" latinLnBrk="0" hangingPunct="1"/>
          <a:r>
            <a:rPr lang="en-US" sz="1100">
              <a:solidFill>
                <a:schemeClr val="dk1"/>
              </a:solidFill>
              <a:latin typeface="+mn-lt"/>
              <a:ea typeface="+mn-ea"/>
              <a:cs typeface="+mn-cs"/>
            </a:rPr>
            <a:t>Sleep, M. D. 2011. </a:t>
          </a:r>
          <a:r>
            <a:rPr lang="en-US" sz="1100" i="0">
              <a:solidFill>
                <a:schemeClr val="dk1"/>
              </a:solidFill>
              <a:latin typeface="+mn-lt"/>
              <a:ea typeface="+mn-ea"/>
              <a:cs typeface="+mn-cs"/>
            </a:rPr>
            <a:t>Analysis of transient seepage through levees</a:t>
          </a:r>
          <a:r>
            <a:rPr lang="en-US" sz="1100">
              <a:solidFill>
                <a:schemeClr val="dk1"/>
              </a:solidFill>
              <a:latin typeface="+mn-lt"/>
              <a:ea typeface="+mn-ea"/>
              <a:cs typeface="+mn-cs"/>
            </a:rPr>
            <a:t>. </a:t>
          </a:r>
          <a:r>
            <a:rPr lang="en-US" sz="1100" i="0">
              <a:solidFill>
                <a:schemeClr val="dk1"/>
              </a:solidFill>
              <a:latin typeface="+mn-lt"/>
              <a:ea typeface="+mn-ea"/>
              <a:cs typeface="+mn-cs"/>
            </a:rPr>
            <a:t>PhD diss</a:t>
          </a:r>
          <a:r>
            <a:rPr lang="en-US" sz="1100">
              <a:solidFill>
                <a:schemeClr val="dk1"/>
              </a:solidFill>
              <a:latin typeface="+mn-lt"/>
              <a:ea typeface="+mn-ea"/>
              <a:cs typeface="+mn-cs"/>
            </a:rPr>
            <a:t>. Virginia Polytechnic Institute and State University, Blacksburg, VA.</a:t>
          </a:r>
        </a:p>
        <a:p>
          <a:endParaRPr lang="en-US" sz="1100">
            <a:solidFill>
              <a:schemeClr val="dk1"/>
            </a:solidFill>
            <a:latin typeface="+mn-lt"/>
            <a:ea typeface="+mn-ea"/>
            <a:cs typeface="+mn-cs"/>
          </a:endParaRPr>
        </a:p>
        <a:p>
          <a:r>
            <a:rPr lang="en-US" sz="1100">
              <a:solidFill>
                <a:schemeClr val="dk1"/>
              </a:solidFill>
              <a:latin typeface="+mn-lt"/>
              <a:ea typeface="+mn-ea"/>
              <a:cs typeface="+mn-cs"/>
            </a:rPr>
            <a:t>van Genuchten, M. Th. 1980. A closed-form equation for predicting the hydraulic conductivity of unsaturated soils. </a:t>
          </a:r>
          <a:r>
            <a:rPr lang="en-US" sz="1100" i="1">
              <a:solidFill>
                <a:schemeClr val="dk1"/>
              </a:solidFill>
              <a:latin typeface="+mn-lt"/>
              <a:ea typeface="+mn-ea"/>
              <a:cs typeface="+mn-cs"/>
            </a:rPr>
            <a:t>Soil Science of America</a:t>
          </a:r>
          <a:r>
            <a:rPr lang="en-US" sz="1100">
              <a:solidFill>
                <a:schemeClr val="dk1"/>
              </a:solidFill>
              <a:latin typeface="+mn-lt"/>
              <a:ea typeface="+mn-ea"/>
              <a:cs typeface="+mn-cs"/>
            </a:rPr>
            <a:t> 44:</a:t>
          </a:r>
          <a:r>
            <a:rPr lang="en-US" sz="1100" baseline="0">
              <a:solidFill>
                <a:schemeClr val="dk1"/>
              </a:solidFill>
              <a:latin typeface="+mn-lt"/>
              <a:ea typeface="+mn-ea"/>
              <a:cs typeface="+mn-cs"/>
            </a:rPr>
            <a:t> </a:t>
          </a:r>
          <a:r>
            <a:rPr lang="en-US" sz="1100">
              <a:solidFill>
                <a:schemeClr val="dk1"/>
              </a:solidFill>
              <a:latin typeface="+mn-lt"/>
              <a:ea typeface="+mn-ea"/>
              <a:cs typeface="+mn-cs"/>
            </a:rPr>
            <a:t>892-898.</a:t>
          </a:r>
          <a:endParaRPr lang="en-US"/>
        </a:p>
        <a:p>
          <a:endParaRPr lang="en-US" sz="1100">
            <a:solidFill>
              <a:schemeClr val="dk1"/>
            </a:solidFill>
            <a:latin typeface="+mn-lt"/>
            <a:ea typeface="+mn-ea"/>
            <a:cs typeface="+mn-cs"/>
          </a:endParaRPr>
        </a:p>
        <a:p>
          <a:r>
            <a:rPr lang="en-US" sz="1100">
              <a:solidFill>
                <a:schemeClr val="dk1"/>
              </a:solidFill>
              <a:latin typeface="+mn-lt"/>
              <a:ea typeface="+mn-ea"/>
              <a:cs typeface="+mn-cs"/>
            </a:rPr>
            <a:t> Zapata, C.E., W.N.</a:t>
          </a:r>
          <a:r>
            <a:rPr lang="en-US" sz="1100" baseline="0">
              <a:solidFill>
                <a:schemeClr val="dk1"/>
              </a:solidFill>
              <a:latin typeface="+mn-lt"/>
              <a:ea typeface="+mn-ea"/>
              <a:cs typeface="+mn-cs"/>
            </a:rPr>
            <a:t> Houston, S.L. Houston, and K.D. Walsh.</a:t>
          </a:r>
          <a:r>
            <a:rPr lang="en-US" sz="1100">
              <a:solidFill>
                <a:schemeClr val="dk1"/>
              </a:solidFill>
              <a:latin typeface="+mn-lt"/>
              <a:ea typeface="+mn-ea"/>
              <a:cs typeface="+mn-cs"/>
            </a:rPr>
            <a:t> 2000. Soil-water characteristic curve variability. ASCE Geotechnical Special Publication 99.</a:t>
          </a:r>
          <a:r>
            <a:rPr lang="en-US" sz="1100" baseline="0">
              <a:solidFill>
                <a:schemeClr val="dk1"/>
              </a:solidFill>
              <a:latin typeface="+mn-lt"/>
              <a:ea typeface="+mn-ea"/>
              <a:cs typeface="+mn-cs"/>
            </a:rPr>
            <a:t> </a:t>
          </a:r>
          <a:r>
            <a:rPr lang="en-US" sz="1100">
              <a:solidFill>
                <a:schemeClr val="dk1"/>
              </a:solidFill>
              <a:latin typeface="+mn-lt"/>
              <a:ea typeface="+mn-ea"/>
              <a:cs typeface="+mn-cs"/>
            </a:rPr>
            <a:t>Denver, CO:</a:t>
          </a:r>
          <a:r>
            <a:rPr lang="en-US" sz="1100" baseline="0">
              <a:solidFill>
                <a:schemeClr val="dk1"/>
              </a:solidFill>
              <a:latin typeface="+mn-lt"/>
              <a:ea typeface="+mn-ea"/>
              <a:cs typeface="+mn-cs"/>
            </a:rPr>
            <a:t> </a:t>
          </a:r>
          <a:r>
            <a:rPr lang="en-US" sz="1100">
              <a:solidFill>
                <a:schemeClr val="dk1"/>
              </a:solidFill>
              <a:latin typeface="+mn-lt"/>
              <a:ea typeface="+mn-ea"/>
              <a:cs typeface="+mn-cs"/>
            </a:rPr>
            <a:t>84-124.</a:t>
          </a:r>
          <a:endParaRPr lang="en-US"/>
        </a:p>
        <a:p>
          <a:pPr algn="ctr"/>
          <a:endParaRPr lang="en-US" sz="1100">
            <a:solidFill>
              <a:sysClr val="windowText" lastClr="000000"/>
            </a:solidFill>
          </a:endParaRPr>
        </a:p>
      </xdr:txBody>
    </xdr:sp>
    <xdr:clientData/>
  </xdr:twoCellAnchor>
  <xdr:twoCellAnchor>
    <xdr:from>
      <xdr:col>11</xdr:col>
      <xdr:colOff>381000</xdr:colOff>
      <xdr:row>0</xdr:row>
      <xdr:rowOff>85726</xdr:rowOff>
    </xdr:from>
    <xdr:to>
      <xdr:col>13</xdr:col>
      <xdr:colOff>123825</xdr:colOff>
      <xdr:row>5</xdr:row>
      <xdr:rowOff>161926</xdr:rowOff>
    </xdr:to>
    <xdr:grpSp>
      <xdr:nvGrpSpPr>
        <xdr:cNvPr id="15" name="Group 14">
          <a:extLst>
            <a:ext uri="{FF2B5EF4-FFF2-40B4-BE49-F238E27FC236}">
              <a16:creationId xmlns:a16="http://schemas.microsoft.com/office/drawing/2014/main" id="{00000000-0008-0000-0000-00000F000000}"/>
            </a:ext>
          </a:extLst>
        </xdr:cNvPr>
        <xdr:cNvGrpSpPr>
          <a:grpSpLocks/>
        </xdr:cNvGrpSpPr>
      </xdr:nvGrpSpPr>
      <xdr:grpSpPr bwMode="auto">
        <a:xfrm>
          <a:off x="7785100" y="85726"/>
          <a:ext cx="1089025" cy="1028700"/>
          <a:chOff x="3120" y="432"/>
          <a:chExt cx="2362" cy="2362"/>
        </a:xfrm>
      </xdr:grpSpPr>
      <xdr:sp macro="" textlink="">
        <xdr:nvSpPr>
          <xdr:cNvPr id="16" name="Oval 15">
            <a:extLst>
              <a:ext uri="{FF2B5EF4-FFF2-40B4-BE49-F238E27FC236}">
                <a16:creationId xmlns:a16="http://schemas.microsoft.com/office/drawing/2014/main" id="{00000000-0008-0000-0000-000010000000}"/>
              </a:ext>
            </a:extLst>
          </xdr:cNvPr>
          <xdr:cNvSpPr>
            <a:spLocks noChangeArrowheads="1"/>
          </xdr:cNvSpPr>
        </xdr:nvSpPr>
        <xdr:spPr bwMode="auto">
          <a:xfrm>
            <a:off x="3475" y="807"/>
            <a:ext cx="1651" cy="1651"/>
          </a:xfrm>
          <a:prstGeom prst="ellipse">
            <a:avLst/>
          </a:prstGeom>
          <a:solidFill>
            <a:schemeClr val="bg1"/>
          </a:solidFill>
          <a:ln w="9525">
            <a:solidFill>
              <a:schemeClr val="bg1"/>
            </a:solidFill>
            <a:round/>
            <a:headEnd/>
            <a:tailEnd/>
          </a:ln>
          <a:effectLst/>
        </xdr:spPr>
        <xdr:txBody>
          <a:bodyPr wrap="square" anchor="ctr"/>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pic>
        <xdr:nvPicPr>
          <xdr:cNvPr id="17" name="Picture 16" descr="ERDC Logo no labs 3 in ">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3120" y="432"/>
            <a:ext cx="2362" cy="2362"/>
          </a:xfrm>
          <a:prstGeom prst="rect">
            <a:avLst/>
          </a:prstGeom>
          <a:noFill/>
        </xdr:spPr>
      </xdr:pic>
    </xdr:grpSp>
    <xdr:clientData/>
  </xdr:twoCellAnchor>
  <xdr:twoCellAnchor>
    <xdr:from>
      <xdr:col>0</xdr:col>
      <xdr:colOff>266700</xdr:colOff>
      <xdr:row>1</xdr:row>
      <xdr:rowOff>104777</xdr:rowOff>
    </xdr:from>
    <xdr:to>
      <xdr:col>1</xdr:col>
      <xdr:colOff>257175</xdr:colOff>
      <xdr:row>4</xdr:row>
      <xdr:rowOff>95251</xdr:rowOff>
    </xdr:to>
    <xdr:grpSp>
      <xdr:nvGrpSpPr>
        <xdr:cNvPr id="2" name="Group 1">
          <a:extLst>
            <a:ext uri="{FF2B5EF4-FFF2-40B4-BE49-F238E27FC236}">
              <a16:creationId xmlns:a16="http://schemas.microsoft.com/office/drawing/2014/main" id="{00000000-0008-0000-0000-000002000000}"/>
            </a:ext>
          </a:extLst>
        </xdr:cNvPr>
        <xdr:cNvGrpSpPr>
          <a:grpSpLocks/>
        </xdr:cNvGrpSpPr>
      </xdr:nvGrpSpPr>
      <xdr:grpSpPr bwMode="auto">
        <a:xfrm>
          <a:off x="266700" y="295277"/>
          <a:ext cx="663575" cy="561974"/>
          <a:chOff x="164" y="3510"/>
          <a:chExt cx="510" cy="371"/>
        </a:xfrm>
      </xdr:grpSpPr>
      <xdr:sp macro="" textlink="">
        <xdr:nvSpPr>
          <xdr:cNvPr id="3" name="Freeform 2">
            <a:extLst>
              <a:ext uri="{FF2B5EF4-FFF2-40B4-BE49-F238E27FC236}">
                <a16:creationId xmlns:a16="http://schemas.microsoft.com/office/drawing/2014/main" id="{00000000-0008-0000-0000-000003000000}"/>
              </a:ext>
            </a:extLst>
          </xdr:cNvPr>
          <xdr:cNvSpPr>
            <a:spLocks/>
          </xdr:cNvSpPr>
        </xdr:nvSpPr>
        <xdr:spPr bwMode="auto">
          <a:xfrm>
            <a:off x="164" y="3510"/>
            <a:ext cx="510" cy="371"/>
          </a:xfrm>
          <a:custGeom>
            <a:avLst/>
            <a:gdLst/>
            <a:ahLst/>
            <a:cxnLst>
              <a:cxn ang="0">
                <a:pos x="59" y="0"/>
              </a:cxn>
              <a:cxn ang="0">
                <a:pos x="394" y="0"/>
              </a:cxn>
              <a:cxn ang="0">
                <a:pos x="406" y="1"/>
              </a:cxn>
              <a:cxn ang="0">
                <a:pos x="418" y="5"/>
              </a:cxn>
              <a:cxn ang="0">
                <a:pos x="426" y="12"/>
              </a:cxn>
              <a:cxn ang="0">
                <a:pos x="434" y="19"/>
              </a:cxn>
              <a:cxn ang="0">
                <a:pos x="442" y="28"/>
              </a:cxn>
              <a:cxn ang="0">
                <a:pos x="448" y="39"/>
              </a:cxn>
              <a:cxn ang="0">
                <a:pos x="452" y="51"/>
              </a:cxn>
              <a:cxn ang="0">
                <a:pos x="453" y="63"/>
              </a:cxn>
              <a:cxn ang="0">
                <a:pos x="453" y="308"/>
              </a:cxn>
              <a:cxn ang="0">
                <a:pos x="452" y="320"/>
              </a:cxn>
              <a:cxn ang="0">
                <a:pos x="448" y="332"/>
              </a:cxn>
              <a:cxn ang="0">
                <a:pos x="442" y="343"/>
              </a:cxn>
              <a:cxn ang="0">
                <a:pos x="434" y="352"/>
              </a:cxn>
              <a:cxn ang="0">
                <a:pos x="426" y="359"/>
              </a:cxn>
              <a:cxn ang="0">
                <a:pos x="418" y="366"/>
              </a:cxn>
              <a:cxn ang="0">
                <a:pos x="406" y="369"/>
              </a:cxn>
              <a:cxn ang="0">
                <a:pos x="394" y="370"/>
              </a:cxn>
              <a:cxn ang="0">
                <a:pos x="59" y="370"/>
              </a:cxn>
              <a:cxn ang="0">
                <a:pos x="47" y="369"/>
              </a:cxn>
              <a:cxn ang="0">
                <a:pos x="36" y="366"/>
              </a:cxn>
              <a:cxn ang="0">
                <a:pos x="27" y="359"/>
              </a:cxn>
              <a:cxn ang="0">
                <a:pos x="17" y="352"/>
              </a:cxn>
              <a:cxn ang="0">
                <a:pos x="11" y="343"/>
              </a:cxn>
              <a:cxn ang="0">
                <a:pos x="4" y="332"/>
              </a:cxn>
              <a:cxn ang="0">
                <a:pos x="1" y="320"/>
              </a:cxn>
              <a:cxn ang="0">
                <a:pos x="0" y="308"/>
              </a:cxn>
              <a:cxn ang="0">
                <a:pos x="0" y="63"/>
              </a:cxn>
              <a:cxn ang="0">
                <a:pos x="1" y="51"/>
              </a:cxn>
              <a:cxn ang="0">
                <a:pos x="4" y="39"/>
              </a:cxn>
              <a:cxn ang="0">
                <a:pos x="11" y="28"/>
              </a:cxn>
              <a:cxn ang="0">
                <a:pos x="17" y="19"/>
              </a:cxn>
              <a:cxn ang="0">
                <a:pos x="27" y="12"/>
              </a:cxn>
              <a:cxn ang="0">
                <a:pos x="36" y="5"/>
              </a:cxn>
              <a:cxn ang="0">
                <a:pos x="47" y="1"/>
              </a:cxn>
              <a:cxn ang="0">
                <a:pos x="59" y="0"/>
              </a:cxn>
            </a:cxnLst>
            <a:rect l="0" t="0" r="r" b="b"/>
            <a:pathLst>
              <a:path w="454" h="371">
                <a:moveTo>
                  <a:pt x="59" y="0"/>
                </a:moveTo>
                <a:lnTo>
                  <a:pt x="394" y="0"/>
                </a:lnTo>
                <a:lnTo>
                  <a:pt x="406" y="1"/>
                </a:lnTo>
                <a:lnTo>
                  <a:pt x="418" y="5"/>
                </a:lnTo>
                <a:lnTo>
                  <a:pt x="426" y="12"/>
                </a:lnTo>
                <a:lnTo>
                  <a:pt x="434" y="19"/>
                </a:lnTo>
                <a:lnTo>
                  <a:pt x="442" y="28"/>
                </a:lnTo>
                <a:lnTo>
                  <a:pt x="448" y="39"/>
                </a:lnTo>
                <a:lnTo>
                  <a:pt x="452" y="51"/>
                </a:lnTo>
                <a:lnTo>
                  <a:pt x="453" y="63"/>
                </a:lnTo>
                <a:lnTo>
                  <a:pt x="453" y="308"/>
                </a:lnTo>
                <a:lnTo>
                  <a:pt x="452" y="320"/>
                </a:lnTo>
                <a:lnTo>
                  <a:pt x="448" y="332"/>
                </a:lnTo>
                <a:lnTo>
                  <a:pt x="442" y="343"/>
                </a:lnTo>
                <a:lnTo>
                  <a:pt x="434" y="352"/>
                </a:lnTo>
                <a:lnTo>
                  <a:pt x="426" y="359"/>
                </a:lnTo>
                <a:lnTo>
                  <a:pt x="418" y="366"/>
                </a:lnTo>
                <a:lnTo>
                  <a:pt x="406" y="369"/>
                </a:lnTo>
                <a:lnTo>
                  <a:pt x="394" y="370"/>
                </a:lnTo>
                <a:lnTo>
                  <a:pt x="59" y="370"/>
                </a:lnTo>
                <a:lnTo>
                  <a:pt x="47" y="369"/>
                </a:lnTo>
                <a:lnTo>
                  <a:pt x="36" y="366"/>
                </a:lnTo>
                <a:lnTo>
                  <a:pt x="27" y="359"/>
                </a:lnTo>
                <a:lnTo>
                  <a:pt x="17" y="352"/>
                </a:lnTo>
                <a:lnTo>
                  <a:pt x="11" y="343"/>
                </a:lnTo>
                <a:lnTo>
                  <a:pt x="4" y="332"/>
                </a:lnTo>
                <a:lnTo>
                  <a:pt x="1" y="320"/>
                </a:lnTo>
                <a:lnTo>
                  <a:pt x="0" y="308"/>
                </a:lnTo>
                <a:lnTo>
                  <a:pt x="0" y="63"/>
                </a:lnTo>
                <a:lnTo>
                  <a:pt x="1" y="51"/>
                </a:lnTo>
                <a:lnTo>
                  <a:pt x="4" y="39"/>
                </a:lnTo>
                <a:lnTo>
                  <a:pt x="11" y="28"/>
                </a:lnTo>
                <a:lnTo>
                  <a:pt x="17" y="19"/>
                </a:lnTo>
                <a:lnTo>
                  <a:pt x="27" y="12"/>
                </a:lnTo>
                <a:lnTo>
                  <a:pt x="36" y="5"/>
                </a:lnTo>
                <a:lnTo>
                  <a:pt x="47" y="1"/>
                </a:lnTo>
                <a:lnTo>
                  <a:pt x="59"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4" name="Freeform 3">
            <a:extLst>
              <a:ext uri="{FF2B5EF4-FFF2-40B4-BE49-F238E27FC236}">
                <a16:creationId xmlns:a16="http://schemas.microsoft.com/office/drawing/2014/main" id="{00000000-0008-0000-0000-000004000000}"/>
              </a:ext>
            </a:extLst>
          </xdr:cNvPr>
          <xdr:cNvSpPr>
            <a:spLocks/>
          </xdr:cNvSpPr>
        </xdr:nvSpPr>
        <xdr:spPr bwMode="auto">
          <a:xfrm>
            <a:off x="196" y="3541"/>
            <a:ext cx="449" cy="314"/>
          </a:xfrm>
          <a:custGeom>
            <a:avLst/>
            <a:gdLst/>
            <a:ahLst/>
            <a:cxnLst>
              <a:cxn ang="0">
                <a:pos x="29" y="0"/>
              </a:cxn>
              <a:cxn ang="0">
                <a:pos x="369" y="0"/>
              </a:cxn>
              <a:cxn ang="0">
                <a:pos x="374" y="0"/>
              </a:cxn>
              <a:cxn ang="0">
                <a:pos x="380" y="2"/>
              </a:cxn>
              <a:cxn ang="0">
                <a:pos x="386" y="5"/>
              </a:cxn>
              <a:cxn ang="0">
                <a:pos x="390" y="8"/>
              </a:cxn>
              <a:cxn ang="0">
                <a:pos x="393" y="14"/>
              </a:cxn>
              <a:cxn ang="0">
                <a:pos x="395" y="19"/>
              </a:cxn>
              <a:cxn ang="0">
                <a:pos x="397" y="24"/>
              </a:cxn>
              <a:cxn ang="0">
                <a:pos x="398" y="30"/>
              </a:cxn>
              <a:cxn ang="0">
                <a:pos x="398" y="283"/>
              </a:cxn>
              <a:cxn ang="0">
                <a:pos x="397" y="289"/>
              </a:cxn>
              <a:cxn ang="0">
                <a:pos x="395" y="294"/>
              </a:cxn>
              <a:cxn ang="0">
                <a:pos x="393" y="299"/>
              </a:cxn>
              <a:cxn ang="0">
                <a:pos x="390" y="304"/>
              </a:cxn>
              <a:cxn ang="0">
                <a:pos x="386" y="308"/>
              </a:cxn>
              <a:cxn ang="0">
                <a:pos x="380" y="310"/>
              </a:cxn>
              <a:cxn ang="0">
                <a:pos x="374" y="312"/>
              </a:cxn>
              <a:cxn ang="0">
                <a:pos x="369" y="313"/>
              </a:cxn>
              <a:cxn ang="0">
                <a:pos x="29" y="313"/>
              </a:cxn>
              <a:cxn ang="0">
                <a:pos x="24" y="312"/>
              </a:cxn>
              <a:cxn ang="0">
                <a:pos x="18" y="310"/>
              </a:cxn>
              <a:cxn ang="0">
                <a:pos x="13" y="308"/>
              </a:cxn>
              <a:cxn ang="0">
                <a:pos x="9" y="304"/>
              </a:cxn>
              <a:cxn ang="0">
                <a:pos x="5" y="299"/>
              </a:cxn>
              <a:cxn ang="0">
                <a:pos x="4" y="294"/>
              </a:cxn>
              <a:cxn ang="0">
                <a:pos x="1" y="289"/>
              </a:cxn>
              <a:cxn ang="0">
                <a:pos x="0" y="283"/>
              </a:cxn>
              <a:cxn ang="0">
                <a:pos x="0" y="30"/>
              </a:cxn>
              <a:cxn ang="0">
                <a:pos x="1" y="24"/>
              </a:cxn>
              <a:cxn ang="0">
                <a:pos x="4" y="19"/>
              </a:cxn>
              <a:cxn ang="0">
                <a:pos x="5" y="14"/>
              </a:cxn>
              <a:cxn ang="0">
                <a:pos x="9" y="8"/>
              </a:cxn>
              <a:cxn ang="0">
                <a:pos x="13" y="5"/>
              </a:cxn>
              <a:cxn ang="0">
                <a:pos x="18" y="2"/>
              </a:cxn>
              <a:cxn ang="0">
                <a:pos x="24" y="0"/>
              </a:cxn>
              <a:cxn ang="0">
                <a:pos x="29" y="0"/>
              </a:cxn>
            </a:cxnLst>
            <a:rect l="0" t="0" r="r" b="b"/>
            <a:pathLst>
              <a:path w="399" h="314">
                <a:moveTo>
                  <a:pt x="29" y="0"/>
                </a:moveTo>
                <a:lnTo>
                  <a:pt x="369" y="0"/>
                </a:lnTo>
                <a:lnTo>
                  <a:pt x="374" y="0"/>
                </a:lnTo>
                <a:lnTo>
                  <a:pt x="380" y="2"/>
                </a:lnTo>
                <a:lnTo>
                  <a:pt x="386" y="5"/>
                </a:lnTo>
                <a:lnTo>
                  <a:pt x="390" y="8"/>
                </a:lnTo>
                <a:lnTo>
                  <a:pt x="393" y="14"/>
                </a:lnTo>
                <a:lnTo>
                  <a:pt x="395" y="19"/>
                </a:lnTo>
                <a:lnTo>
                  <a:pt x="397" y="24"/>
                </a:lnTo>
                <a:lnTo>
                  <a:pt x="398" y="30"/>
                </a:lnTo>
                <a:lnTo>
                  <a:pt x="398" y="283"/>
                </a:lnTo>
                <a:lnTo>
                  <a:pt x="397" y="289"/>
                </a:lnTo>
                <a:lnTo>
                  <a:pt x="395" y="294"/>
                </a:lnTo>
                <a:lnTo>
                  <a:pt x="393" y="299"/>
                </a:lnTo>
                <a:lnTo>
                  <a:pt x="390" y="304"/>
                </a:lnTo>
                <a:lnTo>
                  <a:pt x="386" y="308"/>
                </a:lnTo>
                <a:lnTo>
                  <a:pt x="380" y="310"/>
                </a:lnTo>
                <a:lnTo>
                  <a:pt x="374" y="312"/>
                </a:lnTo>
                <a:lnTo>
                  <a:pt x="369" y="313"/>
                </a:lnTo>
                <a:lnTo>
                  <a:pt x="29" y="313"/>
                </a:lnTo>
                <a:lnTo>
                  <a:pt x="24" y="312"/>
                </a:lnTo>
                <a:lnTo>
                  <a:pt x="18" y="310"/>
                </a:lnTo>
                <a:lnTo>
                  <a:pt x="13" y="308"/>
                </a:lnTo>
                <a:lnTo>
                  <a:pt x="9" y="304"/>
                </a:lnTo>
                <a:lnTo>
                  <a:pt x="5" y="299"/>
                </a:lnTo>
                <a:lnTo>
                  <a:pt x="4" y="294"/>
                </a:lnTo>
                <a:lnTo>
                  <a:pt x="1" y="289"/>
                </a:lnTo>
                <a:lnTo>
                  <a:pt x="0" y="283"/>
                </a:lnTo>
                <a:lnTo>
                  <a:pt x="0" y="30"/>
                </a:lnTo>
                <a:lnTo>
                  <a:pt x="1" y="24"/>
                </a:lnTo>
                <a:lnTo>
                  <a:pt x="4" y="19"/>
                </a:lnTo>
                <a:lnTo>
                  <a:pt x="5" y="14"/>
                </a:lnTo>
                <a:lnTo>
                  <a:pt x="9" y="8"/>
                </a:lnTo>
                <a:lnTo>
                  <a:pt x="13" y="5"/>
                </a:lnTo>
                <a:lnTo>
                  <a:pt x="18" y="2"/>
                </a:lnTo>
                <a:lnTo>
                  <a:pt x="24" y="0"/>
                </a:lnTo>
                <a:lnTo>
                  <a:pt x="29" y="0"/>
                </a:lnTo>
              </a:path>
            </a:pathLst>
          </a:custGeom>
          <a:solidFill>
            <a:srgbClr val="FFFFFF"/>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5" name="Freeform 4">
            <a:extLst>
              <a:ext uri="{FF2B5EF4-FFF2-40B4-BE49-F238E27FC236}">
                <a16:creationId xmlns:a16="http://schemas.microsoft.com/office/drawing/2014/main" id="{00000000-0008-0000-0000-000005000000}"/>
              </a:ext>
            </a:extLst>
          </xdr:cNvPr>
          <xdr:cNvSpPr>
            <a:spLocks/>
          </xdr:cNvSpPr>
        </xdr:nvSpPr>
        <xdr:spPr bwMode="auto">
          <a:xfrm>
            <a:off x="214" y="3558"/>
            <a:ext cx="414" cy="278"/>
          </a:xfrm>
          <a:custGeom>
            <a:avLst/>
            <a:gdLst/>
            <a:ahLst/>
            <a:cxnLst>
              <a:cxn ang="0">
                <a:pos x="17" y="0"/>
              </a:cxn>
              <a:cxn ang="0">
                <a:pos x="351" y="0"/>
              </a:cxn>
              <a:cxn ang="0">
                <a:pos x="355" y="0"/>
              </a:cxn>
              <a:cxn ang="0">
                <a:pos x="358" y="1"/>
              </a:cxn>
              <a:cxn ang="0">
                <a:pos x="360" y="3"/>
              </a:cxn>
              <a:cxn ang="0">
                <a:pos x="363" y="5"/>
              </a:cxn>
              <a:cxn ang="0">
                <a:pos x="364" y="7"/>
              </a:cxn>
              <a:cxn ang="0">
                <a:pos x="366" y="10"/>
              </a:cxn>
              <a:cxn ang="0">
                <a:pos x="367" y="14"/>
              </a:cxn>
              <a:cxn ang="0">
                <a:pos x="367" y="17"/>
              </a:cxn>
              <a:cxn ang="0">
                <a:pos x="367" y="260"/>
              </a:cxn>
              <a:cxn ang="0">
                <a:pos x="367" y="263"/>
              </a:cxn>
              <a:cxn ang="0">
                <a:pos x="366" y="267"/>
              </a:cxn>
              <a:cxn ang="0">
                <a:pos x="364" y="270"/>
              </a:cxn>
              <a:cxn ang="0">
                <a:pos x="363" y="272"/>
              </a:cxn>
              <a:cxn ang="0">
                <a:pos x="360" y="274"/>
              </a:cxn>
              <a:cxn ang="0">
                <a:pos x="358" y="276"/>
              </a:cxn>
              <a:cxn ang="0">
                <a:pos x="355" y="276"/>
              </a:cxn>
              <a:cxn ang="0">
                <a:pos x="351" y="277"/>
              </a:cxn>
              <a:cxn ang="0">
                <a:pos x="17" y="277"/>
              </a:cxn>
              <a:cxn ang="0">
                <a:pos x="13" y="276"/>
              </a:cxn>
              <a:cxn ang="0">
                <a:pos x="11" y="276"/>
              </a:cxn>
              <a:cxn ang="0">
                <a:pos x="8" y="274"/>
              </a:cxn>
              <a:cxn ang="0">
                <a:pos x="5" y="272"/>
              </a:cxn>
              <a:cxn ang="0">
                <a:pos x="4" y="270"/>
              </a:cxn>
              <a:cxn ang="0">
                <a:pos x="1" y="267"/>
              </a:cxn>
              <a:cxn ang="0">
                <a:pos x="1" y="263"/>
              </a:cxn>
              <a:cxn ang="0">
                <a:pos x="0" y="260"/>
              </a:cxn>
              <a:cxn ang="0">
                <a:pos x="0" y="17"/>
              </a:cxn>
              <a:cxn ang="0">
                <a:pos x="1" y="14"/>
              </a:cxn>
              <a:cxn ang="0">
                <a:pos x="1" y="10"/>
              </a:cxn>
              <a:cxn ang="0">
                <a:pos x="4" y="7"/>
              </a:cxn>
              <a:cxn ang="0">
                <a:pos x="5" y="5"/>
              </a:cxn>
              <a:cxn ang="0">
                <a:pos x="8" y="3"/>
              </a:cxn>
              <a:cxn ang="0">
                <a:pos x="11" y="1"/>
              </a:cxn>
              <a:cxn ang="0">
                <a:pos x="13" y="0"/>
              </a:cxn>
              <a:cxn ang="0">
                <a:pos x="17" y="0"/>
              </a:cxn>
            </a:cxnLst>
            <a:rect l="0" t="0" r="r" b="b"/>
            <a:pathLst>
              <a:path w="368" h="278">
                <a:moveTo>
                  <a:pt x="17" y="0"/>
                </a:moveTo>
                <a:lnTo>
                  <a:pt x="351" y="0"/>
                </a:lnTo>
                <a:lnTo>
                  <a:pt x="355" y="0"/>
                </a:lnTo>
                <a:lnTo>
                  <a:pt x="358" y="1"/>
                </a:lnTo>
                <a:lnTo>
                  <a:pt x="360" y="3"/>
                </a:lnTo>
                <a:lnTo>
                  <a:pt x="363" y="5"/>
                </a:lnTo>
                <a:lnTo>
                  <a:pt x="364" y="7"/>
                </a:lnTo>
                <a:lnTo>
                  <a:pt x="366" y="10"/>
                </a:lnTo>
                <a:lnTo>
                  <a:pt x="367" y="14"/>
                </a:lnTo>
                <a:lnTo>
                  <a:pt x="367" y="17"/>
                </a:lnTo>
                <a:lnTo>
                  <a:pt x="367" y="260"/>
                </a:lnTo>
                <a:lnTo>
                  <a:pt x="367" y="263"/>
                </a:lnTo>
                <a:lnTo>
                  <a:pt x="366" y="267"/>
                </a:lnTo>
                <a:lnTo>
                  <a:pt x="364" y="270"/>
                </a:lnTo>
                <a:lnTo>
                  <a:pt x="363" y="272"/>
                </a:lnTo>
                <a:lnTo>
                  <a:pt x="360" y="274"/>
                </a:lnTo>
                <a:lnTo>
                  <a:pt x="358" y="276"/>
                </a:lnTo>
                <a:lnTo>
                  <a:pt x="355" y="276"/>
                </a:lnTo>
                <a:lnTo>
                  <a:pt x="351" y="277"/>
                </a:lnTo>
                <a:lnTo>
                  <a:pt x="17" y="277"/>
                </a:lnTo>
                <a:lnTo>
                  <a:pt x="13" y="276"/>
                </a:lnTo>
                <a:lnTo>
                  <a:pt x="11" y="276"/>
                </a:lnTo>
                <a:lnTo>
                  <a:pt x="8" y="274"/>
                </a:lnTo>
                <a:lnTo>
                  <a:pt x="5" y="272"/>
                </a:lnTo>
                <a:lnTo>
                  <a:pt x="4" y="270"/>
                </a:lnTo>
                <a:lnTo>
                  <a:pt x="1" y="267"/>
                </a:lnTo>
                <a:lnTo>
                  <a:pt x="1" y="263"/>
                </a:lnTo>
                <a:lnTo>
                  <a:pt x="0" y="260"/>
                </a:lnTo>
                <a:lnTo>
                  <a:pt x="0" y="17"/>
                </a:lnTo>
                <a:lnTo>
                  <a:pt x="1" y="14"/>
                </a:lnTo>
                <a:lnTo>
                  <a:pt x="1" y="10"/>
                </a:lnTo>
                <a:lnTo>
                  <a:pt x="4" y="7"/>
                </a:lnTo>
                <a:lnTo>
                  <a:pt x="5" y="5"/>
                </a:lnTo>
                <a:lnTo>
                  <a:pt x="8" y="3"/>
                </a:lnTo>
                <a:lnTo>
                  <a:pt x="11" y="1"/>
                </a:lnTo>
                <a:lnTo>
                  <a:pt x="13" y="0"/>
                </a:lnTo>
                <a:lnTo>
                  <a:pt x="17"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6" name="Freeform 5">
            <a:extLst>
              <a:ext uri="{FF2B5EF4-FFF2-40B4-BE49-F238E27FC236}">
                <a16:creationId xmlns:a16="http://schemas.microsoft.com/office/drawing/2014/main" id="{00000000-0008-0000-0000-000006000000}"/>
              </a:ext>
            </a:extLst>
          </xdr:cNvPr>
          <xdr:cNvSpPr>
            <a:spLocks/>
          </xdr:cNvSpPr>
        </xdr:nvSpPr>
        <xdr:spPr bwMode="auto">
          <a:xfrm>
            <a:off x="251" y="3591"/>
            <a:ext cx="341" cy="211"/>
          </a:xfrm>
          <a:custGeom>
            <a:avLst/>
            <a:gdLst/>
            <a:ahLst/>
            <a:cxnLst>
              <a:cxn ang="0">
                <a:pos x="0" y="210"/>
              </a:cxn>
              <a:cxn ang="0">
                <a:pos x="0" y="173"/>
              </a:cxn>
              <a:cxn ang="0">
                <a:pos x="12" y="162"/>
              </a:cxn>
              <a:cxn ang="0">
                <a:pos x="12" y="46"/>
              </a:cxn>
              <a:cxn ang="0">
                <a:pos x="0" y="32"/>
              </a:cxn>
              <a:cxn ang="0">
                <a:pos x="0" y="2"/>
              </a:cxn>
              <a:cxn ang="0">
                <a:pos x="18" y="2"/>
              </a:cxn>
              <a:cxn ang="0">
                <a:pos x="18" y="19"/>
              </a:cxn>
              <a:cxn ang="0">
                <a:pos x="34" y="19"/>
              </a:cxn>
              <a:cxn ang="0">
                <a:pos x="34" y="2"/>
              </a:cxn>
              <a:cxn ang="0">
                <a:pos x="57" y="2"/>
              </a:cxn>
              <a:cxn ang="0">
                <a:pos x="57" y="19"/>
              </a:cxn>
              <a:cxn ang="0">
                <a:pos x="59" y="19"/>
              </a:cxn>
              <a:cxn ang="0">
                <a:pos x="74" y="19"/>
              </a:cxn>
              <a:cxn ang="0">
                <a:pos x="74" y="2"/>
              </a:cxn>
              <a:cxn ang="0">
                <a:pos x="92" y="2"/>
              </a:cxn>
              <a:cxn ang="0">
                <a:pos x="92" y="31"/>
              </a:cxn>
              <a:cxn ang="0">
                <a:pos x="79" y="45"/>
              </a:cxn>
              <a:cxn ang="0">
                <a:pos x="79" y="98"/>
              </a:cxn>
              <a:cxn ang="0">
                <a:pos x="119" y="98"/>
              </a:cxn>
              <a:cxn ang="0">
                <a:pos x="119" y="80"/>
              </a:cxn>
              <a:cxn ang="0">
                <a:pos x="108" y="70"/>
              </a:cxn>
              <a:cxn ang="0">
                <a:pos x="108" y="38"/>
              </a:cxn>
              <a:cxn ang="0">
                <a:pos x="125" y="38"/>
              </a:cxn>
              <a:cxn ang="0">
                <a:pos x="125" y="55"/>
              </a:cxn>
              <a:cxn ang="0">
                <a:pos x="143" y="55"/>
              </a:cxn>
              <a:cxn ang="0">
                <a:pos x="143" y="38"/>
              </a:cxn>
              <a:cxn ang="0">
                <a:pos x="160" y="38"/>
              </a:cxn>
              <a:cxn ang="0">
                <a:pos x="160" y="56"/>
              </a:cxn>
              <a:cxn ang="0">
                <a:pos x="176" y="56"/>
              </a:cxn>
              <a:cxn ang="0">
                <a:pos x="176" y="38"/>
              </a:cxn>
              <a:cxn ang="0">
                <a:pos x="193" y="38"/>
              </a:cxn>
              <a:cxn ang="0">
                <a:pos x="193" y="69"/>
              </a:cxn>
              <a:cxn ang="0">
                <a:pos x="183" y="81"/>
              </a:cxn>
              <a:cxn ang="0">
                <a:pos x="183" y="99"/>
              </a:cxn>
              <a:cxn ang="0">
                <a:pos x="223" y="99"/>
              </a:cxn>
              <a:cxn ang="0">
                <a:pos x="223" y="47"/>
              </a:cxn>
              <a:cxn ang="0">
                <a:pos x="210" y="32"/>
              </a:cxn>
              <a:cxn ang="0">
                <a:pos x="210" y="1"/>
              </a:cxn>
              <a:cxn ang="0">
                <a:pos x="227" y="1"/>
              </a:cxn>
              <a:cxn ang="0">
                <a:pos x="227" y="19"/>
              </a:cxn>
              <a:cxn ang="0">
                <a:pos x="244" y="19"/>
              </a:cxn>
              <a:cxn ang="0">
                <a:pos x="244" y="0"/>
              </a:cxn>
              <a:cxn ang="0">
                <a:pos x="267" y="0"/>
              </a:cxn>
              <a:cxn ang="0">
                <a:pos x="267" y="19"/>
              </a:cxn>
              <a:cxn ang="0">
                <a:pos x="285" y="19"/>
              </a:cxn>
              <a:cxn ang="0">
                <a:pos x="285" y="0"/>
              </a:cxn>
              <a:cxn ang="0">
                <a:pos x="302" y="0"/>
              </a:cxn>
              <a:cxn ang="0">
                <a:pos x="302" y="30"/>
              </a:cxn>
              <a:cxn ang="0">
                <a:pos x="291" y="45"/>
              </a:cxn>
              <a:cxn ang="0">
                <a:pos x="291" y="162"/>
              </a:cxn>
              <a:cxn ang="0">
                <a:pos x="302" y="174"/>
              </a:cxn>
              <a:cxn ang="0">
                <a:pos x="302" y="210"/>
              </a:cxn>
              <a:cxn ang="0">
                <a:pos x="0" y="210"/>
              </a:cxn>
            </a:cxnLst>
            <a:rect l="0" t="0" r="r" b="b"/>
            <a:pathLst>
              <a:path w="303" h="211">
                <a:moveTo>
                  <a:pt x="0" y="210"/>
                </a:moveTo>
                <a:lnTo>
                  <a:pt x="0" y="173"/>
                </a:lnTo>
                <a:lnTo>
                  <a:pt x="12" y="162"/>
                </a:lnTo>
                <a:lnTo>
                  <a:pt x="12" y="46"/>
                </a:lnTo>
                <a:lnTo>
                  <a:pt x="0" y="32"/>
                </a:lnTo>
                <a:lnTo>
                  <a:pt x="0" y="2"/>
                </a:lnTo>
                <a:lnTo>
                  <a:pt x="18" y="2"/>
                </a:lnTo>
                <a:lnTo>
                  <a:pt x="18" y="19"/>
                </a:lnTo>
                <a:lnTo>
                  <a:pt x="34" y="19"/>
                </a:lnTo>
                <a:lnTo>
                  <a:pt x="34" y="2"/>
                </a:lnTo>
                <a:lnTo>
                  <a:pt x="57" y="2"/>
                </a:lnTo>
                <a:lnTo>
                  <a:pt x="57" y="19"/>
                </a:lnTo>
                <a:lnTo>
                  <a:pt x="59" y="19"/>
                </a:lnTo>
                <a:lnTo>
                  <a:pt x="74" y="19"/>
                </a:lnTo>
                <a:lnTo>
                  <a:pt x="74" y="2"/>
                </a:lnTo>
                <a:lnTo>
                  <a:pt x="92" y="2"/>
                </a:lnTo>
                <a:lnTo>
                  <a:pt x="92" y="31"/>
                </a:lnTo>
                <a:lnTo>
                  <a:pt x="79" y="45"/>
                </a:lnTo>
                <a:lnTo>
                  <a:pt x="79" y="98"/>
                </a:lnTo>
                <a:lnTo>
                  <a:pt x="119" y="98"/>
                </a:lnTo>
                <a:lnTo>
                  <a:pt x="119" y="80"/>
                </a:lnTo>
                <a:lnTo>
                  <a:pt x="108" y="70"/>
                </a:lnTo>
                <a:lnTo>
                  <a:pt x="108" y="38"/>
                </a:lnTo>
                <a:lnTo>
                  <a:pt x="125" y="38"/>
                </a:lnTo>
                <a:lnTo>
                  <a:pt x="125" y="55"/>
                </a:lnTo>
                <a:lnTo>
                  <a:pt x="143" y="55"/>
                </a:lnTo>
                <a:lnTo>
                  <a:pt x="143" y="38"/>
                </a:lnTo>
                <a:lnTo>
                  <a:pt x="160" y="38"/>
                </a:lnTo>
                <a:lnTo>
                  <a:pt x="160" y="56"/>
                </a:lnTo>
                <a:lnTo>
                  <a:pt x="176" y="56"/>
                </a:lnTo>
                <a:lnTo>
                  <a:pt x="176" y="38"/>
                </a:lnTo>
                <a:lnTo>
                  <a:pt x="193" y="38"/>
                </a:lnTo>
                <a:lnTo>
                  <a:pt x="193" y="69"/>
                </a:lnTo>
                <a:lnTo>
                  <a:pt x="183" y="81"/>
                </a:lnTo>
                <a:lnTo>
                  <a:pt x="183" y="99"/>
                </a:lnTo>
                <a:lnTo>
                  <a:pt x="223" y="99"/>
                </a:lnTo>
                <a:lnTo>
                  <a:pt x="223" y="47"/>
                </a:lnTo>
                <a:lnTo>
                  <a:pt x="210" y="32"/>
                </a:lnTo>
                <a:lnTo>
                  <a:pt x="210" y="1"/>
                </a:lnTo>
                <a:lnTo>
                  <a:pt x="227" y="1"/>
                </a:lnTo>
                <a:lnTo>
                  <a:pt x="227" y="19"/>
                </a:lnTo>
                <a:lnTo>
                  <a:pt x="244" y="19"/>
                </a:lnTo>
                <a:lnTo>
                  <a:pt x="244" y="0"/>
                </a:lnTo>
                <a:lnTo>
                  <a:pt x="267" y="0"/>
                </a:lnTo>
                <a:lnTo>
                  <a:pt x="267" y="19"/>
                </a:lnTo>
                <a:lnTo>
                  <a:pt x="285" y="19"/>
                </a:lnTo>
                <a:lnTo>
                  <a:pt x="285" y="0"/>
                </a:lnTo>
                <a:lnTo>
                  <a:pt x="302" y="0"/>
                </a:lnTo>
                <a:lnTo>
                  <a:pt x="302" y="30"/>
                </a:lnTo>
                <a:lnTo>
                  <a:pt x="291" y="45"/>
                </a:lnTo>
                <a:lnTo>
                  <a:pt x="291" y="162"/>
                </a:lnTo>
                <a:lnTo>
                  <a:pt x="302" y="174"/>
                </a:lnTo>
                <a:lnTo>
                  <a:pt x="302" y="210"/>
                </a:lnTo>
                <a:lnTo>
                  <a:pt x="0" y="210"/>
                </a:lnTo>
              </a:path>
            </a:pathLst>
          </a:custGeom>
          <a:solidFill>
            <a:srgbClr val="FFFFFF"/>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7" name="Freeform 6">
            <a:extLst>
              <a:ext uri="{FF2B5EF4-FFF2-40B4-BE49-F238E27FC236}">
                <a16:creationId xmlns:a16="http://schemas.microsoft.com/office/drawing/2014/main" id="{00000000-0008-0000-0000-000007000000}"/>
              </a:ext>
            </a:extLst>
          </xdr:cNvPr>
          <xdr:cNvSpPr>
            <a:spLocks/>
          </xdr:cNvSpPr>
        </xdr:nvSpPr>
        <xdr:spPr bwMode="auto">
          <a:xfrm>
            <a:off x="398" y="3732"/>
            <a:ext cx="54" cy="44"/>
          </a:xfrm>
          <a:custGeom>
            <a:avLst/>
            <a:gdLst/>
            <a:ahLst/>
            <a:cxnLst>
              <a:cxn ang="0">
                <a:pos x="0" y="43"/>
              </a:cxn>
              <a:cxn ang="0">
                <a:pos x="47" y="43"/>
              </a:cxn>
              <a:cxn ang="0">
                <a:pos x="47" y="0"/>
              </a:cxn>
              <a:cxn ang="0">
                <a:pos x="0" y="0"/>
              </a:cxn>
              <a:cxn ang="0">
                <a:pos x="0" y="43"/>
              </a:cxn>
            </a:cxnLst>
            <a:rect l="0" t="0" r="r" b="b"/>
            <a:pathLst>
              <a:path w="48" h="44">
                <a:moveTo>
                  <a:pt x="0" y="43"/>
                </a:moveTo>
                <a:lnTo>
                  <a:pt x="47" y="43"/>
                </a:lnTo>
                <a:lnTo>
                  <a:pt x="47" y="0"/>
                </a:lnTo>
                <a:lnTo>
                  <a:pt x="0" y="0"/>
                </a:lnTo>
                <a:lnTo>
                  <a:pt x="0" y="43"/>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8" name="Freeform 7">
            <a:extLst>
              <a:ext uri="{FF2B5EF4-FFF2-40B4-BE49-F238E27FC236}">
                <a16:creationId xmlns:a16="http://schemas.microsoft.com/office/drawing/2014/main" id="{00000000-0008-0000-0000-000008000000}"/>
              </a:ext>
            </a:extLst>
          </xdr:cNvPr>
          <xdr:cNvSpPr>
            <a:spLocks/>
          </xdr:cNvSpPr>
        </xdr:nvSpPr>
        <xdr:spPr bwMode="auto">
          <a:xfrm>
            <a:off x="398" y="3711"/>
            <a:ext cx="54" cy="30"/>
          </a:xfrm>
          <a:custGeom>
            <a:avLst/>
            <a:gdLst/>
            <a:ahLst/>
            <a:cxnLst>
              <a:cxn ang="0">
                <a:pos x="24" y="0"/>
              </a:cxn>
              <a:cxn ang="0">
                <a:pos x="28" y="0"/>
              </a:cxn>
              <a:cxn ang="0">
                <a:pos x="33" y="1"/>
              </a:cxn>
              <a:cxn ang="0">
                <a:pos x="36" y="2"/>
              </a:cxn>
              <a:cxn ang="0">
                <a:pos x="41" y="4"/>
              </a:cxn>
              <a:cxn ang="0">
                <a:pos x="44" y="6"/>
              </a:cxn>
              <a:cxn ang="0">
                <a:pos x="45" y="9"/>
              </a:cxn>
              <a:cxn ang="0">
                <a:pos x="46" y="12"/>
              </a:cxn>
              <a:cxn ang="0">
                <a:pos x="47" y="15"/>
              </a:cxn>
              <a:cxn ang="0">
                <a:pos x="46" y="17"/>
              </a:cxn>
              <a:cxn ang="0">
                <a:pos x="45" y="20"/>
              </a:cxn>
              <a:cxn ang="0">
                <a:pos x="44" y="23"/>
              </a:cxn>
              <a:cxn ang="0">
                <a:pos x="41" y="25"/>
              </a:cxn>
              <a:cxn ang="0">
                <a:pos x="36" y="27"/>
              </a:cxn>
              <a:cxn ang="0">
                <a:pos x="33" y="28"/>
              </a:cxn>
              <a:cxn ang="0">
                <a:pos x="28" y="29"/>
              </a:cxn>
              <a:cxn ang="0">
                <a:pos x="24" y="29"/>
              </a:cxn>
              <a:cxn ang="0">
                <a:pos x="19" y="29"/>
              </a:cxn>
              <a:cxn ang="0">
                <a:pos x="15" y="28"/>
              </a:cxn>
              <a:cxn ang="0">
                <a:pos x="11" y="27"/>
              </a:cxn>
              <a:cxn ang="0">
                <a:pos x="6" y="25"/>
              </a:cxn>
              <a:cxn ang="0">
                <a:pos x="4" y="23"/>
              </a:cxn>
              <a:cxn ang="0">
                <a:pos x="2" y="20"/>
              </a:cxn>
              <a:cxn ang="0">
                <a:pos x="1" y="17"/>
              </a:cxn>
              <a:cxn ang="0">
                <a:pos x="0" y="15"/>
              </a:cxn>
              <a:cxn ang="0">
                <a:pos x="1" y="12"/>
              </a:cxn>
              <a:cxn ang="0">
                <a:pos x="2" y="9"/>
              </a:cxn>
              <a:cxn ang="0">
                <a:pos x="4" y="6"/>
              </a:cxn>
              <a:cxn ang="0">
                <a:pos x="6" y="4"/>
              </a:cxn>
              <a:cxn ang="0">
                <a:pos x="11" y="2"/>
              </a:cxn>
              <a:cxn ang="0">
                <a:pos x="15" y="1"/>
              </a:cxn>
              <a:cxn ang="0">
                <a:pos x="19" y="0"/>
              </a:cxn>
              <a:cxn ang="0">
                <a:pos x="24" y="0"/>
              </a:cxn>
            </a:cxnLst>
            <a:rect l="0" t="0" r="r" b="b"/>
            <a:pathLst>
              <a:path w="48" h="30">
                <a:moveTo>
                  <a:pt x="24" y="0"/>
                </a:moveTo>
                <a:lnTo>
                  <a:pt x="28" y="0"/>
                </a:lnTo>
                <a:lnTo>
                  <a:pt x="33" y="1"/>
                </a:lnTo>
                <a:lnTo>
                  <a:pt x="36" y="2"/>
                </a:lnTo>
                <a:lnTo>
                  <a:pt x="41" y="4"/>
                </a:lnTo>
                <a:lnTo>
                  <a:pt x="44" y="6"/>
                </a:lnTo>
                <a:lnTo>
                  <a:pt x="45" y="9"/>
                </a:lnTo>
                <a:lnTo>
                  <a:pt x="46" y="12"/>
                </a:lnTo>
                <a:lnTo>
                  <a:pt x="47" y="15"/>
                </a:lnTo>
                <a:lnTo>
                  <a:pt x="46" y="17"/>
                </a:lnTo>
                <a:lnTo>
                  <a:pt x="45" y="20"/>
                </a:lnTo>
                <a:lnTo>
                  <a:pt x="44" y="23"/>
                </a:lnTo>
                <a:lnTo>
                  <a:pt x="41" y="25"/>
                </a:lnTo>
                <a:lnTo>
                  <a:pt x="36" y="27"/>
                </a:lnTo>
                <a:lnTo>
                  <a:pt x="33" y="28"/>
                </a:lnTo>
                <a:lnTo>
                  <a:pt x="28" y="29"/>
                </a:lnTo>
                <a:lnTo>
                  <a:pt x="24" y="29"/>
                </a:lnTo>
                <a:lnTo>
                  <a:pt x="19" y="29"/>
                </a:lnTo>
                <a:lnTo>
                  <a:pt x="15" y="28"/>
                </a:lnTo>
                <a:lnTo>
                  <a:pt x="11" y="27"/>
                </a:lnTo>
                <a:lnTo>
                  <a:pt x="6" y="25"/>
                </a:lnTo>
                <a:lnTo>
                  <a:pt x="4" y="23"/>
                </a:lnTo>
                <a:lnTo>
                  <a:pt x="2" y="20"/>
                </a:lnTo>
                <a:lnTo>
                  <a:pt x="1" y="17"/>
                </a:lnTo>
                <a:lnTo>
                  <a:pt x="0" y="15"/>
                </a:lnTo>
                <a:lnTo>
                  <a:pt x="1" y="12"/>
                </a:lnTo>
                <a:lnTo>
                  <a:pt x="2" y="9"/>
                </a:lnTo>
                <a:lnTo>
                  <a:pt x="4" y="6"/>
                </a:lnTo>
                <a:lnTo>
                  <a:pt x="6" y="4"/>
                </a:lnTo>
                <a:lnTo>
                  <a:pt x="11" y="2"/>
                </a:lnTo>
                <a:lnTo>
                  <a:pt x="15" y="1"/>
                </a:lnTo>
                <a:lnTo>
                  <a:pt x="19" y="0"/>
                </a:lnTo>
                <a:lnTo>
                  <a:pt x="24"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9" name="Freeform 8">
            <a:extLst>
              <a:ext uri="{FF2B5EF4-FFF2-40B4-BE49-F238E27FC236}">
                <a16:creationId xmlns:a16="http://schemas.microsoft.com/office/drawing/2014/main" id="{00000000-0008-0000-0000-000009000000}"/>
              </a:ext>
            </a:extLst>
          </xdr:cNvPr>
          <xdr:cNvSpPr>
            <a:spLocks/>
          </xdr:cNvSpPr>
        </xdr:nvSpPr>
        <xdr:spPr bwMode="auto">
          <a:xfrm>
            <a:off x="484" y="3728"/>
            <a:ext cx="17" cy="34"/>
          </a:xfrm>
          <a:custGeom>
            <a:avLst/>
            <a:gdLst/>
            <a:ahLst/>
            <a:cxnLst>
              <a:cxn ang="0">
                <a:pos x="0" y="0"/>
              </a:cxn>
              <a:cxn ang="0">
                <a:pos x="14" y="0"/>
              </a:cxn>
              <a:cxn ang="0">
                <a:pos x="14" y="33"/>
              </a:cxn>
              <a:cxn ang="0">
                <a:pos x="0" y="33"/>
              </a:cxn>
              <a:cxn ang="0">
                <a:pos x="0" y="0"/>
              </a:cxn>
            </a:cxnLst>
            <a:rect l="0" t="0" r="r" b="b"/>
            <a:pathLst>
              <a:path w="15" h="34">
                <a:moveTo>
                  <a:pt x="0" y="0"/>
                </a:moveTo>
                <a:lnTo>
                  <a:pt x="14" y="0"/>
                </a:lnTo>
                <a:lnTo>
                  <a:pt x="14" y="33"/>
                </a:lnTo>
                <a:lnTo>
                  <a:pt x="0" y="33"/>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0" name="Freeform 9">
            <a:extLst>
              <a:ext uri="{FF2B5EF4-FFF2-40B4-BE49-F238E27FC236}">
                <a16:creationId xmlns:a16="http://schemas.microsoft.com/office/drawing/2014/main" id="{00000000-0008-0000-0000-00000A000000}"/>
              </a:ext>
            </a:extLst>
          </xdr:cNvPr>
          <xdr:cNvSpPr>
            <a:spLocks/>
          </xdr:cNvSpPr>
        </xdr:nvSpPr>
        <xdr:spPr bwMode="auto">
          <a:xfrm>
            <a:off x="358" y="3728"/>
            <a:ext cx="17" cy="34"/>
          </a:xfrm>
          <a:custGeom>
            <a:avLst/>
            <a:gdLst/>
            <a:ahLst/>
            <a:cxnLst>
              <a:cxn ang="0">
                <a:pos x="0" y="0"/>
              </a:cxn>
              <a:cxn ang="0">
                <a:pos x="14" y="0"/>
              </a:cxn>
              <a:cxn ang="0">
                <a:pos x="14" y="33"/>
              </a:cxn>
              <a:cxn ang="0">
                <a:pos x="0" y="33"/>
              </a:cxn>
              <a:cxn ang="0">
                <a:pos x="0" y="0"/>
              </a:cxn>
            </a:cxnLst>
            <a:rect l="0" t="0" r="r" b="b"/>
            <a:pathLst>
              <a:path w="15" h="34">
                <a:moveTo>
                  <a:pt x="0" y="0"/>
                </a:moveTo>
                <a:lnTo>
                  <a:pt x="14" y="0"/>
                </a:lnTo>
                <a:lnTo>
                  <a:pt x="14" y="33"/>
                </a:lnTo>
                <a:lnTo>
                  <a:pt x="0" y="33"/>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1" name="Freeform 10">
            <a:extLst>
              <a:ext uri="{FF2B5EF4-FFF2-40B4-BE49-F238E27FC236}">
                <a16:creationId xmlns:a16="http://schemas.microsoft.com/office/drawing/2014/main" id="{00000000-0008-0000-0000-00000B000000}"/>
              </a:ext>
            </a:extLst>
          </xdr:cNvPr>
          <xdr:cNvSpPr>
            <a:spLocks/>
          </xdr:cNvSpPr>
        </xdr:nvSpPr>
        <xdr:spPr bwMode="auto">
          <a:xfrm>
            <a:off x="538" y="3646"/>
            <a:ext cx="17" cy="40"/>
          </a:xfrm>
          <a:custGeom>
            <a:avLst/>
            <a:gdLst/>
            <a:ahLst/>
            <a:cxnLst>
              <a:cxn ang="0">
                <a:pos x="0" y="0"/>
              </a:cxn>
              <a:cxn ang="0">
                <a:pos x="14" y="0"/>
              </a:cxn>
              <a:cxn ang="0">
                <a:pos x="14" y="39"/>
              </a:cxn>
              <a:cxn ang="0">
                <a:pos x="0" y="39"/>
              </a:cxn>
              <a:cxn ang="0">
                <a:pos x="0" y="0"/>
              </a:cxn>
            </a:cxnLst>
            <a:rect l="0" t="0" r="r" b="b"/>
            <a:pathLst>
              <a:path w="15" h="40">
                <a:moveTo>
                  <a:pt x="0" y="0"/>
                </a:moveTo>
                <a:lnTo>
                  <a:pt x="14" y="0"/>
                </a:lnTo>
                <a:lnTo>
                  <a:pt x="14" y="39"/>
                </a:lnTo>
                <a:lnTo>
                  <a:pt x="0" y="39"/>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2" name="Freeform 11">
            <a:extLst>
              <a:ext uri="{FF2B5EF4-FFF2-40B4-BE49-F238E27FC236}">
                <a16:creationId xmlns:a16="http://schemas.microsoft.com/office/drawing/2014/main" id="{00000000-0008-0000-0000-00000C000000}"/>
              </a:ext>
            </a:extLst>
          </xdr:cNvPr>
          <xdr:cNvSpPr>
            <a:spLocks/>
          </xdr:cNvSpPr>
        </xdr:nvSpPr>
        <xdr:spPr bwMode="auto">
          <a:xfrm>
            <a:off x="538" y="3726"/>
            <a:ext cx="17" cy="39"/>
          </a:xfrm>
          <a:custGeom>
            <a:avLst/>
            <a:gdLst/>
            <a:ahLst/>
            <a:cxnLst>
              <a:cxn ang="0">
                <a:pos x="0" y="0"/>
              </a:cxn>
              <a:cxn ang="0">
                <a:pos x="14" y="0"/>
              </a:cxn>
              <a:cxn ang="0">
                <a:pos x="14" y="38"/>
              </a:cxn>
              <a:cxn ang="0">
                <a:pos x="0" y="38"/>
              </a:cxn>
              <a:cxn ang="0">
                <a:pos x="0" y="0"/>
              </a:cxn>
            </a:cxnLst>
            <a:rect l="0" t="0" r="r" b="b"/>
            <a:pathLst>
              <a:path w="15" h="39">
                <a:moveTo>
                  <a:pt x="0" y="0"/>
                </a:moveTo>
                <a:lnTo>
                  <a:pt x="14" y="0"/>
                </a:lnTo>
                <a:lnTo>
                  <a:pt x="14" y="38"/>
                </a:lnTo>
                <a:lnTo>
                  <a:pt x="0" y="38"/>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3" name="Freeform 12">
            <a:extLst>
              <a:ext uri="{FF2B5EF4-FFF2-40B4-BE49-F238E27FC236}">
                <a16:creationId xmlns:a16="http://schemas.microsoft.com/office/drawing/2014/main" id="{00000000-0008-0000-0000-00000D000000}"/>
              </a:ext>
            </a:extLst>
          </xdr:cNvPr>
          <xdr:cNvSpPr>
            <a:spLocks/>
          </xdr:cNvSpPr>
        </xdr:nvSpPr>
        <xdr:spPr bwMode="auto">
          <a:xfrm>
            <a:off x="292" y="3726"/>
            <a:ext cx="17" cy="39"/>
          </a:xfrm>
          <a:custGeom>
            <a:avLst/>
            <a:gdLst/>
            <a:ahLst/>
            <a:cxnLst>
              <a:cxn ang="0">
                <a:pos x="0" y="0"/>
              </a:cxn>
              <a:cxn ang="0">
                <a:pos x="14" y="0"/>
              </a:cxn>
              <a:cxn ang="0">
                <a:pos x="14" y="38"/>
              </a:cxn>
              <a:cxn ang="0">
                <a:pos x="0" y="38"/>
              </a:cxn>
              <a:cxn ang="0">
                <a:pos x="0" y="0"/>
              </a:cxn>
            </a:cxnLst>
            <a:rect l="0" t="0" r="r" b="b"/>
            <a:pathLst>
              <a:path w="15" h="39">
                <a:moveTo>
                  <a:pt x="0" y="0"/>
                </a:moveTo>
                <a:lnTo>
                  <a:pt x="14" y="0"/>
                </a:lnTo>
                <a:lnTo>
                  <a:pt x="14" y="38"/>
                </a:lnTo>
                <a:lnTo>
                  <a:pt x="0" y="38"/>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4" name="Freeform 13">
            <a:extLst>
              <a:ext uri="{FF2B5EF4-FFF2-40B4-BE49-F238E27FC236}">
                <a16:creationId xmlns:a16="http://schemas.microsoft.com/office/drawing/2014/main" id="{00000000-0008-0000-0000-00000E000000}"/>
              </a:ext>
            </a:extLst>
          </xdr:cNvPr>
          <xdr:cNvSpPr>
            <a:spLocks/>
          </xdr:cNvSpPr>
        </xdr:nvSpPr>
        <xdr:spPr bwMode="auto">
          <a:xfrm>
            <a:off x="292" y="3646"/>
            <a:ext cx="17" cy="40"/>
          </a:xfrm>
          <a:custGeom>
            <a:avLst/>
            <a:gdLst/>
            <a:ahLst/>
            <a:cxnLst>
              <a:cxn ang="0">
                <a:pos x="0" y="0"/>
              </a:cxn>
              <a:cxn ang="0">
                <a:pos x="14" y="0"/>
              </a:cxn>
              <a:cxn ang="0">
                <a:pos x="14" y="39"/>
              </a:cxn>
              <a:cxn ang="0">
                <a:pos x="0" y="39"/>
              </a:cxn>
              <a:cxn ang="0">
                <a:pos x="0" y="0"/>
              </a:cxn>
            </a:cxnLst>
            <a:rect l="0" t="0" r="r" b="b"/>
            <a:pathLst>
              <a:path w="15" h="40">
                <a:moveTo>
                  <a:pt x="0" y="0"/>
                </a:moveTo>
                <a:lnTo>
                  <a:pt x="14" y="0"/>
                </a:lnTo>
                <a:lnTo>
                  <a:pt x="14" y="39"/>
                </a:lnTo>
                <a:lnTo>
                  <a:pt x="0" y="39"/>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123826</xdr:colOff>
      <xdr:row>112</xdr:row>
      <xdr:rowOff>113619</xdr:rowOff>
    </xdr:from>
    <xdr:to>
      <xdr:col>13</xdr:col>
      <xdr:colOff>114301</xdr:colOff>
      <xdr:row>135</xdr:row>
      <xdr:rowOff>190500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133352</xdr:colOff>
      <xdr:row>29</xdr:row>
      <xdr:rowOff>29633</xdr:rowOff>
    </xdr:from>
    <xdr:to>
      <xdr:col>26</xdr:col>
      <xdr:colOff>504826</xdr:colOff>
      <xdr:row>30</xdr:row>
      <xdr:rowOff>183091</xdr:rowOff>
    </xdr:to>
    <xdr:grpSp>
      <xdr:nvGrpSpPr>
        <xdr:cNvPr id="3" name="Group 2">
          <a:extLst>
            <a:ext uri="{FF2B5EF4-FFF2-40B4-BE49-F238E27FC236}">
              <a16:creationId xmlns:a16="http://schemas.microsoft.com/office/drawing/2014/main" id="{00000000-0008-0000-0100-000003000000}"/>
            </a:ext>
          </a:extLst>
        </xdr:cNvPr>
        <xdr:cNvGrpSpPr>
          <a:grpSpLocks/>
        </xdr:cNvGrpSpPr>
      </xdr:nvGrpSpPr>
      <xdr:grpSpPr bwMode="auto">
        <a:xfrm>
          <a:off x="16563977" y="3524250"/>
          <a:ext cx="371474" cy="0"/>
          <a:chOff x="164" y="3510"/>
          <a:chExt cx="510" cy="371"/>
        </a:xfrm>
      </xdr:grpSpPr>
      <xdr:sp macro="" textlink="">
        <xdr:nvSpPr>
          <xdr:cNvPr id="4" name="Freeform 3">
            <a:extLst>
              <a:ext uri="{FF2B5EF4-FFF2-40B4-BE49-F238E27FC236}">
                <a16:creationId xmlns:a16="http://schemas.microsoft.com/office/drawing/2014/main" id="{00000000-0008-0000-0100-000004000000}"/>
              </a:ext>
            </a:extLst>
          </xdr:cNvPr>
          <xdr:cNvSpPr>
            <a:spLocks/>
          </xdr:cNvSpPr>
        </xdr:nvSpPr>
        <xdr:spPr bwMode="auto">
          <a:xfrm>
            <a:off x="164" y="3510"/>
            <a:ext cx="510" cy="371"/>
          </a:xfrm>
          <a:custGeom>
            <a:avLst/>
            <a:gdLst/>
            <a:ahLst/>
            <a:cxnLst>
              <a:cxn ang="0">
                <a:pos x="59" y="0"/>
              </a:cxn>
              <a:cxn ang="0">
                <a:pos x="394" y="0"/>
              </a:cxn>
              <a:cxn ang="0">
                <a:pos x="406" y="1"/>
              </a:cxn>
              <a:cxn ang="0">
                <a:pos x="418" y="5"/>
              </a:cxn>
              <a:cxn ang="0">
                <a:pos x="426" y="12"/>
              </a:cxn>
              <a:cxn ang="0">
                <a:pos x="434" y="19"/>
              </a:cxn>
              <a:cxn ang="0">
                <a:pos x="442" y="28"/>
              </a:cxn>
              <a:cxn ang="0">
                <a:pos x="448" y="39"/>
              </a:cxn>
              <a:cxn ang="0">
                <a:pos x="452" y="51"/>
              </a:cxn>
              <a:cxn ang="0">
                <a:pos x="453" y="63"/>
              </a:cxn>
              <a:cxn ang="0">
                <a:pos x="453" y="308"/>
              </a:cxn>
              <a:cxn ang="0">
                <a:pos x="452" y="320"/>
              </a:cxn>
              <a:cxn ang="0">
                <a:pos x="448" y="332"/>
              </a:cxn>
              <a:cxn ang="0">
                <a:pos x="442" y="343"/>
              </a:cxn>
              <a:cxn ang="0">
                <a:pos x="434" y="352"/>
              </a:cxn>
              <a:cxn ang="0">
                <a:pos x="426" y="359"/>
              </a:cxn>
              <a:cxn ang="0">
                <a:pos x="418" y="366"/>
              </a:cxn>
              <a:cxn ang="0">
                <a:pos x="406" y="369"/>
              </a:cxn>
              <a:cxn ang="0">
                <a:pos x="394" y="370"/>
              </a:cxn>
              <a:cxn ang="0">
                <a:pos x="59" y="370"/>
              </a:cxn>
              <a:cxn ang="0">
                <a:pos x="47" y="369"/>
              </a:cxn>
              <a:cxn ang="0">
                <a:pos x="36" y="366"/>
              </a:cxn>
              <a:cxn ang="0">
                <a:pos x="27" y="359"/>
              </a:cxn>
              <a:cxn ang="0">
                <a:pos x="17" y="352"/>
              </a:cxn>
              <a:cxn ang="0">
                <a:pos x="11" y="343"/>
              </a:cxn>
              <a:cxn ang="0">
                <a:pos x="4" y="332"/>
              </a:cxn>
              <a:cxn ang="0">
                <a:pos x="1" y="320"/>
              </a:cxn>
              <a:cxn ang="0">
                <a:pos x="0" y="308"/>
              </a:cxn>
              <a:cxn ang="0">
                <a:pos x="0" y="63"/>
              </a:cxn>
              <a:cxn ang="0">
                <a:pos x="1" y="51"/>
              </a:cxn>
              <a:cxn ang="0">
                <a:pos x="4" y="39"/>
              </a:cxn>
              <a:cxn ang="0">
                <a:pos x="11" y="28"/>
              </a:cxn>
              <a:cxn ang="0">
                <a:pos x="17" y="19"/>
              </a:cxn>
              <a:cxn ang="0">
                <a:pos x="27" y="12"/>
              </a:cxn>
              <a:cxn ang="0">
                <a:pos x="36" y="5"/>
              </a:cxn>
              <a:cxn ang="0">
                <a:pos x="47" y="1"/>
              </a:cxn>
              <a:cxn ang="0">
                <a:pos x="59" y="0"/>
              </a:cxn>
            </a:cxnLst>
            <a:rect l="0" t="0" r="r" b="b"/>
            <a:pathLst>
              <a:path w="454" h="371">
                <a:moveTo>
                  <a:pt x="59" y="0"/>
                </a:moveTo>
                <a:lnTo>
                  <a:pt x="394" y="0"/>
                </a:lnTo>
                <a:lnTo>
                  <a:pt x="406" y="1"/>
                </a:lnTo>
                <a:lnTo>
                  <a:pt x="418" y="5"/>
                </a:lnTo>
                <a:lnTo>
                  <a:pt x="426" y="12"/>
                </a:lnTo>
                <a:lnTo>
                  <a:pt x="434" y="19"/>
                </a:lnTo>
                <a:lnTo>
                  <a:pt x="442" y="28"/>
                </a:lnTo>
                <a:lnTo>
                  <a:pt x="448" y="39"/>
                </a:lnTo>
                <a:lnTo>
                  <a:pt x="452" y="51"/>
                </a:lnTo>
                <a:lnTo>
                  <a:pt x="453" y="63"/>
                </a:lnTo>
                <a:lnTo>
                  <a:pt x="453" y="308"/>
                </a:lnTo>
                <a:lnTo>
                  <a:pt x="452" y="320"/>
                </a:lnTo>
                <a:lnTo>
                  <a:pt x="448" y="332"/>
                </a:lnTo>
                <a:lnTo>
                  <a:pt x="442" y="343"/>
                </a:lnTo>
                <a:lnTo>
                  <a:pt x="434" y="352"/>
                </a:lnTo>
                <a:lnTo>
                  <a:pt x="426" y="359"/>
                </a:lnTo>
                <a:lnTo>
                  <a:pt x="418" y="366"/>
                </a:lnTo>
                <a:lnTo>
                  <a:pt x="406" y="369"/>
                </a:lnTo>
                <a:lnTo>
                  <a:pt x="394" y="370"/>
                </a:lnTo>
                <a:lnTo>
                  <a:pt x="59" y="370"/>
                </a:lnTo>
                <a:lnTo>
                  <a:pt x="47" y="369"/>
                </a:lnTo>
                <a:lnTo>
                  <a:pt x="36" y="366"/>
                </a:lnTo>
                <a:lnTo>
                  <a:pt x="27" y="359"/>
                </a:lnTo>
                <a:lnTo>
                  <a:pt x="17" y="352"/>
                </a:lnTo>
                <a:lnTo>
                  <a:pt x="11" y="343"/>
                </a:lnTo>
                <a:lnTo>
                  <a:pt x="4" y="332"/>
                </a:lnTo>
                <a:lnTo>
                  <a:pt x="1" y="320"/>
                </a:lnTo>
                <a:lnTo>
                  <a:pt x="0" y="308"/>
                </a:lnTo>
                <a:lnTo>
                  <a:pt x="0" y="63"/>
                </a:lnTo>
                <a:lnTo>
                  <a:pt x="1" y="51"/>
                </a:lnTo>
                <a:lnTo>
                  <a:pt x="4" y="39"/>
                </a:lnTo>
                <a:lnTo>
                  <a:pt x="11" y="28"/>
                </a:lnTo>
                <a:lnTo>
                  <a:pt x="17" y="19"/>
                </a:lnTo>
                <a:lnTo>
                  <a:pt x="27" y="12"/>
                </a:lnTo>
                <a:lnTo>
                  <a:pt x="36" y="5"/>
                </a:lnTo>
                <a:lnTo>
                  <a:pt x="47" y="1"/>
                </a:lnTo>
                <a:lnTo>
                  <a:pt x="59"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5" name="Freeform 4">
            <a:extLst>
              <a:ext uri="{FF2B5EF4-FFF2-40B4-BE49-F238E27FC236}">
                <a16:creationId xmlns:a16="http://schemas.microsoft.com/office/drawing/2014/main" id="{00000000-0008-0000-0100-000005000000}"/>
              </a:ext>
            </a:extLst>
          </xdr:cNvPr>
          <xdr:cNvSpPr>
            <a:spLocks/>
          </xdr:cNvSpPr>
        </xdr:nvSpPr>
        <xdr:spPr bwMode="auto">
          <a:xfrm>
            <a:off x="196" y="3541"/>
            <a:ext cx="449" cy="314"/>
          </a:xfrm>
          <a:custGeom>
            <a:avLst/>
            <a:gdLst/>
            <a:ahLst/>
            <a:cxnLst>
              <a:cxn ang="0">
                <a:pos x="29" y="0"/>
              </a:cxn>
              <a:cxn ang="0">
                <a:pos x="369" y="0"/>
              </a:cxn>
              <a:cxn ang="0">
                <a:pos x="374" y="0"/>
              </a:cxn>
              <a:cxn ang="0">
                <a:pos x="380" y="2"/>
              </a:cxn>
              <a:cxn ang="0">
                <a:pos x="386" y="5"/>
              </a:cxn>
              <a:cxn ang="0">
                <a:pos x="390" y="8"/>
              </a:cxn>
              <a:cxn ang="0">
                <a:pos x="393" y="14"/>
              </a:cxn>
              <a:cxn ang="0">
                <a:pos x="395" y="19"/>
              </a:cxn>
              <a:cxn ang="0">
                <a:pos x="397" y="24"/>
              </a:cxn>
              <a:cxn ang="0">
                <a:pos x="398" y="30"/>
              </a:cxn>
              <a:cxn ang="0">
                <a:pos x="398" y="283"/>
              </a:cxn>
              <a:cxn ang="0">
                <a:pos x="397" y="289"/>
              </a:cxn>
              <a:cxn ang="0">
                <a:pos x="395" y="294"/>
              </a:cxn>
              <a:cxn ang="0">
                <a:pos x="393" y="299"/>
              </a:cxn>
              <a:cxn ang="0">
                <a:pos x="390" y="304"/>
              </a:cxn>
              <a:cxn ang="0">
                <a:pos x="386" y="308"/>
              </a:cxn>
              <a:cxn ang="0">
                <a:pos x="380" y="310"/>
              </a:cxn>
              <a:cxn ang="0">
                <a:pos x="374" y="312"/>
              </a:cxn>
              <a:cxn ang="0">
                <a:pos x="369" y="313"/>
              </a:cxn>
              <a:cxn ang="0">
                <a:pos x="29" y="313"/>
              </a:cxn>
              <a:cxn ang="0">
                <a:pos x="24" y="312"/>
              </a:cxn>
              <a:cxn ang="0">
                <a:pos x="18" y="310"/>
              </a:cxn>
              <a:cxn ang="0">
                <a:pos x="13" y="308"/>
              </a:cxn>
              <a:cxn ang="0">
                <a:pos x="9" y="304"/>
              </a:cxn>
              <a:cxn ang="0">
                <a:pos x="5" y="299"/>
              </a:cxn>
              <a:cxn ang="0">
                <a:pos x="4" y="294"/>
              </a:cxn>
              <a:cxn ang="0">
                <a:pos x="1" y="289"/>
              </a:cxn>
              <a:cxn ang="0">
                <a:pos x="0" y="283"/>
              </a:cxn>
              <a:cxn ang="0">
                <a:pos x="0" y="30"/>
              </a:cxn>
              <a:cxn ang="0">
                <a:pos x="1" y="24"/>
              </a:cxn>
              <a:cxn ang="0">
                <a:pos x="4" y="19"/>
              </a:cxn>
              <a:cxn ang="0">
                <a:pos x="5" y="14"/>
              </a:cxn>
              <a:cxn ang="0">
                <a:pos x="9" y="8"/>
              </a:cxn>
              <a:cxn ang="0">
                <a:pos x="13" y="5"/>
              </a:cxn>
              <a:cxn ang="0">
                <a:pos x="18" y="2"/>
              </a:cxn>
              <a:cxn ang="0">
                <a:pos x="24" y="0"/>
              </a:cxn>
              <a:cxn ang="0">
                <a:pos x="29" y="0"/>
              </a:cxn>
            </a:cxnLst>
            <a:rect l="0" t="0" r="r" b="b"/>
            <a:pathLst>
              <a:path w="399" h="314">
                <a:moveTo>
                  <a:pt x="29" y="0"/>
                </a:moveTo>
                <a:lnTo>
                  <a:pt x="369" y="0"/>
                </a:lnTo>
                <a:lnTo>
                  <a:pt x="374" y="0"/>
                </a:lnTo>
                <a:lnTo>
                  <a:pt x="380" y="2"/>
                </a:lnTo>
                <a:lnTo>
                  <a:pt x="386" y="5"/>
                </a:lnTo>
                <a:lnTo>
                  <a:pt x="390" y="8"/>
                </a:lnTo>
                <a:lnTo>
                  <a:pt x="393" y="14"/>
                </a:lnTo>
                <a:lnTo>
                  <a:pt x="395" y="19"/>
                </a:lnTo>
                <a:lnTo>
                  <a:pt x="397" y="24"/>
                </a:lnTo>
                <a:lnTo>
                  <a:pt x="398" y="30"/>
                </a:lnTo>
                <a:lnTo>
                  <a:pt x="398" y="283"/>
                </a:lnTo>
                <a:lnTo>
                  <a:pt x="397" y="289"/>
                </a:lnTo>
                <a:lnTo>
                  <a:pt x="395" y="294"/>
                </a:lnTo>
                <a:lnTo>
                  <a:pt x="393" y="299"/>
                </a:lnTo>
                <a:lnTo>
                  <a:pt x="390" y="304"/>
                </a:lnTo>
                <a:lnTo>
                  <a:pt x="386" y="308"/>
                </a:lnTo>
                <a:lnTo>
                  <a:pt x="380" y="310"/>
                </a:lnTo>
                <a:lnTo>
                  <a:pt x="374" y="312"/>
                </a:lnTo>
                <a:lnTo>
                  <a:pt x="369" y="313"/>
                </a:lnTo>
                <a:lnTo>
                  <a:pt x="29" y="313"/>
                </a:lnTo>
                <a:lnTo>
                  <a:pt x="24" y="312"/>
                </a:lnTo>
                <a:lnTo>
                  <a:pt x="18" y="310"/>
                </a:lnTo>
                <a:lnTo>
                  <a:pt x="13" y="308"/>
                </a:lnTo>
                <a:lnTo>
                  <a:pt x="9" y="304"/>
                </a:lnTo>
                <a:lnTo>
                  <a:pt x="5" y="299"/>
                </a:lnTo>
                <a:lnTo>
                  <a:pt x="4" y="294"/>
                </a:lnTo>
                <a:lnTo>
                  <a:pt x="1" y="289"/>
                </a:lnTo>
                <a:lnTo>
                  <a:pt x="0" y="283"/>
                </a:lnTo>
                <a:lnTo>
                  <a:pt x="0" y="30"/>
                </a:lnTo>
                <a:lnTo>
                  <a:pt x="1" y="24"/>
                </a:lnTo>
                <a:lnTo>
                  <a:pt x="4" y="19"/>
                </a:lnTo>
                <a:lnTo>
                  <a:pt x="5" y="14"/>
                </a:lnTo>
                <a:lnTo>
                  <a:pt x="9" y="8"/>
                </a:lnTo>
                <a:lnTo>
                  <a:pt x="13" y="5"/>
                </a:lnTo>
                <a:lnTo>
                  <a:pt x="18" y="2"/>
                </a:lnTo>
                <a:lnTo>
                  <a:pt x="24" y="0"/>
                </a:lnTo>
                <a:lnTo>
                  <a:pt x="29" y="0"/>
                </a:lnTo>
              </a:path>
            </a:pathLst>
          </a:custGeom>
          <a:solidFill>
            <a:srgbClr val="FFFFFF"/>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6" name="Freeform 5">
            <a:extLst>
              <a:ext uri="{FF2B5EF4-FFF2-40B4-BE49-F238E27FC236}">
                <a16:creationId xmlns:a16="http://schemas.microsoft.com/office/drawing/2014/main" id="{00000000-0008-0000-0100-000006000000}"/>
              </a:ext>
            </a:extLst>
          </xdr:cNvPr>
          <xdr:cNvSpPr>
            <a:spLocks/>
          </xdr:cNvSpPr>
        </xdr:nvSpPr>
        <xdr:spPr bwMode="auto">
          <a:xfrm>
            <a:off x="214" y="3558"/>
            <a:ext cx="414" cy="278"/>
          </a:xfrm>
          <a:custGeom>
            <a:avLst/>
            <a:gdLst/>
            <a:ahLst/>
            <a:cxnLst>
              <a:cxn ang="0">
                <a:pos x="17" y="0"/>
              </a:cxn>
              <a:cxn ang="0">
                <a:pos x="351" y="0"/>
              </a:cxn>
              <a:cxn ang="0">
                <a:pos x="355" y="0"/>
              </a:cxn>
              <a:cxn ang="0">
                <a:pos x="358" y="1"/>
              </a:cxn>
              <a:cxn ang="0">
                <a:pos x="360" y="3"/>
              </a:cxn>
              <a:cxn ang="0">
                <a:pos x="363" y="5"/>
              </a:cxn>
              <a:cxn ang="0">
                <a:pos x="364" y="7"/>
              </a:cxn>
              <a:cxn ang="0">
                <a:pos x="366" y="10"/>
              </a:cxn>
              <a:cxn ang="0">
                <a:pos x="367" y="14"/>
              </a:cxn>
              <a:cxn ang="0">
                <a:pos x="367" y="17"/>
              </a:cxn>
              <a:cxn ang="0">
                <a:pos x="367" y="260"/>
              </a:cxn>
              <a:cxn ang="0">
                <a:pos x="367" y="263"/>
              </a:cxn>
              <a:cxn ang="0">
                <a:pos x="366" y="267"/>
              </a:cxn>
              <a:cxn ang="0">
                <a:pos x="364" y="270"/>
              </a:cxn>
              <a:cxn ang="0">
                <a:pos x="363" y="272"/>
              </a:cxn>
              <a:cxn ang="0">
                <a:pos x="360" y="274"/>
              </a:cxn>
              <a:cxn ang="0">
                <a:pos x="358" y="276"/>
              </a:cxn>
              <a:cxn ang="0">
                <a:pos x="355" y="276"/>
              </a:cxn>
              <a:cxn ang="0">
                <a:pos x="351" y="277"/>
              </a:cxn>
              <a:cxn ang="0">
                <a:pos x="17" y="277"/>
              </a:cxn>
              <a:cxn ang="0">
                <a:pos x="13" y="276"/>
              </a:cxn>
              <a:cxn ang="0">
                <a:pos x="11" y="276"/>
              </a:cxn>
              <a:cxn ang="0">
                <a:pos x="8" y="274"/>
              </a:cxn>
              <a:cxn ang="0">
                <a:pos x="5" y="272"/>
              </a:cxn>
              <a:cxn ang="0">
                <a:pos x="4" y="270"/>
              </a:cxn>
              <a:cxn ang="0">
                <a:pos x="1" y="267"/>
              </a:cxn>
              <a:cxn ang="0">
                <a:pos x="1" y="263"/>
              </a:cxn>
              <a:cxn ang="0">
                <a:pos x="0" y="260"/>
              </a:cxn>
              <a:cxn ang="0">
                <a:pos x="0" y="17"/>
              </a:cxn>
              <a:cxn ang="0">
                <a:pos x="1" y="14"/>
              </a:cxn>
              <a:cxn ang="0">
                <a:pos x="1" y="10"/>
              </a:cxn>
              <a:cxn ang="0">
                <a:pos x="4" y="7"/>
              </a:cxn>
              <a:cxn ang="0">
                <a:pos x="5" y="5"/>
              </a:cxn>
              <a:cxn ang="0">
                <a:pos x="8" y="3"/>
              </a:cxn>
              <a:cxn ang="0">
                <a:pos x="11" y="1"/>
              </a:cxn>
              <a:cxn ang="0">
                <a:pos x="13" y="0"/>
              </a:cxn>
              <a:cxn ang="0">
                <a:pos x="17" y="0"/>
              </a:cxn>
            </a:cxnLst>
            <a:rect l="0" t="0" r="r" b="b"/>
            <a:pathLst>
              <a:path w="368" h="278">
                <a:moveTo>
                  <a:pt x="17" y="0"/>
                </a:moveTo>
                <a:lnTo>
                  <a:pt x="351" y="0"/>
                </a:lnTo>
                <a:lnTo>
                  <a:pt x="355" y="0"/>
                </a:lnTo>
                <a:lnTo>
                  <a:pt x="358" y="1"/>
                </a:lnTo>
                <a:lnTo>
                  <a:pt x="360" y="3"/>
                </a:lnTo>
                <a:lnTo>
                  <a:pt x="363" y="5"/>
                </a:lnTo>
                <a:lnTo>
                  <a:pt x="364" y="7"/>
                </a:lnTo>
                <a:lnTo>
                  <a:pt x="366" y="10"/>
                </a:lnTo>
                <a:lnTo>
                  <a:pt x="367" y="14"/>
                </a:lnTo>
                <a:lnTo>
                  <a:pt x="367" y="17"/>
                </a:lnTo>
                <a:lnTo>
                  <a:pt x="367" y="260"/>
                </a:lnTo>
                <a:lnTo>
                  <a:pt x="367" y="263"/>
                </a:lnTo>
                <a:lnTo>
                  <a:pt x="366" y="267"/>
                </a:lnTo>
                <a:lnTo>
                  <a:pt x="364" y="270"/>
                </a:lnTo>
                <a:lnTo>
                  <a:pt x="363" y="272"/>
                </a:lnTo>
                <a:lnTo>
                  <a:pt x="360" y="274"/>
                </a:lnTo>
                <a:lnTo>
                  <a:pt x="358" y="276"/>
                </a:lnTo>
                <a:lnTo>
                  <a:pt x="355" y="276"/>
                </a:lnTo>
                <a:lnTo>
                  <a:pt x="351" y="277"/>
                </a:lnTo>
                <a:lnTo>
                  <a:pt x="17" y="277"/>
                </a:lnTo>
                <a:lnTo>
                  <a:pt x="13" y="276"/>
                </a:lnTo>
                <a:lnTo>
                  <a:pt x="11" y="276"/>
                </a:lnTo>
                <a:lnTo>
                  <a:pt x="8" y="274"/>
                </a:lnTo>
                <a:lnTo>
                  <a:pt x="5" y="272"/>
                </a:lnTo>
                <a:lnTo>
                  <a:pt x="4" y="270"/>
                </a:lnTo>
                <a:lnTo>
                  <a:pt x="1" y="267"/>
                </a:lnTo>
                <a:lnTo>
                  <a:pt x="1" y="263"/>
                </a:lnTo>
                <a:lnTo>
                  <a:pt x="0" y="260"/>
                </a:lnTo>
                <a:lnTo>
                  <a:pt x="0" y="17"/>
                </a:lnTo>
                <a:lnTo>
                  <a:pt x="1" y="14"/>
                </a:lnTo>
                <a:lnTo>
                  <a:pt x="1" y="10"/>
                </a:lnTo>
                <a:lnTo>
                  <a:pt x="4" y="7"/>
                </a:lnTo>
                <a:lnTo>
                  <a:pt x="5" y="5"/>
                </a:lnTo>
                <a:lnTo>
                  <a:pt x="8" y="3"/>
                </a:lnTo>
                <a:lnTo>
                  <a:pt x="11" y="1"/>
                </a:lnTo>
                <a:lnTo>
                  <a:pt x="13" y="0"/>
                </a:lnTo>
                <a:lnTo>
                  <a:pt x="17"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7" name="Freeform 6">
            <a:extLst>
              <a:ext uri="{FF2B5EF4-FFF2-40B4-BE49-F238E27FC236}">
                <a16:creationId xmlns:a16="http://schemas.microsoft.com/office/drawing/2014/main" id="{00000000-0008-0000-0100-000007000000}"/>
              </a:ext>
            </a:extLst>
          </xdr:cNvPr>
          <xdr:cNvSpPr>
            <a:spLocks/>
          </xdr:cNvSpPr>
        </xdr:nvSpPr>
        <xdr:spPr bwMode="auto">
          <a:xfrm>
            <a:off x="251" y="3591"/>
            <a:ext cx="341" cy="211"/>
          </a:xfrm>
          <a:custGeom>
            <a:avLst/>
            <a:gdLst/>
            <a:ahLst/>
            <a:cxnLst>
              <a:cxn ang="0">
                <a:pos x="0" y="210"/>
              </a:cxn>
              <a:cxn ang="0">
                <a:pos x="0" y="173"/>
              </a:cxn>
              <a:cxn ang="0">
                <a:pos x="12" y="162"/>
              </a:cxn>
              <a:cxn ang="0">
                <a:pos x="12" y="46"/>
              </a:cxn>
              <a:cxn ang="0">
                <a:pos x="0" y="32"/>
              </a:cxn>
              <a:cxn ang="0">
                <a:pos x="0" y="2"/>
              </a:cxn>
              <a:cxn ang="0">
                <a:pos x="18" y="2"/>
              </a:cxn>
              <a:cxn ang="0">
                <a:pos x="18" y="19"/>
              </a:cxn>
              <a:cxn ang="0">
                <a:pos x="34" y="19"/>
              </a:cxn>
              <a:cxn ang="0">
                <a:pos x="34" y="2"/>
              </a:cxn>
              <a:cxn ang="0">
                <a:pos x="57" y="2"/>
              </a:cxn>
              <a:cxn ang="0">
                <a:pos x="57" y="19"/>
              </a:cxn>
              <a:cxn ang="0">
                <a:pos x="59" y="19"/>
              </a:cxn>
              <a:cxn ang="0">
                <a:pos x="74" y="19"/>
              </a:cxn>
              <a:cxn ang="0">
                <a:pos x="74" y="2"/>
              </a:cxn>
              <a:cxn ang="0">
                <a:pos x="92" y="2"/>
              </a:cxn>
              <a:cxn ang="0">
                <a:pos x="92" y="31"/>
              </a:cxn>
              <a:cxn ang="0">
                <a:pos x="79" y="45"/>
              </a:cxn>
              <a:cxn ang="0">
                <a:pos x="79" y="98"/>
              </a:cxn>
              <a:cxn ang="0">
                <a:pos x="119" y="98"/>
              </a:cxn>
              <a:cxn ang="0">
                <a:pos x="119" y="80"/>
              </a:cxn>
              <a:cxn ang="0">
                <a:pos x="108" y="70"/>
              </a:cxn>
              <a:cxn ang="0">
                <a:pos x="108" y="38"/>
              </a:cxn>
              <a:cxn ang="0">
                <a:pos x="125" y="38"/>
              </a:cxn>
              <a:cxn ang="0">
                <a:pos x="125" y="55"/>
              </a:cxn>
              <a:cxn ang="0">
                <a:pos x="143" y="55"/>
              </a:cxn>
              <a:cxn ang="0">
                <a:pos x="143" y="38"/>
              </a:cxn>
              <a:cxn ang="0">
                <a:pos x="160" y="38"/>
              </a:cxn>
              <a:cxn ang="0">
                <a:pos x="160" y="56"/>
              </a:cxn>
              <a:cxn ang="0">
                <a:pos x="176" y="56"/>
              </a:cxn>
              <a:cxn ang="0">
                <a:pos x="176" y="38"/>
              </a:cxn>
              <a:cxn ang="0">
                <a:pos x="193" y="38"/>
              </a:cxn>
              <a:cxn ang="0">
                <a:pos x="193" y="69"/>
              </a:cxn>
              <a:cxn ang="0">
                <a:pos x="183" y="81"/>
              </a:cxn>
              <a:cxn ang="0">
                <a:pos x="183" y="99"/>
              </a:cxn>
              <a:cxn ang="0">
                <a:pos x="223" y="99"/>
              </a:cxn>
              <a:cxn ang="0">
                <a:pos x="223" y="47"/>
              </a:cxn>
              <a:cxn ang="0">
                <a:pos x="210" y="32"/>
              </a:cxn>
              <a:cxn ang="0">
                <a:pos x="210" y="1"/>
              </a:cxn>
              <a:cxn ang="0">
                <a:pos x="227" y="1"/>
              </a:cxn>
              <a:cxn ang="0">
                <a:pos x="227" y="19"/>
              </a:cxn>
              <a:cxn ang="0">
                <a:pos x="244" y="19"/>
              </a:cxn>
              <a:cxn ang="0">
                <a:pos x="244" y="0"/>
              </a:cxn>
              <a:cxn ang="0">
                <a:pos x="267" y="0"/>
              </a:cxn>
              <a:cxn ang="0">
                <a:pos x="267" y="19"/>
              </a:cxn>
              <a:cxn ang="0">
                <a:pos x="285" y="19"/>
              </a:cxn>
              <a:cxn ang="0">
                <a:pos x="285" y="0"/>
              </a:cxn>
              <a:cxn ang="0">
                <a:pos x="302" y="0"/>
              </a:cxn>
              <a:cxn ang="0">
                <a:pos x="302" y="30"/>
              </a:cxn>
              <a:cxn ang="0">
                <a:pos x="291" y="45"/>
              </a:cxn>
              <a:cxn ang="0">
                <a:pos x="291" y="162"/>
              </a:cxn>
              <a:cxn ang="0">
                <a:pos x="302" y="174"/>
              </a:cxn>
              <a:cxn ang="0">
                <a:pos x="302" y="210"/>
              </a:cxn>
              <a:cxn ang="0">
                <a:pos x="0" y="210"/>
              </a:cxn>
            </a:cxnLst>
            <a:rect l="0" t="0" r="r" b="b"/>
            <a:pathLst>
              <a:path w="303" h="211">
                <a:moveTo>
                  <a:pt x="0" y="210"/>
                </a:moveTo>
                <a:lnTo>
                  <a:pt x="0" y="173"/>
                </a:lnTo>
                <a:lnTo>
                  <a:pt x="12" y="162"/>
                </a:lnTo>
                <a:lnTo>
                  <a:pt x="12" y="46"/>
                </a:lnTo>
                <a:lnTo>
                  <a:pt x="0" y="32"/>
                </a:lnTo>
                <a:lnTo>
                  <a:pt x="0" y="2"/>
                </a:lnTo>
                <a:lnTo>
                  <a:pt x="18" y="2"/>
                </a:lnTo>
                <a:lnTo>
                  <a:pt x="18" y="19"/>
                </a:lnTo>
                <a:lnTo>
                  <a:pt x="34" y="19"/>
                </a:lnTo>
                <a:lnTo>
                  <a:pt x="34" y="2"/>
                </a:lnTo>
                <a:lnTo>
                  <a:pt x="57" y="2"/>
                </a:lnTo>
                <a:lnTo>
                  <a:pt x="57" y="19"/>
                </a:lnTo>
                <a:lnTo>
                  <a:pt x="59" y="19"/>
                </a:lnTo>
                <a:lnTo>
                  <a:pt x="74" y="19"/>
                </a:lnTo>
                <a:lnTo>
                  <a:pt x="74" y="2"/>
                </a:lnTo>
                <a:lnTo>
                  <a:pt x="92" y="2"/>
                </a:lnTo>
                <a:lnTo>
                  <a:pt x="92" y="31"/>
                </a:lnTo>
                <a:lnTo>
                  <a:pt x="79" y="45"/>
                </a:lnTo>
                <a:lnTo>
                  <a:pt x="79" y="98"/>
                </a:lnTo>
                <a:lnTo>
                  <a:pt x="119" y="98"/>
                </a:lnTo>
                <a:lnTo>
                  <a:pt x="119" y="80"/>
                </a:lnTo>
                <a:lnTo>
                  <a:pt x="108" y="70"/>
                </a:lnTo>
                <a:lnTo>
                  <a:pt x="108" y="38"/>
                </a:lnTo>
                <a:lnTo>
                  <a:pt x="125" y="38"/>
                </a:lnTo>
                <a:lnTo>
                  <a:pt x="125" y="55"/>
                </a:lnTo>
                <a:lnTo>
                  <a:pt x="143" y="55"/>
                </a:lnTo>
                <a:lnTo>
                  <a:pt x="143" y="38"/>
                </a:lnTo>
                <a:lnTo>
                  <a:pt x="160" y="38"/>
                </a:lnTo>
                <a:lnTo>
                  <a:pt x="160" y="56"/>
                </a:lnTo>
                <a:lnTo>
                  <a:pt x="176" y="56"/>
                </a:lnTo>
                <a:lnTo>
                  <a:pt x="176" y="38"/>
                </a:lnTo>
                <a:lnTo>
                  <a:pt x="193" y="38"/>
                </a:lnTo>
                <a:lnTo>
                  <a:pt x="193" y="69"/>
                </a:lnTo>
                <a:lnTo>
                  <a:pt x="183" y="81"/>
                </a:lnTo>
                <a:lnTo>
                  <a:pt x="183" y="99"/>
                </a:lnTo>
                <a:lnTo>
                  <a:pt x="223" y="99"/>
                </a:lnTo>
                <a:lnTo>
                  <a:pt x="223" y="47"/>
                </a:lnTo>
                <a:lnTo>
                  <a:pt x="210" y="32"/>
                </a:lnTo>
                <a:lnTo>
                  <a:pt x="210" y="1"/>
                </a:lnTo>
                <a:lnTo>
                  <a:pt x="227" y="1"/>
                </a:lnTo>
                <a:lnTo>
                  <a:pt x="227" y="19"/>
                </a:lnTo>
                <a:lnTo>
                  <a:pt x="244" y="19"/>
                </a:lnTo>
                <a:lnTo>
                  <a:pt x="244" y="0"/>
                </a:lnTo>
                <a:lnTo>
                  <a:pt x="267" y="0"/>
                </a:lnTo>
                <a:lnTo>
                  <a:pt x="267" y="19"/>
                </a:lnTo>
                <a:lnTo>
                  <a:pt x="285" y="19"/>
                </a:lnTo>
                <a:lnTo>
                  <a:pt x="285" y="0"/>
                </a:lnTo>
                <a:lnTo>
                  <a:pt x="302" y="0"/>
                </a:lnTo>
                <a:lnTo>
                  <a:pt x="302" y="30"/>
                </a:lnTo>
                <a:lnTo>
                  <a:pt x="291" y="45"/>
                </a:lnTo>
                <a:lnTo>
                  <a:pt x="291" y="162"/>
                </a:lnTo>
                <a:lnTo>
                  <a:pt x="302" y="174"/>
                </a:lnTo>
                <a:lnTo>
                  <a:pt x="302" y="210"/>
                </a:lnTo>
                <a:lnTo>
                  <a:pt x="0" y="210"/>
                </a:lnTo>
              </a:path>
            </a:pathLst>
          </a:custGeom>
          <a:solidFill>
            <a:srgbClr val="FFFFFF"/>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8" name="Freeform 7">
            <a:extLst>
              <a:ext uri="{FF2B5EF4-FFF2-40B4-BE49-F238E27FC236}">
                <a16:creationId xmlns:a16="http://schemas.microsoft.com/office/drawing/2014/main" id="{00000000-0008-0000-0100-000008000000}"/>
              </a:ext>
            </a:extLst>
          </xdr:cNvPr>
          <xdr:cNvSpPr>
            <a:spLocks/>
          </xdr:cNvSpPr>
        </xdr:nvSpPr>
        <xdr:spPr bwMode="auto">
          <a:xfrm>
            <a:off x="398" y="3732"/>
            <a:ext cx="54" cy="44"/>
          </a:xfrm>
          <a:custGeom>
            <a:avLst/>
            <a:gdLst/>
            <a:ahLst/>
            <a:cxnLst>
              <a:cxn ang="0">
                <a:pos x="0" y="43"/>
              </a:cxn>
              <a:cxn ang="0">
                <a:pos x="47" y="43"/>
              </a:cxn>
              <a:cxn ang="0">
                <a:pos x="47" y="0"/>
              </a:cxn>
              <a:cxn ang="0">
                <a:pos x="0" y="0"/>
              </a:cxn>
              <a:cxn ang="0">
                <a:pos x="0" y="43"/>
              </a:cxn>
            </a:cxnLst>
            <a:rect l="0" t="0" r="r" b="b"/>
            <a:pathLst>
              <a:path w="48" h="44">
                <a:moveTo>
                  <a:pt x="0" y="43"/>
                </a:moveTo>
                <a:lnTo>
                  <a:pt x="47" y="43"/>
                </a:lnTo>
                <a:lnTo>
                  <a:pt x="47" y="0"/>
                </a:lnTo>
                <a:lnTo>
                  <a:pt x="0" y="0"/>
                </a:lnTo>
                <a:lnTo>
                  <a:pt x="0" y="43"/>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9" name="Freeform 8">
            <a:extLst>
              <a:ext uri="{FF2B5EF4-FFF2-40B4-BE49-F238E27FC236}">
                <a16:creationId xmlns:a16="http://schemas.microsoft.com/office/drawing/2014/main" id="{00000000-0008-0000-0100-000009000000}"/>
              </a:ext>
            </a:extLst>
          </xdr:cNvPr>
          <xdr:cNvSpPr>
            <a:spLocks/>
          </xdr:cNvSpPr>
        </xdr:nvSpPr>
        <xdr:spPr bwMode="auto">
          <a:xfrm>
            <a:off x="398" y="3711"/>
            <a:ext cx="54" cy="30"/>
          </a:xfrm>
          <a:custGeom>
            <a:avLst/>
            <a:gdLst/>
            <a:ahLst/>
            <a:cxnLst>
              <a:cxn ang="0">
                <a:pos x="24" y="0"/>
              </a:cxn>
              <a:cxn ang="0">
                <a:pos x="28" y="0"/>
              </a:cxn>
              <a:cxn ang="0">
                <a:pos x="33" y="1"/>
              </a:cxn>
              <a:cxn ang="0">
                <a:pos x="36" y="2"/>
              </a:cxn>
              <a:cxn ang="0">
                <a:pos x="41" y="4"/>
              </a:cxn>
              <a:cxn ang="0">
                <a:pos x="44" y="6"/>
              </a:cxn>
              <a:cxn ang="0">
                <a:pos x="45" y="9"/>
              </a:cxn>
              <a:cxn ang="0">
                <a:pos x="46" y="12"/>
              </a:cxn>
              <a:cxn ang="0">
                <a:pos x="47" y="15"/>
              </a:cxn>
              <a:cxn ang="0">
                <a:pos x="46" y="17"/>
              </a:cxn>
              <a:cxn ang="0">
                <a:pos x="45" y="20"/>
              </a:cxn>
              <a:cxn ang="0">
                <a:pos x="44" y="23"/>
              </a:cxn>
              <a:cxn ang="0">
                <a:pos x="41" y="25"/>
              </a:cxn>
              <a:cxn ang="0">
                <a:pos x="36" y="27"/>
              </a:cxn>
              <a:cxn ang="0">
                <a:pos x="33" y="28"/>
              </a:cxn>
              <a:cxn ang="0">
                <a:pos x="28" y="29"/>
              </a:cxn>
              <a:cxn ang="0">
                <a:pos x="24" y="29"/>
              </a:cxn>
              <a:cxn ang="0">
                <a:pos x="19" y="29"/>
              </a:cxn>
              <a:cxn ang="0">
                <a:pos x="15" y="28"/>
              </a:cxn>
              <a:cxn ang="0">
                <a:pos x="11" y="27"/>
              </a:cxn>
              <a:cxn ang="0">
                <a:pos x="6" y="25"/>
              </a:cxn>
              <a:cxn ang="0">
                <a:pos x="4" y="23"/>
              </a:cxn>
              <a:cxn ang="0">
                <a:pos x="2" y="20"/>
              </a:cxn>
              <a:cxn ang="0">
                <a:pos x="1" y="17"/>
              </a:cxn>
              <a:cxn ang="0">
                <a:pos x="0" y="15"/>
              </a:cxn>
              <a:cxn ang="0">
                <a:pos x="1" y="12"/>
              </a:cxn>
              <a:cxn ang="0">
                <a:pos x="2" y="9"/>
              </a:cxn>
              <a:cxn ang="0">
                <a:pos x="4" y="6"/>
              </a:cxn>
              <a:cxn ang="0">
                <a:pos x="6" y="4"/>
              </a:cxn>
              <a:cxn ang="0">
                <a:pos x="11" y="2"/>
              </a:cxn>
              <a:cxn ang="0">
                <a:pos x="15" y="1"/>
              </a:cxn>
              <a:cxn ang="0">
                <a:pos x="19" y="0"/>
              </a:cxn>
              <a:cxn ang="0">
                <a:pos x="24" y="0"/>
              </a:cxn>
            </a:cxnLst>
            <a:rect l="0" t="0" r="r" b="b"/>
            <a:pathLst>
              <a:path w="48" h="30">
                <a:moveTo>
                  <a:pt x="24" y="0"/>
                </a:moveTo>
                <a:lnTo>
                  <a:pt x="28" y="0"/>
                </a:lnTo>
                <a:lnTo>
                  <a:pt x="33" y="1"/>
                </a:lnTo>
                <a:lnTo>
                  <a:pt x="36" y="2"/>
                </a:lnTo>
                <a:lnTo>
                  <a:pt x="41" y="4"/>
                </a:lnTo>
                <a:lnTo>
                  <a:pt x="44" y="6"/>
                </a:lnTo>
                <a:lnTo>
                  <a:pt x="45" y="9"/>
                </a:lnTo>
                <a:lnTo>
                  <a:pt x="46" y="12"/>
                </a:lnTo>
                <a:lnTo>
                  <a:pt x="47" y="15"/>
                </a:lnTo>
                <a:lnTo>
                  <a:pt x="46" y="17"/>
                </a:lnTo>
                <a:lnTo>
                  <a:pt x="45" y="20"/>
                </a:lnTo>
                <a:lnTo>
                  <a:pt x="44" y="23"/>
                </a:lnTo>
                <a:lnTo>
                  <a:pt x="41" y="25"/>
                </a:lnTo>
                <a:lnTo>
                  <a:pt x="36" y="27"/>
                </a:lnTo>
                <a:lnTo>
                  <a:pt x="33" y="28"/>
                </a:lnTo>
                <a:lnTo>
                  <a:pt x="28" y="29"/>
                </a:lnTo>
                <a:lnTo>
                  <a:pt x="24" y="29"/>
                </a:lnTo>
                <a:lnTo>
                  <a:pt x="19" y="29"/>
                </a:lnTo>
                <a:lnTo>
                  <a:pt x="15" y="28"/>
                </a:lnTo>
                <a:lnTo>
                  <a:pt x="11" y="27"/>
                </a:lnTo>
                <a:lnTo>
                  <a:pt x="6" y="25"/>
                </a:lnTo>
                <a:lnTo>
                  <a:pt x="4" y="23"/>
                </a:lnTo>
                <a:lnTo>
                  <a:pt x="2" y="20"/>
                </a:lnTo>
                <a:lnTo>
                  <a:pt x="1" y="17"/>
                </a:lnTo>
                <a:lnTo>
                  <a:pt x="0" y="15"/>
                </a:lnTo>
                <a:lnTo>
                  <a:pt x="1" y="12"/>
                </a:lnTo>
                <a:lnTo>
                  <a:pt x="2" y="9"/>
                </a:lnTo>
                <a:lnTo>
                  <a:pt x="4" y="6"/>
                </a:lnTo>
                <a:lnTo>
                  <a:pt x="6" y="4"/>
                </a:lnTo>
                <a:lnTo>
                  <a:pt x="11" y="2"/>
                </a:lnTo>
                <a:lnTo>
                  <a:pt x="15" y="1"/>
                </a:lnTo>
                <a:lnTo>
                  <a:pt x="19" y="0"/>
                </a:lnTo>
                <a:lnTo>
                  <a:pt x="24"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0" name="Freeform 9">
            <a:extLst>
              <a:ext uri="{FF2B5EF4-FFF2-40B4-BE49-F238E27FC236}">
                <a16:creationId xmlns:a16="http://schemas.microsoft.com/office/drawing/2014/main" id="{00000000-0008-0000-0100-00000A000000}"/>
              </a:ext>
            </a:extLst>
          </xdr:cNvPr>
          <xdr:cNvSpPr>
            <a:spLocks/>
          </xdr:cNvSpPr>
        </xdr:nvSpPr>
        <xdr:spPr bwMode="auto">
          <a:xfrm>
            <a:off x="484" y="3728"/>
            <a:ext cx="17" cy="34"/>
          </a:xfrm>
          <a:custGeom>
            <a:avLst/>
            <a:gdLst/>
            <a:ahLst/>
            <a:cxnLst>
              <a:cxn ang="0">
                <a:pos x="0" y="0"/>
              </a:cxn>
              <a:cxn ang="0">
                <a:pos x="14" y="0"/>
              </a:cxn>
              <a:cxn ang="0">
                <a:pos x="14" y="33"/>
              </a:cxn>
              <a:cxn ang="0">
                <a:pos x="0" y="33"/>
              </a:cxn>
              <a:cxn ang="0">
                <a:pos x="0" y="0"/>
              </a:cxn>
            </a:cxnLst>
            <a:rect l="0" t="0" r="r" b="b"/>
            <a:pathLst>
              <a:path w="15" h="34">
                <a:moveTo>
                  <a:pt x="0" y="0"/>
                </a:moveTo>
                <a:lnTo>
                  <a:pt x="14" y="0"/>
                </a:lnTo>
                <a:lnTo>
                  <a:pt x="14" y="33"/>
                </a:lnTo>
                <a:lnTo>
                  <a:pt x="0" y="33"/>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1" name="Freeform 10">
            <a:extLst>
              <a:ext uri="{FF2B5EF4-FFF2-40B4-BE49-F238E27FC236}">
                <a16:creationId xmlns:a16="http://schemas.microsoft.com/office/drawing/2014/main" id="{00000000-0008-0000-0100-00000B000000}"/>
              </a:ext>
            </a:extLst>
          </xdr:cNvPr>
          <xdr:cNvSpPr>
            <a:spLocks/>
          </xdr:cNvSpPr>
        </xdr:nvSpPr>
        <xdr:spPr bwMode="auto">
          <a:xfrm>
            <a:off x="358" y="3728"/>
            <a:ext cx="17" cy="34"/>
          </a:xfrm>
          <a:custGeom>
            <a:avLst/>
            <a:gdLst/>
            <a:ahLst/>
            <a:cxnLst>
              <a:cxn ang="0">
                <a:pos x="0" y="0"/>
              </a:cxn>
              <a:cxn ang="0">
                <a:pos x="14" y="0"/>
              </a:cxn>
              <a:cxn ang="0">
                <a:pos x="14" y="33"/>
              </a:cxn>
              <a:cxn ang="0">
                <a:pos x="0" y="33"/>
              </a:cxn>
              <a:cxn ang="0">
                <a:pos x="0" y="0"/>
              </a:cxn>
            </a:cxnLst>
            <a:rect l="0" t="0" r="r" b="b"/>
            <a:pathLst>
              <a:path w="15" h="34">
                <a:moveTo>
                  <a:pt x="0" y="0"/>
                </a:moveTo>
                <a:lnTo>
                  <a:pt x="14" y="0"/>
                </a:lnTo>
                <a:lnTo>
                  <a:pt x="14" y="33"/>
                </a:lnTo>
                <a:lnTo>
                  <a:pt x="0" y="33"/>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2" name="Freeform 11">
            <a:extLst>
              <a:ext uri="{FF2B5EF4-FFF2-40B4-BE49-F238E27FC236}">
                <a16:creationId xmlns:a16="http://schemas.microsoft.com/office/drawing/2014/main" id="{00000000-0008-0000-0100-00000C000000}"/>
              </a:ext>
            </a:extLst>
          </xdr:cNvPr>
          <xdr:cNvSpPr>
            <a:spLocks/>
          </xdr:cNvSpPr>
        </xdr:nvSpPr>
        <xdr:spPr bwMode="auto">
          <a:xfrm>
            <a:off x="538" y="3646"/>
            <a:ext cx="17" cy="40"/>
          </a:xfrm>
          <a:custGeom>
            <a:avLst/>
            <a:gdLst/>
            <a:ahLst/>
            <a:cxnLst>
              <a:cxn ang="0">
                <a:pos x="0" y="0"/>
              </a:cxn>
              <a:cxn ang="0">
                <a:pos x="14" y="0"/>
              </a:cxn>
              <a:cxn ang="0">
                <a:pos x="14" y="39"/>
              </a:cxn>
              <a:cxn ang="0">
                <a:pos x="0" y="39"/>
              </a:cxn>
              <a:cxn ang="0">
                <a:pos x="0" y="0"/>
              </a:cxn>
            </a:cxnLst>
            <a:rect l="0" t="0" r="r" b="b"/>
            <a:pathLst>
              <a:path w="15" h="40">
                <a:moveTo>
                  <a:pt x="0" y="0"/>
                </a:moveTo>
                <a:lnTo>
                  <a:pt x="14" y="0"/>
                </a:lnTo>
                <a:lnTo>
                  <a:pt x="14" y="39"/>
                </a:lnTo>
                <a:lnTo>
                  <a:pt x="0" y="39"/>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3" name="Freeform 12">
            <a:extLst>
              <a:ext uri="{FF2B5EF4-FFF2-40B4-BE49-F238E27FC236}">
                <a16:creationId xmlns:a16="http://schemas.microsoft.com/office/drawing/2014/main" id="{00000000-0008-0000-0100-00000D000000}"/>
              </a:ext>
            </a:extLst>
          </xdr:cNvPr>
          <xdr:cNvSpPr>
            <a:spLocks/>
          </xdr:cNvSpPr>
        </xdr:nvSpPr>
        <xdr:spPr bwMode="auto">
          <a:xfrm>
            <a:off x="538" y="3726"/>
            <a:ext cx="17" cy="39"/>
          </a:xfrm>
          <a:custGeom>
            <a:avLst/>
            <a:gdLst/>
            <a:ahLst/>
            <a:cxnLst>
              <a:cxn ang="0">
                <a:pos x="0" y="0"/>
              </a:cxn>
              <a:cxn ang="0">
                <a:pos x="14" y="0"/>
              </a:cxn>
              <a:cxn ang="0">
                <a:pos x="14" y="38"/>
              </a:cxn>
              <a:cxn ang="0">
                <a:pos x="0" y="38"/>
              </a:cxn>
              <a:cxn ang="0">
                <a:pos x="0" y="0"/>
              </a:cxn>
            </a:cxnLst>
            <a:rect l="0" t="0" r="r" b="b"/>
            <a:pathLst>
              <a:path w="15" h="39">
                <a:moveTo>
                  <a:pt x="0" y="0"/>
                </a:moveTo>
                <a:lnTo>
                  <a:pt x="14" y="0"/>
                </a:lnTo>
                <a:lnTo>
                  <a:pt x="14" y="38"/>
                </a:lnTo>
                <a:lnTo>
                  <a:pt x="0" y="38"/>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4" name="Freeform 13">
            <a:extLst>
              <a:ext uri="{FF2B5EF4-FFF2-40B4-BE49-F238E27FC236}">
                <a16:creationId xmlns:a16="http://schemas.microsoft.com/office/drawing/2014/main" id="{00000000-0008-0000-0100-00000E000000}"/>
              </a:ext>
            </a:extLst>
          </xdr:cNvPr>
          <xdr:cNvSpPr>
            <a:spLocks/>
          </xdr:cNvSpPr>
        </xdr:nvSpPr>
        <xdr:spPr bwMode="auto">
          <a:xfrm>
            <a:off x="292" y="3726"/>
            <a:ext cx="17" cy="39"/>
          </a:xfrm>
          <a:custGeom>
            <a:avLst/>
            <a:gdLst/>
            <a:ahLst/>
            <a:cxnLst>
              <a:cxn ang="0">
                <a:pos x="0" y="0"/>
              </a:cxn>
              <a:cxn ang="0">
                <a:pos x="14" y="0"/>
              </a:cxn>
              <a:cxn ang="0">
                <a:pos x="14" y="38"/>
              </a:cxn>
              <a:cxn ang="0">
                <a:pos x="0" y="38"/>
              </a:cxn>
              <a:cxn ang="0">
                <a:pos x="0" y="0"/>
              </a:cxn>
            </a:cxnLst>
            <a:rect l="0" t="0" r="r" b="b"/>
            <a:pathLst>
              <a:path w="15" h="39">
                <a:moveTo>
                  <a:pt x="0" y="0"/>
                </a:moveTo>
                <a:lnTo>
                  <a:pt x="14" y="0"/>
                </a:lnTo>
                <a:lnTo>
                  <a:pt x="14" y="38"/>
                </a:lnTo>
                <a:lnTo>
                  <a:pt x="0" y="38"/>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5" name="Freeform 14">
            <a:extLst>
              <a:ext uri="{FF2B5EF4-FFF2-40B4-BE49-F238E27FC236}">
                <a16:creationId xmlns:a16="http://schemas.microsoft.com/office/drawing/2014/main" id="{00000000-0008-0000-0100-00000F000000}"/>
              </a:ext>
            </a:extLst>
          </xdr:cNvPr>
          <xdr:cNvSpPr>
            <a:spLocks/>
          </xdr:cNvSpPr>
        </xdr:nvSpPr>
        <xdr:spPr bwMode="auto">
          <a:xfrm>
            <a:off x="292" y="3646"/>
            <a:ext cx="17" cy="40"/>
          </a:xfrm>
          <a:custGeom>
            <a:avLst/>
            <a:gdLst/>
            <a:ahLst/>
            <a:cxnLst>
              <a:cxn ang="0">
                <a:pos x="0" y="0"/>
              </a:cxn>
              <a:cxn ang="0">
                <a:pos x="14" y="0"/>
              </a:cxn>
              <a:cxn ang="0">
                <a:pos x="14" y="39"/>
              </a:cxn>
              <a:cxn ang="0">
                <a:pos x="0" y="39"/>
              </a:cxn>
              <a:cxn ang="0">
                <a:pos x="0" y="0"/>
              </a:cxn>
            </a:cxnLst>
            <a:rect l="0" t="0" r="r" b="b"/>
            <a:pathLst>
              <a:path w="15" h="40">
                <a:moveTo>
                  <a:pt x="0" y="0"/>
                </a:moveTo>
                <a:lnTo>
                  <a:pt x="14" y="0"/>
                </a:lnTo>
                <a:lnTo>
                  <a:pt x="14" y="39"/>
                </a:lnTo>
                <a:lnTo>
                  <a:pt x="0" y="39"/>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grpSp>
    <xdr:clientData/>
  </xdr:twoCellAnchor>
  <xdr:twoCellAnchor>
    <xdr:from>
      <xdr:col>6</xdr:col>
      <xdr:colOff>140155</xdr:colOff>
      <xdr:row>2</xdr:row>
      <xdr:rowOff>16329</xdr:rowOff>
    </xdr:from>
    <xdr:to>
      <xdr:col>8</xdr:col>
      <xdr:colOff>406853</xdr:colOff>
      <xdr:row>4</xdr:row>
      <xdr:rowOff>161925</xdr:rowOff>
    </xdr:to>
    <xdr:pic>
      <xdr:nvPicPr>
        <xdr:cNvPr id="16" name="Picture 15">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16137" y="438150"/>
          <a:ext cx="1491341" cy="5402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266700</xdr:colOff>
      <xdr:row>2</xdr:row>
      <xdr:rowOff>76200</xdr:rowOff>
    </xdr:from>
    <xdr:to>
      <xdr:col>2</xdr:col>
      <xdr:colOff>222327</xdr:colOff>
      <xdr:row>4</xdr:row>
      <xdr:rowOff>161925</xdr:rowOff>
    </xdr:to>
    <xdr:pic>
      <xdr:nvPicPr>
        <xdr:cNvPr id="3084" name="Picture 12">
          <a:extLst>
            <a:ext uri="{FF2B5EF4-FFF2-40B4-BE49-F238E27FC236}">
              <a16:creationId xmlns:a16="http://schemas.microsoft.com/office/drawing/2014/main" id="{00000000-0008-0000-0100-00000C0C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266700" y="495300"/>
          <a:ext cx="1279602" cy="485775"/>
        </a:xfrm>
        <a:prstGeom prst="rect">
          <a:avLst/>
        </a:prstGeom>
        <a:noFill/>
      </xdr:spPr>
    </xdr:pic>
    <xdr:clientData/>
  </xdr:twoCellAnchor>
  <xdr:twoCellAnchor>
    <xdr:from>
      <xdr:col>12</xdr:col>
      <xdr:colOff>104775</xdr:colOff>
      <xdr:row>2</xdr:row>
      <xdr:rowOff>28575</xdr:rowOff>
    </xdr:from>
    <xdr:to>
      <xdr:col>14</xdr:col>
      <xdr:colOff>514350</xdr:colOff>
      <xdr:row>4</xdr:row>
      <xdr:rowOff>161925</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695950" y="447675"/>
          <a:ext cx="1743075"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9525</xdr:colOff>
      <xdr:row>1</xdr:row>
      <xdr:rowOff>219075</xdr:rowOff>
    </xdr:from>
    <xdr:to>
      <xdr:col>11</xdr:col>
      <xdr:colOff>609600</xdr:colOff>
      <xdr:row>5</xdr:row>
      <xdr:rowOff>34925</xdr:rowOff>
    </xdr:to>
    <xdr:pic>
      <xdr:nvPicPr>
        <xdr:cNvPr id="3086" name="Picture 14">
          <a:extLst>
            <a:ext uri="{FF2B5EF4-FFF2-40B4-BE49-F238E27FC236}">
              <a16:creationId xmlns:a16="http://schemas.microsoft.com/office/drawing/2014/main" id="{00000000-0008-0000-0100-00000E0C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5600700" y="409575"/>
          <a:ext cx="1933575" cy="644525"/>
        </a:xfrm>
        <a:prstGeom prst="rect">
          <a:avLst/>
        </a:prstGeom>
        <a:noFill/>
      </xdr:spPr>
    </xdr:pic>
    <xdr:clientData/>
  </xdr:twoCellAnchor>
  <xdr:twoCellAnchor>
    <xdr:from>
      <xdr:col>3</xdr:col>
      <xdr:colOff>142875</xdr:colOff>
      <xdr:row>2</xdr:row>
      <xdr:rowOff>28575</xdr:rowOff>
    </xdr:from>
    <xdr:to>
      <xdr:col>5</xdr:col>
      <xdr:colOff>552450</xdr:colOff>
      <xdr:row>4</xdr:row>
      <xdr:rowOff>66675</xdr:rowOff>
    </xdr:to>
    <xdr:pic>
      <xdr:nvPicPr>
        <xdr:cNvPr id="3087" name="Picture 15">
          <a:extLst>
            <a:ext uri="{FF2B5EF4-FFF2-40B4-BE49-F238E27FC236}">
              <a16:creationId xmlns:a16="http://schemas.microsoft.com/office/drawing/2014/main" id="{00000000-0008-0000-0100-00000F0C0000}"/>
            </a:ext>
          </a:extLst>
        </xdr:cNvPr>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2076450" y="447675"/>
          <a:ext cx="1628775" cy="438150"/>
        </a:xfrm>
        <a:prstGeom prst="rect">
          <a:avLst/>
        </a:prstGeom>
        <a:noFill/>
      </xdr:spPr>
    </xdr:pic>
    <xdr:clientData/>
  </xdr:twoCellAnchor>
  <xdr:twoCellAnchor>
    <xdr:from>
      <xdr:col>9</xdr:col>
      <xdr:colOff>171452</xdr:colOff>
      <xdr:row>134</xdr:row>
      <xdr:rowOff>48683</xdr:rowOff>
    </xdr:from>
    <xdr:to>
      <xdr:col>9</xdr:col>
      <xdr:colOff>542926</xdr:colOff>
      <xdr:row>135</xdr:row>
      <xdr:rowOff>202141</xdr:rowOff>
    </xdr:to>
    <xdr:grpSp>
      <xdr:nvGrpSpPr>
        <xdr:cNvPr id="21" name="Group 20">
          <a:extLst>
            <a:ext uri="{FF2B5EF4-FFF2-40B4-BE49-F238E27FC236}">
              <a16:creationId xmlns:a16="http://schemas.microsoft.com/office/drawing/2014/main" id="{00000000-0008-0000-0100-000015000000}"/>
            </a:ext>
          </a:extLst>
        </xdr:cNvPr>
        <xdr:cNvGrpSpPr>
          <a:grpSpLocks/>
        </xdr:cNvGrpSpPr>
      </xdr:nvGrpSpPr>
      <xdr:grpSpPr bwMode="auto">
        <a:xfrm>
          <a:off x="6315077" y="9764183"/>
          <a:ext cx="371474" cy="343958"/>
          <a:chOff x="164" y="3510"/>
          <a:chExt cx="510" cy="371"/>
        </a:xfrm>
      </xdr:grpSpPr>
      <xdr:sp macro="" textlink="">
        <xdr:nvSpPr>
          <xdr:cNvPr id="23" name="Freeform 22">
            <a:extLst>
              <a:ext uri="{FF2B5EF4-FFF2-40B4-BE49-F238E27FC236}">
                <a16:creationId xmlns:a16="http://schemas.microsoft.com/office/drawing/2014/main" id="{00000000-0008-0000-0100-000017000000}"/>
              </a:ext>
            </a:extLst>
          </xdr:cNvPr>
          <xdr:cNvSpPr>
            <a:spLocks/>
          </xdr:cNvSpPr>
        </xdr:nvSpPr>
        <xdr:spPr bwMode="auto">
          <a:xfrm>
            <a:off x="164" y="3510"/>
            <a:ext cx="510" cy="371"/>
          </a:xfrm>
          <a:custGeom>
            <a:avLst/>
            <a:gdLst/>
            <a:ahLst/>
            <a:cxnLst>
              <a:cxn ang="0">
                <a:pos x="59" y="0"/>
              </a:cxn>
              <a:cxn ang="0">
                <a:pos x="394" y="0"/>
              </a:cxn>
              <a:cxn ang="0">
                <a:pos x="406" y="1"/>
              </a:cxn>
              <a:cxn ang="0">
                <a:pos x="418" y="5"/>
              </a:cxn>
              <a:cxn ang="0">
                <a:pos x="426" y="12"/>
              </a:cxn>
              <a:cxn ang="0">
                <a:pos x="434" y="19"/>
              </a:cxn>
              <a:cxn ang="0">
                <a:pos x="442" y="28"/>
              </a:cxn>
              <a:cxn ang="0">
                <a:pos x="448" y="39"/>
              </a:cxn>
              <a:cxn ang="0">
                <a:pos x="452" y="51"/>
              </a:cxn>
              <a:cxn ang="0">
                <a:pos x="453" y="63"/>
              </a:cxn>
              <a:cxn ang="0">
                <a:pos x="453" y="308"/>
              </a:cxn>
              <a:cxn ang="0">
                <a:pos x="452" y="320"/>
              </a:cxn>
              <a:cxn ang="0">
                <a:pos x="448" y="332"/>
              </a:cxn>
              <a:cxn ang="0">
                <a:pos x="442" y="343"/>
              </a:cxn>
              <a:cxn ang="0">
                <a:pos x="434" y="352"/>
              </a:cxn>
              <a:cxn ang="0">
                <a:pos x="426" y="359"/>
              </a:cxn>
              <a:cxn ang="0">
                <a:pos x="418" y="366"/>
              </a:cxn>
              <a:cxn ang="0">
                <a:pos x="406" y="369"/>
              </a:cxn>
              <a:cxn ang="0">
                <a:pos x="394" y="370"/>
              </a:cxn>
              <a:cxn ang="0">
                <a:pos x="59" y="370"/>
              </a:cxn>
              <a:cxn ang="0">
                <a:pos x="47" y="369"/>
              </a:cxn>
              <a:cxn ang="0">
                <a:pos x="36" y="366"/>
              </a:cxn>
              <a:cxn ang="0">
                <a:pos x="27" y="359"/>
              </a:cxn>
              <a:cxn ang="0">
                <a:pos x="17" y="352"/>
              </a:cxn>
              <a:cxn ang="0">
                <a:pos x="11" y="343"/>
              </a:cxn>
              <a:cxn ang="0">
                <a:pos x="4" y="332"/>
              </a:cxn>
              <a:cxn ang="0">
                <a:pos x="1" y="320"/>
              </a:cxn>
              <a:cxn ang="0">
                <a:pos x="0" y="308"/>
              </a:cxn>
              <a:cxn ang="0">
                <a:pos x="0" y="63"/>
              </a:cxn>
              <a:cxn ang="0">
                <a:pos x="1" y="51"/>
              </a:cxn>
              <a:cxn ang="0">
                <a:pos x="4" y="39"/>
              </a:cxn>
              <a:cxn ang="0">
                <a:pos x="11" y="28"/>
              </a:cxn>
              <a:cxn ang="0">
                <a:pos x="17" y="19"/>
              </a:cxn>
              <a:cxn ang="0">
                <a:pos x="27" y="12"/>
              </a:cxn>
              <a:cxn ang="0">
                <a:pos x="36" y="5"/>
              </a:cxn>
              <a:cxn ang="0">
                <a:pos x="47" y="1"/>
              </a:cxn>
              <a:cxn ang="0">
                <a:pos x="59" y="0"/>
              </a:cxn>
            </a:cxnLst>
            <a:rect l="0" t="0" r="r" b="b"/>
            <a:pathLst>
              <a:path w="454" h="371">
                <a:moveTo>
                  <a:pt x="59" y="0"/>
                </a:moveTo>
                <a:lnTo>
                  <a:pt x="394" y="0"/>
                </a:lnTo>
                <a:lnTo>
                  <a:pt x="406" y="1"/>
                </a:lnTo>
                <a:lnTo>
                  <a:pt x="418" y="5"/>
                </a:lnTo>
                <a:lnTo>
                  <a:pt x="426" y="12"/>
                </a:lnTo>
                <a:lnTo>
                  <a:pt x="434" y="19"/>
                </a:lnTo>
                <a:lnTo>
                  <a:pt x="442" y="28"/>
                </a:lnTo>
                <a:lnTo>
                  <a:pt x="448" y="39"/>
                </a:lnTo>
                <a:lnTo>
                  <a:pt x="452" y="51"/>
                </a:lnTo>
                <a:lnTo>
                  <a:pt x="453" y="63"/>
                </a:lnTo>
                <a:lnTo>
                  <a:pt x="453" y="308"/>
                </a:lnTo>
                <a:lnTo>
                  <a:pt x="452" y="320"/>
                </a:lnTo>
                <a:lnTo>
                  <a:pt x="448" y="332"/>
                </a:lnTo>
                <a:lnTo>
                  <a:pt x="442" y="343"/>
                </a:lnTo>
                <a:lnTo>
                  <a:pt x="434" y="352"/>
                </a:lnTo>
                <a:lnTo>
                  <a:pt x="426" y="359"/>
                </a:lnTo>
                <a:lnTo>
                  <a:pt x="418" y="366"/>
                </a:lnTo>
                <a:lnTo>
                  <a:pt x="406" y="369"/>
                </a:lnTo>
                <a:lnTo>
                  <a:pt x="394" y="370"/>
                </a:lnTo>
                <a:lnTo>
                  <a:pt x="59" y="370"/>
                </a:lnTo>
                <a:lnTo>
                  <a:pt x="47" y="369"/>
                </a:lnTo>
                <a:lnTo>
                  <a:pt x="36" y="366"/>
                </a:lnTo>
                <a:lnTo>
                  <a:pt x="27" y="359"/>
                </a:lnTo>
                <a:lnTo>
                  <a:pt x="17" y="352"/>
                </a:lnTo>
                <a:lnTo>
                  <a:pt x="11" y="343"/>
                </a:lnTo>
                <a:lnTo>
                  <a:pt x="4" y="332"/>
                </a:lnTo>
                <a:lnTo>
                  <a:pt x="1" y="320"/>
                </a:lnTo>
                <a:lnTo>
                  <a:pt x="0" y="308"/>
                </a:lnTo>
                <a:lnTo>
                  <a:pt x="0" y="63"/>
                </a:lnTo>
                <a:lnTo>
                  <a:pt x="1" y="51"/>
                </a:lnTo>
                <a:lnTo>
                  <a:pt x="4" y="39"/>
                </a:lnTo>
                <a:lnTo>
                  <a:pt x="11" y="28"/>
                </a:lnTo>
                <a:lnTo>
                  <a:pt x="17" y="19"/>
                </a:lnTo>
                <a:lnTo>
                  <a:pt x="27" y="12"/>
                </a:lnTo>
                <a:lnTo>
                  <a:pt x="36" y="5"/>
                </a:lnTo>
                <a:lnTo>
                  <a:pt x="47" y="1"/>
                </a:lnTo>
                <a:lnTo>
                  <a:pt x="59"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24" name="Freeform 23">
            <a:extLst>
              <a:ext uri="{FF2B5EF4-FFF2-40B4-BE49-F238E27FC236}">
                <a16:creationId xmlns:a16="http://schemas.microsoft.com/office/drawing/2014/main" id="{00000000-0008-0000-0100-000018000000}"/>
              </a:ext>
            </a:extLst>
          </xdr:cNvPr>
          <xdr:cNvSpPr>
            <a:spLocks/>
          </xdr:cNvSpPr>
        </xdr:nvSpPr>
        <xdr:spPr bwMode="auto">
          <a:xfrm>
            <a:off x="196" y="3541"/>
            <a:ext cx="449" cy="314"/>
          </a:xfrm>
          <a:custGeom>
            <a:avLst/>
            <a:gdLst/>
            <a:ahLst/>
            <a:cxnLst>
              <a:cxn ang="0">
                <a:pos x="29" y="0"/>
              </a:cxn>
              <a:cxn ang="0">
                <a:pos x="369" y="0"/>
              </a:cxn>
              <a:cxn ang="0">
                <a:pos x="374" y="0"/>
              </a:cxn>
              <a:cxn ang="0">
                <a:pos x="380" y="2"/>
              </a:cxn>
              <a:cxn ang="0">
                <a:pos x="386" y="5"/>
              </a:cxn>
              <a:cxn ang="0">
                <a:pos x="390" y="8"/>
              </a:cxn>
              <a:cxn ang="0">
                <a:pos x="393" y="14"/>
              </a:cxn>
              <a:cxn ang="0">
                <a:pos x="395" y="19"/>
              </a:cxn>
              <a:cxn ang="0">
                <a:pos x="397" y="24"/>
              </a:cxn>
              <a:cxn ang="0">
                <a:pos x="398" y="30"/>
              </a:cxn>
              <a:cxn ang="0">
                <a:pos x="398" y="283"/>
              </a:cxn>
              <a:cxn ang="0">
                <a:pos x="397" y="289"/>
              </a:cxn>
              <a:cxn ang="0">
                <a:pos x="395" y="294"/>
              </a:cxn>
              <a:cxn ang="0">
                <a:pos x="393" y="299"/>
              </a:cxn>
              <a:cxn ang="0">
                <a:pos x="390" y="304"/>
              </a:cxn>
              <a:cxn ang="0">
                <a:pos x="386" y="308"/>
              </a:cxn>
              <a:cxn ang="0">
                <a:pos x="380" y="310"/>
              </a:cxn>
              <a:cxn ang="0">
                <a:pos x="374" y="312"/>
              </a:cxn>
              <a:cxn ang="0">
                <a:pos x="369" y="313"/>
              </a:cxn>
              <a:cxn ang="0">
                <a:pos x="29" y="313"/>
              </a:cxn>
              <a:cxn ang="0">
                <a:pos x="24" y="312"/>
              </a:cxn>
              <a:cxn ang="0">
                <a:pos x="18" y="310"/>
              </a:cxn>
              <a:cxn ang="0">
                <a:pos x="13" y="308"/>
              </a:cxn>
              <a:cxn ang="0">
                <a:pos x="9" y="304"/>
              </a:cxn>
              <a:cxn ang="0">
                <a:pos x="5" y="299"/>
              </a:cxn>
              <a:cxn ang="0">
                <a:pos x="4" y="294"/>
              </a:cxn>
              <a:cxn ang="0">
                <a:pos x="1" y="289"/>
              </a:cxn>
              <a:cxn ang="0">
                <a:pos x="0" y="283"/>
              </a:cxn>
              <a:cxn ang="0">
                <a:pos x="0" y="30"/>
              </a:cxn>
              <a:cxn ang="0">
                <a:pos x="1" y="24"/>
              </a:cxn>
              <a:cxn ang="0">
                <a:pos x="4" y="19"/>
              </a:cxn>
              <a:cxn ang="0">
                <a:pos x="5" y="14"/>
              </a:cxn>
              <a:cxn ang="0">
                <a:pos x="9" y="8"/>
              </a:cxn>
              <a:cxn ang="0">
                <a:pos x="13" y="5"/>
              </a:cxn>
              <a:cxn ang="0">
                <a:pos x="18" y="2"/>
              </a:cxn>
              <a:cxn ang="0">
                <a:pos x="24" y="0"/>
              </a:cxn>
              <a:cxn ang="0">
                <a:pos x="29" y="0"/>
              </a:cxn>
            </a:cxnLst>
            <a:rect l="0" t="0" r="r" b="b"/>
            <a:pathLst>
              <a:path w="399" h="314">
                <a:moveTo>
                  <a:pt x="29" y="0"/>
                </a:moveTo>
                <a:lnTo>
                  <a:pt x="369" y="0"/>
                </a:lnTo>
                <a:lnTo>
                  <a:pt x="374" y="0"/>
                </a:lnTo>
                <a:lnTo>
                  <a:pt x="380" y="2"/>
                </a:lnTo>
                <a:lnTo>
                  <a:pt x="386" y="5"/>
                </a:lnTo>
                <a:lnTo>
                  <a:pt x="390" y="8"/>
                </a:lnTo>
                <a:lnTo>
                  <a:pt x="393" y="14"/>
                </a:lnTo>
                <a:lnTo>
                  <a:pt x="395" y="19"/>
                </a:lnTo>
                <a:lnTo>
                  <a:pt x="397" y="24"/>
                </a:lnTo>
                <a:lnTo>
                  <a:pt x="398" y="30"/>
                </a:lnTo>
                <a:lnTo>
                  <a:pt x="398" y="283"/>
                </a:lnTo>
                <a:lnTo>
                  <a:pt x="397" y="289"/>
                </a:lnTo>
                <a:lnTo>
                  <a:pt x="395" y="294"/>
                </a:lnTo>
                <a:lnTo>
                  <a:pt x="393" y="299"/>
                </a:lnTo>
                <a:lnTo>
                  <a:pt x="390" y="304"/>
                </a:lnTo>
                <a:lnTo>
                  <a:pt x="386" y="308"/>
                </a:lnTo>
                <a:lnTo>
                  <a:pt x="380" y="310"/>
                </a:lnTo>
                <a:lnTo>
                  <a:pt x="374" y="312"/>
                </a:lnTo>
                <a:lnTo>
                  <a:pt x="369" y="313"/>
                </a:lnTo>
                <a:lnTo>
                  <a:pt x="29" y="313"/>
                </a:lnTo>
                <a:lnTo>
                  <a:pt x="24" y="312"/>
                </a:lnTo>
                <a:lnTo>
                  <a:pt x="18" y="310"/>
                </a:lnTo>
                <a:lnTo>
                  <a:pt x="13" y="308"/>
                </a:lnTo>
                <a:lnTo>
                  <a:pt x="9" y="304"/>
                </a:lnTo>
                <a:lnTo>
                  <a:pt x="5" y="299"/>
                </a:lnTo>
                <a:lnTo>
                  <a:pt x="4" y="294"/>
                </a:lnTo>
                <a:lnTo>
                  <a:pt x="1" y="289"/>
                </a:lnTo>
                <a:lnTo>
                  <a:pt x="0" y="283"/>
                </a:lnTo>
                <a:lnTo>
                  <a:pt x="0" y="30"/>
                </a:lnTo>
                <a:lnTo>
                  <a:pt x="1" y="24"/>
                </a:lnTo>
                <a:lnTo>
                  <a:pt x="4" y="19"/>
                </a:lnTo>
                <a:lnTo>
                  <a:pt x="5" y="14"/>
                </a:lnTo>
                <a:lnTo>
                  <a:pt x="9" y="8"/>
                </a:lnTo>
                <a:lnTo>
                  <a:pt x="13" y="5"/>
                </a:lnTo>
                <a:lnTo>
                  <a:pt x="18" y="2"/>
                </a:lnTo>
                <a:lnTo>
                  <a:pt x="24" y="0"/>
                </a:lnTo>
                <a:lnTo>
                  <a:pt x="29" y="0"/>
                </a:lnTo>
              </a:path>
            </a:pathLst>
          </a:custGeom>
          <a:solidFill>
            <a:srgbClr val="FFFFFF"/>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25" name="Freeform 24">
            <a:extLst>
              <a:ext uri="{FF2B5EF4-FFF2-40B4-BE49-F238E27FC236}">
                <a16:creationId xmlns:a16="http://schemas.microsoft.com/office/drawing/2014/main" id="{00000000-0008-0000-0100-000019000000}"/>
              </a:ext>
            </a:extLst>
          </xdr:cNvPr>
          <xdr:cNvSpPr>
            <a:spLocks/>
          </xdr:cNvSpPr>
        </xdr:nvSpPr>
        <xdr:spPr bwMode="auto">
          <a:xfrm>
            <a:off x="214" y="3558"/>
            <a:ext cx="414" cy="278"/>
          </a:xfrm>
          <a:custGeom>
            <a:avLst/>
            <a:gdLst/>
            <a:ahLst/>
            <a:cxnLst>
              <a:cxn ang="0">
                <a:pos x="17" y="0"/>
              </a:cxn>
              <a:cxn ang="0">
                <a:pos x="351" y="0"/>
              </a:cxn>
              <a:cxn ang="0">
                <a:pos x="355" y="0"/>
              </a:cxn>
              <a:cxn ang="0">
                <a:pos x="358" y="1"/>
              </a:cxn>
              <a:cxn ang="0">
                <a:pos x="360" y="3"/>
              </a:cxn>
              <a:cxn ang="0">
                <a:pos x="363" y="5"/>
              </a:cxn>
              <a:cxn ang="0">
                <a:pos x="364" y="7"/>
              </a:cxn>
              <a:cxn ang="0">
                <a:pos x="366" y="10"/>
              </a:cxn>
              <a:cxn ang="0">
                <a:pos x="367" y="14"/>
              </a:cxn>
              <a:cxn ang="0">
                <a:pos x="367" y="17"/>
              </a:cxn>
              <a:cxn ang="0">
                <a:pos x="367" y="260"/>
              </a:cxn>
              <a:cxn ang="0">
                <a:pos x="367" y="263"/>
              </a:cxn>
              <a:cxn ang="0">
                <a:pos x="366" y="267"/>
              </a:cxn>
              <a:cxn ang="0">
                <a:pos x="364" y="270"/>
              </a:cxn>
              <a:cxn ang="0">
                <a:pos x="363" y="272"/>
              </a:cxn>
              <a:cxn ang="0">
                <a:pos x="360" y="274"/>
              </a:cxn>
              <a:cxn ang="0">
                <a:pos x="358" y="276"/>
              </a:cxn>
              <a:cxn ang="0">
                <a:pos x="355" y="276"/>
              </a:cxn>
              <a:cxn ang="0">
                <a:pos x="351" y="277"/>
              </a:cxn>
              <a:cxn ang="0">
                <a:pos x="17" y="277"/>
              </a:cxn>
              <a:cxn ang="0">
                <a:pos x="13" y="276"/>
              </a:cxn>
              <a:cxn ang="0">
                <a:pos x="11" y="276"/>
              </a:cxn>
              <a:cxn ang="0">
                <a:pos x="8" y="274"/>
              </a:cxn>
              <a:cxn ang="0">
                <a:pos x="5" y="272"/>
              </a:cxn>
              <a:cxn ang="0">
                <a:pos x="4" y="270"/>
              </a:cxn>
              <a:cxn ang="0">
                <a:pos x="1" y="267"/>
              </a:cxn>
              <a:cxn ang="0">
                <a:pos x="1" y="263"/>
              </a:cxn>
              <a:cxn ang="0">
                <a:pos x="0" y="260"/>
              </a:cxn>
              <a:cxn ang="0">
                <a:pos x="0" y="17"/>
              </a:cxn>
              <a:cxn ang="0">
                <a:pos x="1" y="14"/>
              </a:cxn>
              <a:cxn ang="0">
                <a:pos x="1" y="10"/>
              </a:cxn>
              <a:cxn ang="0">
                <a:pos x="4" y="7"/>
              </a:cxn>
              <a:cxn ang="0">
                <a:pos x="5" y="5"/>
              </a:cxn>
              <a:cxn ang="0">
                <a:pos x="8" y="3"/>
              </a:cxn>
              <a:cxn ang="0">
                <a:pos x="11" y="1"/>
              </a:cxn>
              <a:cxn ang="0">
                <a:pos x="13" y="0"/>
              </a:cxn>
              <a:cxn ang="0">
                <a:pos x="17" y="0"/>
              </a:cxn>
            </a:cxnLst>
            <a:rect l="0" t="0" r="r" b="b"/>
            <a:pathLst>
              <a:path w="368" h="278">
                <a:moveTo>
                  <a:pt x="17" y="0"/>
                </a:moveTo>
                <a:lnTo>
                  <a:pt x="351" y="0"/>
                </a:lnTo>
                <a:lnTo>
                  <a:pt x="355" y="0"/>
                </a:lnTo>
                <a:lnTo>
                  <a:pt x="358" y="1"/>
                </a:lnTo>
                <a:lnTo>
                  <a:pt x="360" y="3"/>
                </a:lnTo>
                <a:lnTo>
                  <a:pt x="363" y="5"/>
                </a:lnTo>
                <a:lnTo>
                  <a:pt x="364" y="7"/>
                </a:lnTo>
                <a:lnTo>
                  <a:pt x="366" y="10"/>
                </a:lnTo>
                <a:lnTo>
                  <a:pt x="367" y="14"/>
                </a:lnTo>
                <a:lnTo>
                  <a:pt x="367" y="17"/>
                </a:lnTo>
                <a:lnTo>
                  <a:pt x="367" y="260"/>
                </a:lnTo>
                <a:lnTo>
                  <a:pt x="367" y="263"/>
                </a:lnTo>
                <a:lnTo>
                  <a:pt x="366" y="267"/>
                </a:lnTo>
                <a:lnTo>
                  <a:pt x="364" y="270"/>
                </a:lnTo>
                <a:lnTo>
                  <a:pt x="363" y="272"/>
                </a:lnTo>
                <a:lnTo>
                  <a:pt x="360" y="274"/>
                </a:lnTo>
                <a:lnTo>
                  <a:pt x="358" y="276"/>
                </a:lnTo>
                <a:lnTo>
                  <a:pt x="355" y="276"/>
                </a:lnTo>
                <a:lnTo>
                  <a:pt x="351" y="277"/>
                </a:lnTo>
                <a:lnTo>
                  <a:pt x="17" y="277"/>
                </a:lnTo>
                <a:lnTo>
                  <a:pt x="13" y="276"/>
                </a:lnTo>
                <a:lnTo>
                  <a:pt x="11" y="276"/>
                </a:lnTo>
                <a:lnTo>
                  <a:pt x="8" y="274"/>
                </a:lnTo>
                <a:lnTo>
                  <a:pt x="5" y="272"/>
                </a:lnTo>
                <a:lnTo>
                  <a:pt x="4" y="270"/>
                </a:lnTo>
                <a:lnTo>
                  <a:pt x="1" y="267"/>
                </a:lnTo>
                <a:lnTo>
                  <a:pt x="1" y="263"/>
                </a:lnTo>
                <a:lnTo>
                  <a:pt x="0" y="260"/>
                </a:lnTo>
                <a:lnTo>
                  <a:pt x="0" y="17"/>
                </a:lnTo>
                <a:lnTo>
                  <a:pt x="1" y="14"/>
                </a:lnTo>
                <a:lnTo>
                  <a:pt x="1" y="10"/>
                </a:lnTo>
                <a:lnTo>
                  <a:pt x="4" y="7"/>
                </a:lnTo>
                <a:lnTo>
                  <a:pt x="5" y="5"/>
                </a:lnTo>
                <a:lnTo>
                  <a:pt x="8" y="3"/>
                </a:lnTo>
                <a:lnTo>
                  <a:pt x="11" y="1"/>
                </a:lnTo>
                <a:lnTo>
                  <a:pt x="13" y="0"/>
                </a:lnTo>
                <a:lnTo>
                  <a:pt x="17"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26" name="Freeform 25">
            <a:extLst>
              <a:ext uri="{FF2B5EF4-FFF2-40B4-BE49-F238E27FC236}">
                <a16:creationId xmlns:a16="http://schemas.microsoft.com/office/drawing/2014/main" id="{00000000-0008-0000-0100-00001A000000}"/>
              </a:ext>
            </a:extLst>
          </xdr:cNvPr>
          <xdr:cNvSpPr>
            <a:spLocks/>
          </xdr:cNvSpPr>
        </xdr:nvSpPr>
        <xdr:spPr bwMode="auto">
          <a:xfrm>
            <a:off x="251" y="3591"/>
            <a:ext cx="341" cy="211"/>
          </a:xfrm>
          <a:custGeom>
            <a:avLst/>
            <a:gdLst/>
            <a:ahLst/>
            <a:cxnLst>
              <a:cxn ang="0">
                <a:pos x="0" y="210"/>
              </a:cxn>
              <a:cxn ang="0">
                <a:pos x="0" y="173"/>
              </a:cxn>
              <a:cxn ang="0">
                <a:pos x="12" y="162"/>
              </a:cxn>
              <a:cxn ang="0">
                <a:pos x="12" y="46"/>
              </a:cxn>
              <a:cxn ang="0">
                <a:pos x="0" y="32"/>
              </a:cxn>
              <a:cxn ang="0">
                <a:pos x="0" y="2"/>
              </a:cxn>
              <a:cxn ang="0">
                <a:pos x="18" y="2"/>
              </a:cxn>
              <a:cxn ang="0">
                <a:pos x="18" y="19"/>
              </a:cxn>
              <a:cxn ang="0">
                <a:pos x="34" y="19"/>
              </a:cxn>
              <a:cxn ang="0">
                <a:pos x="34" y="2"/>
              </a:cxn>
              <a:cxn ang="0">
                <a:pos x="57" y="2"/>
              </a:cxn>
              <a:cxn ang="0">
                <a:pos x="57" y="19"/>
              </a:cxn>
              <a:cxn ang="0">
                <a:pos x="59" y="19"/>
              </a:cxn>
              <a:cxn ang="0">
                <a:pos x="74" y="19"/>
              </a:cxn>
              <a:cxn ang="0">
                <a:pos x="74" y="2"/>
              </a:cxn>
              <a:cxn ang="0">
                <a:pos x="92" y="2"/>
              </a:cxn>
              <a:cxn ang="0">
                <a:pos x="92" y="31"/>
              </a:cxn>
              <a:cxn ang="0">
                <a:pos x="79" y="45"/>
              </a:cxn>
              <a:cxn ang="0">
                <a:pos x="79" y="98"/>
              </a:cxn>
              <a:cxn ang="0">
                <a:pos x="119" y="98"/>
              </a:cxn>
              <a:cxn ang="0">
                <a:pos x="119" y="80"/>
              </a:cxn>
              <a:cxn ang="0">
                <a:pos x="108" y="70"/>
              </a:cxn>
              <a:cxn ang="0">
                <a:pos x="108" y="38"/>
              </a:cxn>
              <a:cxn ang="0">
                <a:pos x="125" y="38"/>
              </a:cxn>
              <a:cxn ang="0">
                <a:pos x="125" y="55"/>
              </a:cxn>
              <a:cxn ang="0">
                <a:pos x="143" y="55"/>
              </a:cxn>
              <a:cxn ang="0">
                <a:pos x="143" y="38"/>
              </a:cxn>
              <a:cxn ang="0">
                <a:pos x="160" y="38"/>
              </a:cxn>
              <a:cxn ang="0">
                <a:pos x="160" y="56"/>
              </a:cxn>
              <a:cxn ang="0">
                <a:pos x="176" y="56"/>
              </a:cxn>
              <a:cxn ang="0">
                <a:pos x="176" y="38"/>
              </a:cxn>
              <a:cxn ang="0">
                <a:pos x="193" y="38"/>
              </a:cxn>
              <a:cxn ang="0">
                <a:pos x="193" y="69"/>
              </a:cxn>
              <a:cxn ang="0">
                <a:pos x="183" y="81"/>
              </a:cxn>
              <a:cxn ang="0">
                <a:pos x="183" y="99"/>
              </a:cxn>
              <a:cxn ang="0">
                <a:pos x="223" y="99"/>
              </a:cxn>
              <a:cxn ang="0">
                <a:pos x="223" y="47"/>
              </a:cxn>
              <a:cxn ang="0">
                <a:pos x="210" y="32"/>
              </a:cxn>
              <a:cxn ang="0">
                <a:pos x="210" y="1"/>
              </a:cxn>
              <a:cxn ang="0">
                <a:pos x="227" y="1"/>
              </a:cxn>
              <a:cxn ang="0">
                <a:pos x="227" y="19"/>
              </a:cxn>
              <a:cxn ang="0">
                <a:pos x="244" y="19"/>
              </a:cxn>
              <a:cxn ang="0">
                <a:pos x="244" y="0"/>
              </a:cxn>
              <a:cxn ang="0">
                <a:pos x="267" y="0"/>
              </a:cxn>
              <a:cxn ang="0">
                <a:pos x="267" y="19"/>
              </a:cxn>
              <a:cxn ang="0">
                <a:pos x="285" y="19"/>
              </a:cxn>
              <a:cxn ang="0">
                <a:pos x="285" y="0"/>
              </a:cxn>
              <a:cxn ang="0">
                <a:pos x="302" y="0"/>
              </a:cxn>
              <a:cxn ang="0">
                <a:pos x="302" y="30"/>
              </a:cxn>
              <a:cxn ang="0">
                <a:pos x="291" y="45"/>
              </a:cxn>
              <a:cxn ang="0">
                <a:pos x="291" y="162"/>
              </a:cxn>
              <a:cxn ang="0">
                <a:pos x="302" y="174"/>
              </a:cxn>
              <a:cxn ang="0">
                <a:pos x="302" y="210"/>
              </a:cxn>
              <a:cxn ang="0">
                <a:pos x="0" y="210"/>
              </a:cxn>
            </a:cxnLst>
            <a:rect l="0" t="0" r="r" b="b"/>
            <a:pathLst>
              <a:path w="303" h="211">
                <a:moveTo>
                  <a:pt x="0" y="210"/>
                </a:moveTo>
                <a:lnTo>
                  <a:pt x="0" y="173"/>
                </a:lnTo>
                <a:lnTo>
                  <a:pt x="12" y="162"/>
                </a:lnTo>
                <a:lnTo>
                  <a:pt x="12" y="46"/>
                </a:lnTo>
                <a:lnTo>
                  <a:pt x="0" y="32"/>
                </a:lnTo>
                <a:lnTo>
                  <a:pt x="0" y="2"/>
                </a:lnTo>
                <a:lnTo>
                  <a:pt x="18" y="2"/>
                </a:lnTo>
                <a:lnTo>
                  <a:pt x="18" y="19"/>
                </a:lnTo>
                <a:lnTo>
                  <a:pt x="34" y="19"/>
                </a:lnTo>
                <a:lnTo>
                  <a:pt x="34" y="2"/>
                </a:lnTo>
                <a:lnTo>
                  <a:pt x="57" y="2"/>
                </a:lnTo>
                <a:lnTo>
                  <a:pt x="57" y="19"/>
                </a:lnTo>
                <a:lnTo>
                  <a:pt x="59" y="19"/>
                </a:lnTo>
                <a:lnTo>
                  <a:pt x="74" y="19"/>
                </a:lnTo>
                <a:lnTo>
                  <a:pt x="74" y="2"/>
                </a:lnTo>
                <a:lnTo>
                  <a:pt x="92" y="2"/>
                </a:lnTo>
                <a:lnTo>
                  <a:pt x="92" y="31"/>
                </a:lnTo>
                <a:lnTo>
                  <a:pt x="79" y="45"/>
                </a:lnTo>
                <a:lnTo>
                  <a:pt x="79" y="98"/>
                </a:lnTo>
                <a:lnTo>
                  <a:pt x="119" y="98"/>
                </a:lnTo>
                <a:lnTo>
                  <a:pt x="119" y="80"/>
                </a:lnTo>
                <a:lnTo>
                  <a:pt x="108" y="70"/>
                </a:lnTo>
                <a:lnTo>
                  <a:pt x="108" y="38"/>
                </a:lnTo>
                <a:lnTo>
                  <a:pt x="125" y="38"/>
                </a:lnTo>
                <a:lnTo>
                  <a:pt x="125" y="55"/>
                </a:lnTo>
                <a:lnTo>
                  <a:pt x="143" y="55"/>
                </a:lnTo>
                <a:lnTo>
                  <a:pt x="143" y="38"/>
                </a:lnTo>
                <a:lnTo>
                  <a:pt x="160" y="38"/>
                </a:lnTo>
                <a:lnTo>
                  <a:pt x="160" y="56"/>
                </a:lnTo>
                <a:lnTo>
                  <a:pt x="176" y="56"/>
                </a:lnTo>
                <a:lnTo>
                  <a:pt x="176" y="38"/>
                </a:lnTo>
                <a:lnTo>
                  <a:pt x="193" y="38"/>
                </a:lnTo>
                <a:lnTo>
                  <a:pt x="193" y="69"/>
                </a:lnTo>
                <a:lnTo>
                  <a:pt x="183" y="81"/>
                </a:lnTo>
                <a:lnTo>
                  <a:pt x="183" y="99"/>
                </a:lnTo>
                <a:lnTo>
                  <a:pt x="223" y="99"/>
                </a:lnTo>
                <a:lnTo>
                  <a:pt x="223" y="47"/>
                </a:lnTo>
                <a:lnTo>
                  <a:pt x="210" y="32"/>
                </a:lnTo>
                <a:lnTo>
                  <a:pt x="210" y="1"/>
                </a:lnTo>
                <a:lnTo>
                  <a:pt x="227" y="1"/>
                </a:lnTo>
                <a:lnTo>
                  <a:pt x="227" y="19"/>
                </a:lnTo>
                <a:lnTo>
                  <a:pt x="244" y="19"/>
                </a:lnTo>
                <a:lnTo>
                  <a:pt x="244" y="0"/>
                </a:lnTo>
                <a:lnTo>
                  <a:pt x="267" y="0"/>
                </a:lnTo>
                <a:lnTo>
                  <a:pt x="267" y="19"/>
                </a:lnTo>
                <a:lnTo>
                  <a:pt x="285" y="19"/>
                </a:lnTo>
                <a:lnTo>
                  <a:pt x="285" y="0"/>
                </a:lnTo>
                <a:lnTo>
                  <a:pt x="302" y="0"/>
                </a:lnTo>
                <a:lnTo>
                  <a:pt x="302" y="30"/>
                </a:lnTo>
                <a:lnTo>
                  <a:pt x="291" y="45"/>
                </a:lnTo>
                <a:lnTo>
                  <a:pt x="291" y="162"/>
                </a:lnTo>
                <a:lnTo>
                  <a:pt x="302" y="174"/>
                </a:lnTo>
                <a:lnTo>
                  <a:pt x="302" y="210"/>
                </a:lnTo>
                <a:lnTo>
                  <a:pt x="0" y="210"/>
                </a:lnTo>
              </a:path>
            </a:pathLst>
          </a:custGeom>
          <a:solidFill>
            <a:srgbClr val="FFFFFF"/>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27" name="Freeform 26">
            <a:extLst>
              <a:ext uri="{FF2B5EF4-FFF2-40B4-BE49-F238E27FC236}">
                <a16:creationId xmlns:a16="http://schemas.microsoft.com/office/drawing/2014/main" id="{00000000-0008-0000-0100-00001B000000}"/>
              </a:ext>
            </a:extLst>
          </xdr:cNvPr>
          <xdr:cNvSpPr>
            <a:spLocks/>
          </xdr:cNvSpPr>
        </xdr:nvSpPr>
        <xdr:spPr bwMode="auto">
          <a:xfrm>
            <a:off x="398" y="3732"/>
            <a:ext cx="54" cy="44"/>
          </a:xfrm>
          <a:custGeom>
            <a:avLst/>
            <a:gdLst/>
            <a:ahLst/>
            <a:cxnLst>
              <a:cxn ang="0">
                <a:pos x="0" y="43"/>
              </a:cxn>
              <a:cxn ang="0">
                <a:pos x="47" y="43"/>
              </a:cxn>
              <a:cxn ang="0">
                <a:pos x="47" y="0"/>
              </a:cxn>
              <a:cxn ang="0">
                <a:pos x="0" y="0"/>
              </a:cxn>
              <a:cxn ang="0">
                <a:pos x="0" y="43"/>
              </a:cxn>
            </a:cxnLst>
            <a:rect l="0" t="0" r="r" b="b"/>
            <a:pathLst>
              <a:path w="48" h="44">
                <a:moveTo>
                  <a:pt x="0" y="43"/>
                </a:moveTo>
                <a:lnTo>
                  <a:pt x="47" y="43"/>
                </a:lnTo>
                <a:lnTo>
                  <a:pt x="47" y="0"/>
                </a:lnTo>
                <a:lnTo>
                  <a:pt x="0" y="0"/>
                </a:lnTo>
                <a:lnTo>
                  <a:pt x="0" y="43"/>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28" name="Freeform 27">
            <a:extLst>
              <a:ext uri="{FF2B5EF4-FFF2-40B4-BE49-F238E27FC236}">
                <a16:creationId xmlns:a16="http://schemas.microsoft.com/office/drawing/2014/main" id="{00000000-0008-0000-0100-00001C000000}"/>
              </a:ext>
            </a:extLst>
          </xdr:cNvPr>
          <xdr:cNvSpPr>
            <a:spLocks/>
          </xdr:cNvSpPr>
        </xdr:nvSpPr>
        <xdr:spPr bwMode="auto">
          <a:xfrm>
            <a:off x="398" y="3711"/>
            <a:ext cx="54" cy="30"/>
          </a:xfrm>
          <a:custGeom>
            <a:avLst/>
            <a:gdLst/>
            <a:ahLst/>
            <a:cxnLst>
              <a:cxn ang="0">
                <a:pos x="24" y="0"/>
              </a:cxn>
              <a:cxn ang="0">
                <a:pos x="28" y="0"/>
              </a:cxn>
              <a:cxn ang="0">
                <a:pos x="33" y="1"/>
              </a:cxn>
              <a:cxn ang="0">
                <a:pos x="36" y="2"/>
              </a:cxn>
              <a:cxn ang="0">
                <a:pos x="41" y="4"/>
              </a:cxn>
              <a:cxn ang="0">
                <a:pos x="44" y="6"/>
              </a:cxn>
              <a:cxn ang="0">
                <a:pos x="45" y="9"/>
              </a:cxn>
              <a:cxn ang="0">
                <a:pos x="46" y="12"/>
              </a:cxn>
              <a:cxn ang="0">
                <a:pos x="47" y="15"/>
              </a:cxn>
              <a:cxn ang="0">
                <a:pos x="46" y="17"/>
              </a:cxn>
              <a:cxn ang="0">
                <a:pos x="45" y="20"/>
              </a:cxn>
              <a:cxn ang="0">
                <a:pos x="44" y="23"/>
              </a:cxn>
              <a:cxn ang="0">
                <a:pos x="41" y="25"/>
              </a:cxn>
              <a:cxn ang="0">
                <a:pos x="36" y="27"/>
              </a:cxn>
              <a:cxn ang="0">
                <a:pos x="33" y="28"/>
              </a:cxn>
              <a:cxn ang="0">
                <a:pos x="28" y="29"/>
              </a:cxn>
              <a:cxn ang="0">
                <a:pos x="24" y="29"/>
              </a:cxn>
              <a:cxn ang="0">
                <a:pos x="19" y="29"/>
              </a:cxn>
              <a:cxn ang="0">
                <a:pos x="15" y="28"/>
              </a:cxn>
              <a:cxn ang="0">
                <a:pos x="11" y="27"/>
              </a:cxn>
              <a:cxn ang="0">
                <a:pos x="6" y="25"/>
              </a:cxn>
              <a:cxn ang="0">
                <a:pos x="4" y="23"/>
              </a:cxn>
              <a:cxn ang="0">
                <a:pos x="2" y="20"/>
              </a:cxn>
              <a:cxn ang="0">
                <a:pos x="1" y="17"/>
              </a:cxn>
              <a:cxn ang="0">
                <a:pos x="0" y="15"/>
              </a:cxn>
              <a:cxn ang="0">
                <a:pos x="1" y="12"/>
              </a:cxn>
              <a:cxn ang="0">
                <a:pos x="2" y="9"/>
              </a:cxn>
              <a:cxn ang="0">
                <a:pos x="4" y="6"/>
              </a:cxn>
              <a:cxn ang="0">
                <a:pos x="6" y="4"/>
              </a:cxn>
              <a:cxn ang="0">
                <a:pos x="11" y="2"/>
              </a:cxn>
              <a:cxn ang="0">
                <a:pos x="15" y="1"/>
              </a:cxn>
              <a:cxn ang="0">
                <a:pos x="19" y="0"/>
              </a:cxn>
              <a:cxn ang="0">
                <a:pos x="24" y="0"/>
              </a:cxn>
            </a:cxnLst>
            <a:rect l="0" t="0" r="r" b="b"/>
            <a:pathLst>
              <a:path w="48" h="30">
                <a:moveTo>
                  <a:pt x="24" y="0"/>
                </a:moveTo>
                <a:lnTo>
                  <a:pt x="28" y="0"/>
                </a:lnTo>
                <a:lnTo>
                  <a:pt x="33" y="1"/>
                </a:lnTo>
                <a:lnTo>
                  <a:pt x="36" y="2"/>
                </a:lnTo>
                <a:lnTo>
                  <a:pt x="41" y="4"/>
                </a:lnTo>
                <a:lnTo>
                  <a:pt x="44" y="6"/>
                </a:lnTo>
                <a:lnTo>
                  <a:pt x="45" y="9"/>
                </a:lnTo>
                <a:lnTo>
                  <a:pt x="46" y="12"/>
                </a:lnTo>
                <a:lnTo>
                  <a:pt x="47" y="15"/>
                </a:lnTo>
                <a:lnTo>
                  <a:pt x="46" y="17"/>
                </a:lnTo>
                <a:lnTo>
                  <a:pt x="45" y="20"/>
                </a:lnTo>
                <a:lnTo>
                  <a:pt x="44" y="23"/>
                </a:lnTo>
                <a:lnTo>
                  <a:pt x="41" y="25"/>
                </a:lnTo>
                <a:lnTo>
                  <a:pt x="36" y="27"/>
                </a:lnTo>
                <a:lnTo>
                  <a:pt x="33" y="28"/>
                </a:lnTo>
                <a:lnTo>
                  <a:pt x="28" y="29"/>
                </a:lnTo>
                <a:lnTo>
                  <a:pt x="24" y="29"/>
                </a:lnTo>
                <a:lnTo>
                  <a:pt x="19" y="29"/>
                </a:lnTo>
                <a:lnTo>
                  <a:pt x="15" y="28"/>
                </a:lnTo>
                <a:lnTo>
                  <a:pt x="11" y="27"/>
                </a:lnTo>
                <a:lnTo>
                  <a:pt x="6" y="25"/>
                </a:lnTo>
                <a:lnTo>
                  <a:pt x="4" y="23"/>
                </a:lnTo>
                <a:lnTo>
                  <a:pt x="2" y="20"/>
                </a:lnTo>
                <a:lnTo>
                  <a:pt x="1" y="17"/>
                </a:lnTo>
                <a:lnTo>
                  <a:pt x="0" y="15"/>
                </a:lnTo>
                <a:lnTo>
                  <a:pt x="1" y="12"/>
                </a:lnTo>
                <a:lnTo>
                  <a:pt x="2" y="9"/>
                </a:lnTo>
                <a:lnTo>
                  <a:pt x="4" y="6"/>
                </a:lnTo>
                <a:lnTo>
                  <a:pt x="6" y="4"/>
                </a:lnTo>
                <a:lnTo>
                  <a:pt x="11" y="2"/>
                </a:lnTo>
                <a:lnTo>
                  <a:pt x="15" y="1"/>
                </a:lnTo>
                <a:lnTo>
                  <a:pt x="19" y="0"/>
                </a:lnTo>
                <a:lnTo>
                  <a:pt x="24"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29" name="Freeform 28">
            <a:extLst>
              <a:ext uri="{FF2B5EF4-FFF2-40B4-BE49-F238E27FC236}">
                <a16:creationId xmlns:a16="http://schemas.microsoft.com/office/drawing/2014/main" id="{00000000-0008-0000-0100-00001D000000}"/>
              </a:ext>
            </a:extLst>
          </xdr:cNvPr>
          <xdr:cNvSpPr>
            <a:spLocks/>
          </xdr:cNvSpPr>
        </xdr:nvSpPr>
        <xdr:spPr bwMode="auto">
          <a:xfrm>
            <a:off x="484" y="3728"/>
            <a:ext cx="17" cy="34"/>
          </a:xfrm>
          <a:custGeom>
            <a:avLst/>
            <a:gdLst/>
            <a:ahLst/>
            <a:cxnLst>
              <a:cxn ang="0">
                <a:pos x="0" y="0"/>
              </a:cxn>
              <a:cxn ang="0">
                <a:pos x="14" y="0"/>
              </a:cxn>
              <a:cxn ang="0">
                <a:pos x="14" y="33"/>
              </a:cxn>
              <a:cxn ang="0">
                <a:pos x="0" y="33"/>
              </a:cxn>
              <a:cxn ang="0">
                <a:pos x="0" y="0"/>
              </a:cxn>
            </a:cxnLst>
            <a:rect l="0" t="0" r="r" b="b"/>
            <a:pathLst>
              <a:path w="15" h="34">
                <a:moveTo>
                  <a:pt x="0" y="0"/>
                </a:moveTo>
                <a:lnTo>
                  <a:pt x="14" y="0"/>
                </a:lnTo>
                <a:lnTo>
                  <a:pt x="14" y="33"/>
                </a:lnTo>
                <a:lnTo>
                  <a:pt x="0" y="33"/>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30" name="Freeform 29">
            <a:extLst>
              <a:ext uri="{FF2B5EF4-FFF2-40B4-BE49-F238E27FC236}">
                <a16:creationId xmlns:a16="http://schemas.microsoft.com/office/drawing/2014/main" id="{00000000-0008-0000-0100-00001E000000}"/>
              </a:ext>
            </a:extLst>
          </xdr:cNvPr>
          <xdr:cNvSpPr>
            <a:spLocks/>
          </xdr:cNvSpPr>
        </xdr:nvSpPr>
        <xdr:spPr bwMode="auto">
          <a:xfrm>
            <a:off x="358" y="3728"/>
            <a:ext cx="17" cy="34"/>
          </a:xfrm>
          <a:custGeom>
            <a:avLst/>
            <a:gdLst/>
            <a:ahLst/>
            <a:cxnLst>
              <a:cxn ang="0">
                <a:pos x="0" y="0"/>
              </a:cxn>
              <a:cxn ang="0">
                <a:pos x="14" y="0"/>
              </a:cxn>
              <a:cxn ang="0">
                <a:pos x="14" y="33"/>
              </a:cxn>
              <a:cxn ang="0">
                <a:pos x="0" y="33"/>
              </a:cxn>
              <a:cxn ang="0">
                <a:pos x="0" y="0"/>
              </a:cxn>
            </a:cxnLst>
            <a:rect l="0" t="0" r="r" b="b"/>
            <a:pathLst>
              <a:path w="15" h="34">
                <a:moveTo>
                  <a:pt x="0" y="0"/>
                </a:moveTo>
                <a:lnTo>
                  <a:pt x="14" y="0"/>
                </a:lnTo>
                <a:lnTo>
                  <a:pt x="14" y="33"/>
                </a:lnTo>
                <a:lnTo>
                  <a:pt x="0" y="33"/>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31" name="Freeform 30">
            <a:extLst>
              <a:ext uri="{FF2B5EF4-FFF2-40B4-BE49-F238E27FC236}">
                <a16:creationId xmlns:a16="http://schemas.microsoft.com/office/drawing/2014/main" id="{00000000-0008-0000-0100-00001F000000}"/>
              </a:ext>
            </a:extLst>
          </xdr:cNvPr>
          <xdr:cNvSpPr>
            <a:spLocks/>
          </xdr:cNvSpPr>
        </xdr:nvSpPr>
        <xdr:spPr bwMode="auto">
          <a:xfrm>
            <a:off x="538" y="3646"/>
            <a:ext cx="17" cy="40"/>
          </a:xfrm>
          <a:custGeom>
            <a:avLst/>
            <a:gdLst/>
            <a:ahLst/>
            <a:cxnLst>
              <a:cxn ang="0">
                <a:pos x="0" y="0"/>
              </a:cxn>
              <a:cxn ang="0">
                <a:pos x="14" y="0"/>
              </a:cxn>
              <a:cxn ang="0">
                <a:pos x="14" y="39"/>
              </a:cxn>
              <a:cxn ang="0">
                <a:pos x="0" y="39"/>
              </a:cxn>
              <a:cxn ang="0">
                <a:pos x="0" y="0"/>
              </a:cxn>
            </a:cxnLst>
            <a:rect l="0" t="0" r="r" b="b"/>
            <a:pathLst>
              <a:path w="15" h="40">
                <a:moveTo>
                  <a:pt x="0" y="0"/>
                </a:moveTo>
                <a:lnTo>
                  <a:pt x="14" y="0"/>
                </a:lnTo>
                <a:lnTo>
                  <a:pt x="14" y="39"/>
                </a:lnTo>
                <a:lnTo>
                  <a:pt x="0" y="39"/>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32" name="Freeform 31">
            <a:extLst>
              <a:ext uri="{FF2B5EF4-FFF2-40B4-BE49-F238E27FC236}">
                <a16:creationId xmlns:a16="http://schemas.microsoft.com/office/drawing/2014/main" id="{00000000-0008-0000-0100-000020000000}"/>
              </a:ext>
            </a:extLst>
          </xdr:cNvPr>
          <xdr:cNvSpPr>
            <a:spLocks/>
          </xdr:cNvSpPr>
        </xdr:nvSpPr>
        <xdr:spPr bwMode="auto">
          <a:xfrm>
            <a:off x="538" y="3726"/>
            <a:ext cx="17" cy="39"/>
          </a:xfrm>
          <a:custGeom>
            <a:avLst/>
            <a:gdLst/>
            <a:ahLst/>
            <a:cxnLst>
              <a:cxn ang="0">
                <a:pos x="0" y="0"/>
              </a:cxn>
              <a:cxn ang="0">
                <a:pos x="14" y="0"/>
              </a:cxn>
              <a:cxn ang="0">
                <a:pos x="14" y="38"/>
              </a:cxn>
              <a:cxn ang="0">
                <a:pos x="0" y="38"/>
              </a:cxn>
              <a:cxn ang="0">
                <a:pos x="0" y="0"/>
              </a:cxn>
            </a:cxnLst>
            <a:rect l="0" t="0" r="r" b="b"/>
            <a:pathLst>
              <a:path w="15" h="39">
                <a:moveTo>
                  <a:pt x="0" y="0"/>
                </a:moveTo>
                <a:lnTo>
                  <a:pt x="14" y="0"/>
                </a:lnTo>
                <a:lnTo>
                  <a:pt x="14" y="38"/>
                </a:lnTo>
                <a:lnTo>
                  <a:pt x="0" y="38"/>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33" name="Freeform 32">
            <a:extLst>
              <a:ext uri="{FF2B5EF4-FFF2-40B4-BE49-F238E27FC236}">
                <a16:creationId xmlns:a16="http://schemas.microsoft.com/office/drawing/2014/main" id="{00000000-0008-0000-0100-000021000000}"/>
              </a:ext>
            </a:extLst>
          </xdr:cNvPr>
          <xdr:cNvSpPr>
            <a:spLocks/>
          </xdr:cNvSpPr>
        </xdr:nvSpPr>
        <xdr:spPr bwMode="auto">
          <a:xfrm>
            <a:off x="292" y="3726"/>
            <a:ext cx="17" cy="39"/>
          </a:xfrm>
          <a:custGeom>
            <a:avLst/>
            <a:gdLst/>
            <a:ahLst/>
            <a:cxnLst>
              <a:cxn ang="0">
                <a:pos x="0" y="0"/>
              </a:cxn>
              <a:cxn ang="0">
                <a:pos x="14" y="0"/>
              </a:cxn>
              <a:cxn ang="0">
                <a:pos x="14" y="38"/>
              </a:cxn>
              <a:cxn ang="0">
                <a:pos x="0" y="38"/>
              </a:cxn>
              <a:cxn ang="0">
                <a:pos x="0" y="0"/>
              </a:cxn>
            </a:cxnLst>
            <a:rect l="0" t="0" r="r" b="b"/>
            <a:pathLst>
              <a:path w="15" h="39">
                <a:moveTo>
                  <a:pt x="0" y="0"/>
                </a:moveTo>
                <a:lnTo>
                  <a:pt x="14" y="0"/>
                </a:lnTo>
                <a:lnTo>
                  <a:pt x="14" y="38"/>
                </a:lnTo>
                <a:lnTo>
                  <a:pt x="0" y="38"/>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34" name="Freeform 33">
            <a:extLst>
              <a:ext uri="{FF2B5EF4-FFF2-40B4-BE49-F238E27FC236}">
                <a16:creationId xmlns:a16="http://schemas.microsoft.com/office/drawing/2014/main" id="{00000000-0008-0000-0100-000022000000}"/>
              </a:ext>
            </a:extLst>
          </xdr:cNvPr>
          <xdr:cNvSpPr>
            <a:spLocks/>
          </xdr:cNvSpPr>
        </xdr:nvSpPr>
        <xdr:spPr bwMode="auto">
          <a:xfrm>
            <a:off x="292" y="3646"/>
            <a:ext cx="17" cy="40"/>
          </a:xfrm>
          <a:custGeom>
            <a:avLst/>
            <a:gdLst/>
            <a:ahLst/>
            <a:cxnLst>
              <a:cxn ang="0">
                <a:pos x="0" y="0"/>
              </a:cxn>
              <a:cxn ang="0">
                <a:pos x="14" y="0"/>
              </a:cxn>
              <a:cxn ang="0">
                <a:pos x="14" y="39"/>
              </a:cxn>
              <a:cxn ang="0">
                <a:pos x="0" y="39"/>
              </a:cxn>
              <a:cxn ang="0">
                <a:pos x="0" y="0"/>
              </a:cxn>
            </a:cxnLst>
            <a:rect l="0" t="0" r="r" b="b"/>
            <a:pathLst>
              <a:path w="15" h="40">
                <a:moveTo>
                  <a:pt x="0" y="0"/>
                </a:moveTo>
                <a:lnTo>
                  <a:pt x="14" y="0"/>
                </a:lnTo>
                <a:lnTo>
                  <a:pt x="14" y="39"/>
                </a:lnTo>
                <a:lnTo>
                  <a:pt x="0" y="39"/>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grpSp>
    <xdr:clientData/>
  </xdr:twoCellAnchor>
  <xdr:twoCellAnchor>
    <xdr:from>
      <xdr:col>0</xdr:col>
      <xdr:colOff>228600</xdr:colOff>
      <xdr:row>139</xdr:row>
      <xdr:rowOff>38100</xdr:rowOff>
    </xdr:from>
    <xdr:to>
      <xdr:col>3</xdr:col>
      <xdr:colOff>200025</xdr:colOff>
      <xdr:row>142</xdr:row>
      <xdr:rowOff>0</xdr:rowOff>
    </xdr:to>
    <xdr:pic>
      <xdr:nvPicPr>
        <xdr:cNvPr id="37" name="Picture 13">
          <a:extLst>
            <a:ext uri="{FF2B5EF4-FFF2-40B4-BE49-F238E27FC236}">
              <a16:creationId xmlns:a16="http://schemas.microsoft.com/office/drawing/2014/main" id="{00000000-0008-0000-0100-000025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blip>
        <a:srcRect/>
        <a:stretch>
          <a:fillRect/>
        </a:stretch>
      </xdr:blipFill>
      <xdr:spPr bwMode="auto">
        <a:xfrm>
          <a:off x="9810750" y="695325"/>
          <a:ext cx="1485900" cy="581025"/>
        </a:xfrm>
        <a:prstGeom prst="rect">
          <a:avLst/>
        </a:prstGeom>
        <a:noFill/>
      </xdr:spPr>
    </xdr:pic>
    <xdr:clientData/>
  </xdr:twoCellAnchor>
</xdr:wsDr>
</file>

<file path=xl/drawings/drawing3.xml><?xml version="1.0" encoding="utf-8"?>
<c:userShapes xmlns:c="http://schemas.openxmlformats.org/drawingml/2006/chart">
  <cdr:relSizeAnchor xmlns:cdr="http://schemas.openxmlformats.org/drawingml/2006/chartDrawing">
    <cdr:from>
      <cdr:x>0.40727</cdr:x>
      <cdr:y>0.72201</cdr:y>
    </cdr:from>
    <cdr:to>
      <cdr:x>0.62121</cdr:x>
      <cdr:y>0.78365</cdr:y>
    </cdr:to>
    <cdr:sp macro="" textlink="">
      <cdr:nvSpPr>
        <cdr:cNvPr id="4" name="TextBox 1"/>
        <cdr:cNvSpPr txBox="1"/>
      </cdr:nvSpPr>
      <cdr:spPr>
        <a:xfrm xmlns:a="http://schemas.openxmlformats.org/drawingml/2006/main">
          <a:off x="2958669" y="3534101"/>
          <a:ext cx="1554211" cy="30171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Matric Suction, </a:t>
          </a:r>
          <a:r>
            <a:rPr lang="en-US" sz="1200" b="1">
              <a:latin typeface="Symbol" panose="05050102010706020507" pitchFamily="18" charset="2"/>
            </a:rPr>
            <a:t>y</a:t>
          </a:r>
          <a:r>
            <a:rPr lang="en-US" sz="1200" b="1"/>
            <a:t> (kPa)</a:t>
          </a:r>
          <a:endParaRPr lang="en-US" sz="1200" b="1" baseline="-25000"/>
        </a:p>
      </cdr:txBody>
    </cdr:sp>
  </cdr:relSizeAnchor>
  <cdr:relSizeAnchor xmlns:cdr="http://schemas.openxmlformats.org/drawingml/2006/chartDrawing">
    <cdr:from>
      <cdr:x>0.01561</cdr:x>
      <cdr:y>0.02538</cdr:y>
    </cdr:from>
    <cdr:to>
      <cdr:x>0.04762</cdr:x>
      <cdr:y>0.72486</cdr:y>
    </cdr:to>
    <cdr:sp macro="" textlink="">
      <cdr:nvSpPr>
        <cdr:cNvPr id="5" name="TextBox 1"/>
        <cdr:cNvSpPr txBox="1"/>
      </cdr:nvSpPr>
      <cdr:spPr>
        <a:xfrm xmlns:a="http://schemas.openxmlformats.org/drawingml/2006/main" rot="16200000">
          <a:off x="-1083983" y="1292189"/>
          <a:ext cx="2625550" cy="23167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Volumetric Water Content, </a:t>
          </a:r>
          <a:r>
            <a:rPr lang="en-US" sz="1200" b="1">
              <a:latin typeface="Symbol" panose="05050102010706020507" pitchFamily="18" charset="2"/>
            </a:rPr>
            <a:t>q</a:t>
          </a:r>
          <a:r>
            <a:rPr lang="en-US" sz="1200" b="1" baseline="0"/>
            <a:t> </a:t>
          </a:r>
          <a:r>
            <a:rPr lang="en-US" sz="1200" b="1"/>
            <a:t>(cm</a:t>
          </a:r>
          <a:r>
            <a:rPr lang="en-US" sz="1200" b="1" baseline="30000"/>
            <a:t>3</a:t>
          </a:r>
          <a:r>
            <a:rPr lang="en-US" sz="1200" b="1"/>
            <a:t>/cm</a:t>
          </a:r>
          <a:r>
            <a:rPr lang="en-US" sz="1200" b="1" baseline="30000"/>
            <a:t>3</a:t>
          </a:r>
          <a:r>
            <a:rPr lang="en-US" sz="1200" b="1"/>
            <a:t>)</a:t>
          </a:r>
          <a:endParaRPr lang="en-US" sz="1200" b="1" baseline="-25000"/>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238124</xdr:colOff>
      <xdr:row>2</xdr:row>
      <xdr:rowOff>133350</xdr:rowOff>
    </xdr:from>
    <xdr:to>
      <xdr:col>20</xdr:col>
      <xdr:colOff>514349</xdr:colOff>
      <xdr:row>31</xdr:row>
      <xdr:rowOff>19050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38101</xdr:colOff>
      <xdr:row>31</xdr:row>
      <xdr:rowOff>38100</xdr:rowOff>
    </xdr:from>
    <xdr:to>
      <xdr:col>16</xdr:col>
      <xdr:colOff>409575</xdr:colOff>
      <xdr:row>32</xdr:row>
      <xdr:rowOff>180974</xdr:rowOff>
    </xdr:to>
    <xdr:grpSp>
      <xdr:nvGrpSpPr>
        <xdr:cNvPr id="3" name="Group 2">
          <a:extLst>
            <a:ext uri="{FF2B5EF4-FFF2-40B4-BE49-F238E27FC236}">
              <a16:creationId xmlns:a16="http://schemas.microsoft.com/office/drawing/2014/main" id="{00000000-0008-0000-0200-000003000000}"/>
            </a:ext>
          </a:extLst>
        </xdr:cNvPr>
        <xdr:cNvGrpSpPr>
          <a:grpSpLocks/>
        </xdr:cNvGrpSpPr>
      </xdr:nvGrpSpPr>
      <xdr:grpSpPr bwMode="auto">
        <a:xfrm>
          <a:off x="10898791" y="6169134"/>
          <a:ext cx="371474" cy="332645"/>
          <a:chOff x="164" y="3510"/>
          <a:chExt cx="510" cy="371"/>
        </a:xfrm>
      </xdr:grpSpPr>
      <xdr:sp macro="" textlink="">
        <xdr:nvSpPr>
          <xdr:cNvPr id="4" name="Freeform 3">
            <a:extLst>
              <a:ext uri="{FF2B5EF4-FFF2-40B4-BE49-F238E27FC236}">
                <a16:creationId xmlns:a16="http://schemas.microsoft.com/office/drawing/2014/main" id="{00000000-0008-0000-0200-000004000000}"/>
              </a:ext>
            </a:extLst>
          </xdr:cNvPr>
          <xdr:cNvSpPr>
            <a:spLocks/>
          </xdr:cNvSpPr>
        </xdr:nvSpPr>
        <xdr:spPr bwMode="auto">
          <a:xfrm>
            <a:off x="164" y="3510"/>
            <a:ext cx="510" cy="371"/>
          </a:xfrm>
          <a:custGeom>
            <a:avLst/>
            <a:gdLst/>
            <a:ahLst/>
            <a:cxnLst>
              <a:cxn ang="0">
                <a:pos x="59" y="0"/>
              </a:cxn>
              <a:cxn ang="0">
                <a:pos x="394" y="0"/>
              </a:cxn>
              <a:cxn ang="0">
                <a:pos x="406" y="1"/>
              </a:cxn>
              <a:cxn ang="0">
                <a:pos x="418" y="5"/>
              </a:cxn>
              <a:cxn ang="0">
                <a:pos x="426" y="12"/>
              </a:cxn>
              <a:cxn ang="0">
                <a:pos x="434" y="19"/>
              </a:cxn>
              <a:cxn ang="0">
                <a:pos x="442" y="28"/>
              </a:cxn>
              <a:cxn ang="0">
                <a:pos x="448" y="39"/>
              </a:cxn>
              <a:cxn ang="0">
                <a:pos x="452" y="51"/>
              </a:cxn>
              <a:cxn ang="0">
                <a:pos x="453" y="63"/>
              </a:cxn>
              <a:cxn ang="0">
                <a:pos x="453" y="308"/>
              </a:cxn>
              <a:cxn ang="0">
                <a:pos x="452" y="320"/>
              </a:cxn>
              <a:cxn ang="0">
                <a:pos x="448" y="332"/>
              </a:cxn>
              <a:cxn ang="0">
                <a:pos x="442" y="343"/>
              </a:cxn>
              <a:cxn ang="0">
                <a:pos x="434" y="352"/>
              </a:cxn>
              <a:cxn ang="0">
                <a:pos x="426" y="359"/>
              </a:cxn>
              <a:cxn ang="0">
                <a:pos x="418" y="366"/>
              </a:cxn>
              <a:cxn ang="0">
                <a:pos x="406" y="369"/>
              </a:cxn>
              <a:cxn ang="0">
                <a:pos x="394" y="370"/>
              </a:cxn>
              <a:cxn ang="0">
                <a:pos x="59" y="370"/>
              </a:cxn>
              <a:cxn ang="0">
                <a:pos x="47" y="369"/>
              </a:cxn>
              <a:cxn ang="0">
                <a:pos x="36" y="366"/>
              </a:cxn>
              <a:cxn ang="0">
                <a:pos x="27" y="359"/>
              </a:cxn>
              <a:cxn ang="0">
                <a:pos x="17" y="352"/>
              </a:cxn>
              <a:cxn ang="0">
                <a:pos x="11" y="343"/>
              </a:cxn>
              <a:cxn ang="0">
                <a:pos x="4" y="332"/>
              </a:cxn>
              <a:cxn ang="0">
                <a:pos x="1" y="320"/>
              </a:cxn>
              <a:cxn ang="0">
                <a:pos x="0" y="308"/>
              </a:cxn>
              <a:cxn ang="0">
                <a:pos x="0" y="63"/>
              </a:cxn>
              <a:cxn ang="0">
                <a:pos x="1" y="51"/>
              </a:cxn>
              <a:cxn ang="0">
                <a:pos x="4" y="39"/>
              </a:cxn>
              <a:cxn ang="0">
                <a:pos x="11" y="28"/>
              </a:cxn>
              <a:cxn ang="0">
                <a:pos x="17" y="19"/>
              </a:cxn>
              <a:cxn ang="0">
                <a:pos x="27" y="12"/>
              </a:cxn>
              <a:cxn ang="0">
                <a:pos x="36" y="5"/>
              </a:cxn>
              <a:cxn ang="0">
                <a:pos x="47" y="1"/>
              </a:cxn>
              <a:cxn ang="0">
                <a:pos x="59" y="0"/>
              </a:cxn>
            </a:cxnLst>
            <a:rect l="0" t="0" r="r" b="b"/>
            <a:pathLst>
              <a:path w="454" h="371">
                <a:moveTo>
                  <a:pt x="59" y="0"/>
                </a:moveTo>
                <a:lnTo>
                  <a:pt x="394" y="0"/>
                </a:lnTo>
                <a:lnTo>
                  <a:pt x="406" y="1"/>
                </a:lnTo>
                <a:lnTo>
                  <a:pt x="418" y="5"/>
                </a:lnTo>
                <a:lnTo>
                  <a:pt x="426" y="12"/>
                </a:lnTo>
                <a:lnTo>
                  <a:pt x="434" y="19"/>
                </a:lnTo>
                <a:lnTo>
                  <a:pt x="442" y="28"/>
                </a:lnTo>
                <a:lnTo>
                  <a:pt x="448" y="39"/>
                </a:lnTo>
                <a:lnTo>
                  <a:pt x="452" y="51"/>
                </a:lnTo>
                <a:lnTo>
                  <a:pt x="453" y="63"/>
                </a:lnTo>
                <a:lnTo>
                  <a:pt x="453" y="308"/>
                </a:lnTo>
                <a:lnTo>
                  <a:pt x="452" y="320"/>
                </a:lnTo>
                <a:lnTo>
                  <a:pt x="448" y="332"/>
                </a:lnTo>
                <a:lnTo>
                  <a:pt x="442" y="343"/>
                </a:lnTo>
                <a:lnTo>
                  <a:pt x="434" y="352"/>
                </a:lnTo>
                <a:lnTo>
                  <a:pt x="426" y="359"/>
                </a:lnTo>
                <a:lnTo>
                  <a:pt x="418" y="366"/>
                </a:lnTo>
                <a:lnTo>
                  <a:pt x="406" y="369"/>
                </a:lnTo>
                <a:lnTo>
                  <a:pt x="394" y="370"/>
                </a:lnTo>
                <a:lnTo>
                  <a:pt x="59" y="370"/>
                </a:lnTo>
                <a:lnTo>
                  <a:pt x="47" y="369"/>
                </a:lnTo>
                <a:lnTo>
                  <a:pt x="36" y="366"/>
                </a:lnTo>
                <a:lnTo>
                  <a:pt x="27" y="359"/>
                </a:lnTo>
                <a:lnTo>
                  <a:pt x="17" y="352"/>
                </a:lnTo>
                <a:lnTo>
                  <a:pt x="11" y="343"/>
                </a:lnTo>
                <a:lnTo>
                  <a:pt x="4" y="332"/>
                </a:lnTo>
                <a:lnTo>
                  <a:pt x="1" y="320"/>
                </a:lnTo>
                <a:lnTo>
                  <a:pt x="0" y="308"/>
                </a:lnTo>
                <a:lnTo>
                  <a:pt x="0" y="63"/>
                </a:lnTo>
                <a:lnTo>
                  <a:pt x="1" y="51"/>
                </a:lnTo>
                <a:lnTo>
                  <a:pt x="4" y="39"/>
                </a:lnTo>
                <a:lnTo>
                  <a:pt x="11" y="28"/>
                </a:lnTo>
                <a:lnTo>
                  <a:pt x="17" y="19"/>
                </a:lnTo>
                <a:lnTo>
                  <a:pt x="27" y="12"/>
                </a:lnTo>
                <a:lnTo>
                  <a:pt x="36" y="5"/>
                </a:lnTo>
                <a:lnTo>
                  <a:pt x="47" y="1"/>
                </a:lnTo>
                <a:lnTo>
                  <a:pt x="59"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5" name="Freeform 4">
            <a:extLst>
              <a:ext uri="{FF2B5EF4-FFF2-40B4-BE49-F238E27FC236}">
                <a16:creationId xmlns:a16="http://schemas.microsoft.com/office/drawing/2014/main" id="{00000000-0008-0000-0200-000005000000}"/>
              </a:ext>
            </a:extLst>
          </xdr:cNvPr>
          <xdr:cNvSpPr>
            <a:spLocks/>
          </xdr:cNvSpPr>
        </xdr:nvSpPr>
        <xdr:spPr bwMode="auto">
          <a:xfrm>
            <a:off x="196" y="3541"/>
            <a:ext cx="449" cy="314"/>
          </a:xfrm>
          <a:custGeom>
            <a:avLst/>
            <a:gdLst/>
            <a:ahLst/>
            <a:cxnLst>
              <a:cxn ang="0">
                <a:pos x="29" y="0"/>
              </a:cxn>
              <a:cxn ang="0">
                <a:pos x="369" y="0"/>
              </a:cxn>
              <a:cxn ang="0">
                <a:pos x="374" y="0"/>
              </a:cxn>
              <a:cxn ang="0">
                <a:pos x="380" y="2"/>
              </a:cxn>
              <a:cxn ang="0">
                <a:pos x="386" y="5"/>
              </a:cxn>
              <a:cxn ang="0">
                <a:pos x="390" y="8"/>
              </a:cxn>
              <a:cxn ang="0">
                <a:pos x="393" y="14"/>
              </a:cxn>
              <a:cxn ang="0">
                <a:pos x="395" y="19"/>
              </a:cxn>
              <a:cxn ang="0">
                <a:pos x="397" y="24"/>
              </a:cxn>
              <a:cxn ang="0">
                <a:pos x="398" y="30"/>
              </a:cxn>
              <a:cxn ang="0">
                <a:pos x="398" y="283"/>
              </a:cxn>
              <a:cxn ang="0">
                <a:pos x="397" y="289"/>
              </a:cxn>
              <a:cxn ang="0">
                <a:pos x="395" y="294"/>
              </a:cxn>
              <a:cxn ang="0">
                <a:pos x="393" y="299"/>
              </a:cxn>
              <a:cxn ang="0">
                <a:pos x="390" y="304"/>
              </a:cxn>
              <a:cxn ang="0">
                <a:pos x="386" y="308"/>
              </a:cxn>
              <a:cxn ang="0">
                <a:pos x="380" y="310"/>
              </a:cxn>
              <a:cxn ang="0">
                <a:pos x="374" y="312"/>
              </a:cxn>
              <a:cxn ang="0">
                <a:pos x="369" y="313"/>
              </a:cxn>
              <a:cxn ang="0">
                <a:pos x="29" y="313"/>
              </a:cxn>
              <a:cxn ang="0">
                <a:pos x="24" y="312"/>
              </a:cxn>
              <a:cxn ang="0">
                <a:pos x="18" y="310"/>
              </a:cxn>
              <a:cxn ang="0">
                <a:pos x="13" y="308"/>
              </a:cxn>
              <a:cxn ang="0">
                <a:pos x="9" y="304"/>
              </a:cxn>
              <a:cxn ang="0">
                <a:pos x="5" y="299"/>
              </a:cxn>
              <a:cxn ang="0">
                <a:pos x="4" y="294"/>
              </a:cxn>
              <a:cxn ang="0">
                <a:pos x="1" y="289"/>
              </a:cxn>
              <a:cxn ang="0">
                <a:pos x="0" y="283"/>
              </a:cxn>
              <a:cxn ang="0">
                <a:pos x="0" y="30"/>
              </a:cxn>
              <a:cxn ang="0">
                <a:pos x="1" y="24"/>
              </a:cxn>
              <a:cxn ang="0">
                <a:pos x="4" y="19"/>
              </a:cxn>
              <a:cxn ang="0">
                <a:pos x="5" y="14"/>
              </a:cxn>
              <a:cxn ang="0">
                <a:pos x="9" y="8"/>
              </a:cxn>
              <a:cxn ang="0">
                <a:pos x="13" y="5"/>
              </a:cxn>
              <a:cxn ang="0">
                <a:pos x="18" y="2"/>
              </a:cxn>
              <a:cxn ang="0">
                <a:pos x="24" y="0"/>
              </a:cxn>
              <a:cxn ang="0">
                <a:pos x="29" y="0"/>
              </a:cxn>
            </a:cxnLst>
            <a:rect l="0" t="0" r="r" b="b"/>
            <a:pathLst>
              <a:path w="399" h="314">
                <a:moveTo>
                  <a:pt x="29" y="0"/>
                </a:moveTo>
                <a:lnTo>
                  <a:pt x="369" y="0"/>
                </a:lnTo>
                <a:lnTo>
                  <a:pt x="374" y="0"/>
                </a:lnTo>
                <a:lnTo>
                  <a:pt x="380" y="2"/>
                </a:lnTo>
                <a:lnTo>
                  <a:pt x="386" y="5"/>
                </a:lnTo>
                <a:lnTo>
                  <a:pt x="390" y="8"/>
                </a:lnTo>
                <a:lnTo>
                  <a:pt x="393" y="14"/>
                </a:lnTo>
                <a:lnTo>
                  <a:pt x="395" y="19"/>
                </a:lnTo>
                <a:lnTo>
                  <a:pt x="397" y="24"/>
                </a:lnTo>
                <a:lnTo>
                  <a:pt x="398" y="30"/>
                </a:lnTo>
                <a:lnTo>
                  <a:pt x="398" y="283"/>
                </a:lnTo>
                <a:lnTo>
                  <a:pt x="397" y="289"/>
                </a:lnTo>
                <a:lnTo>
                  <a:pt x="395" y="294"/>
                </a:lnTo>
                <a:lnTo>
                  <a:pt x="393" y="299"/>
                </a:lnTo>
                <a:lnTo>
                  <a:pt x="390" y="304"/>
                </a:lnTo>
                <a:lnTo>
                  <a:pt x="386" y="308"/>
                </a:lnTo>
                <a:lnTo>
                  <a:pt x="380" y="310"/>
                </a:lnTo>
                <a:lnTo>
                  <a:pt x="374" y="312"/>
                </a:lnTo>
                <a:lnTo>
                  <a:pt x="369" y="313"/>
                </a:lnTo>
                <a:lnTo>
                  <a:pt x="29" y="313"/>
                </a:lnTo>
                <a:lnTo>
                  <a:pt x="24" y="312"/>
                </a:lnTo>
                <a:lnTo>
                  <a:pt x="18" y="310"/>
                </a:lnTo>
                <a:lnTo>
                  <a:pt x="13" y="308"/>
                </a:lnTo>
                <a:lnTo>
                  <a:pt x="9" y="304"/>
                </a:lnTo>
                <a:lnTo>
                  <a:pt x="5" y="299"/>
                </a:lnTo>
                <a:lnTo>
                  <a:pt x="4" y="294"/>
                </a:lnTo>
                <a:lnTo>
                  <a:pt x="1" y="289"/>
                </a:lnTo>
                <a:lnTo>
                  <a:pt x="0" y="283"/>
                </a:lnTo>
                <a:lnTo>
                  <a:pt x="0" y="30"/>
                </a:lnTo>
                <a:lnTo>
                  <a:pt x="1" y="24"/>
                </a:lnTo>
                <a:lnTo>
                  <a:pt x="4" y="19"/>
                </a:lnTo>
                <a:lnTo>
                  <a:pt x="5" y="14"/>
                </a:lnTo>
                <a:lnTo>
                  <a:pt x="9" y="8"/>
                </a:lnTo>
                <a:lnTo>
                  <a:pt x="13" y="5"/>
                </a:lnTo>
                <a:lnTo>
                  <a:pt x="18" y="2"/>
                </a:lnTo>
                <a:lnTo>
                  <a:pt x="24" y="0"/>
                </a:lnTo>
                <a:lnTo>
                  <a:pt x="29" y="0"/>
                </a:lnTo>
              </a:path>
            </a:pathLst>
          </a:custGeom>
          <a:solidFill>
            <a:srgbClr val="FFFFFF"/>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6" name="Freeform 5">
            <a:extLst>
              <a:ext uri="{FF2B5EF4-FFF2-40B4-BE49-F238E27FC236}">
                <a16:creationId xmlns:a16="http://schemas.microsoft.com/office/drawing/2014/main" id="{00000000-0008-0000-0200-000006000000}"/>
              </a:ext>
            </a:extLst>
          </xdr:cNvPr>
          <xdr:cNvSpPr>
            <a:spLocks/>
          </xdr:cNvSpPr>
        </xdr:nvSpPr>
        <xdr:spPr bwMode="auto">
          <a:xfrm>
            <a:off x="214" y="3558"/>
            <a:ext cx="414" cy="278"/>
          </a:xfrm>
          <a:custGeom>
            <a:avLst/>
            <a:gdLst/>
            <a:ahLst/>
            <a:cxnLst>
              <a:cxn ang="0">
                <a:pos x="17" y="0"/>
              </a:cxn>
              <a:cxn ang="0">
                <a:pos x="351" y="0"/>
              </a:cxn>
              <a:cxn ang="0">
                <a:pos x="355" y="0"/>
              </a:cxn>
              <a:cxn ang="0">
                <a:pos x="358" y="1"/>
              </a:cxn>
              <a:cxn ang="0">
                <a:pos x="360" y="3"/>
              </a:cxn>
              <a:cxn ang="0">
                <a:pos x="363" y="5"/>
              </a:cxn>
              <a:cxn ang="0">
                <a:pos x="364" y="7"/>
              </a:cxn>
              <a:cxn ang="0">
                <a:pos x="366" y="10"/>
              </a:cxn>
              <a:cxn ang="0">
                <a:pos x="367" y="14"/>
              </a:cxn>
              <a:cxn ang="0">
                <a:pos x="367" y="17"/>
              </a:cxn>
              <a:cxn ang="0">
                <a:pos x="367" y="260"/>
              </a:cxn>
              <a:cxn ang="0">
                <a:pos x="367" y="263"/>
              </a:cxn>
              <a:cxn ang="0">
                <a:pos x="366" y="267"/>
              </a:cxn>
              <a:cxn ang="0">
                <a:pos x="364" y="270"/>
              </a:cxn>
              <a:cxn ang="0">
                <a:pos x="363" y="272"/>
              </a:cxn>
              <a:cxn ang="0">
                <a:pos x="360" y="274"/>
              </a:cxn>
              <a:cxn ang="0">
                <a:pos x="358" y="276"/>
              </a:cxn>
              <a:cxn ang="0">
                <a:pos x="355" y="276"/>
              </a:cxn>
              <a:cxn ang="0">
                <a:pos x="351" y="277"/>
              </a:cxn>
              <a:cxn ang="0">
                <a:pos x="17" y="277"/>
              </a:cxn>
              <a:cxn ang="0">
                <a:pos x="13" y="276"/>
              </a:cxn>
              <a:cxn ang="0">
                <a:pos x="11" y="276"/>
              </a:cxn>
              <a:cxn ang="0">
                <a:pos x="8" y="274"/>
              </a:cxn>
              <a:cxn ang="0">
                <a:pos x="5" y="272"/>
              </a:cxn>
              <a:cxn ang="0">
                <a:pos x="4" y="270"/>
              </a:cxn>
              <a:cxn ang="0">
                <a:pos x="1" y="267"/>
              </a:cxn>
              <a:cxn ang="0">
                <a:pos x="1" y="263"/>
              </a:cxn>
              <a:cxn ang="0">
                <a:pos x="0" y="260"/>
              </a:cxn>
              <a:cxn ang="0">
                <a:pos x="0" y="17"/>
              </a:cxn>
              <a:cxn ang="0">
                <a:pos x="1" y="14"/>
              </a:cxn>
              <a:cxn ang="0">
                <a:pos x="1" y="10"/>
              </a:cxn>
              <a:cxn ang="0">
                <a:pos x="4" y="7"/>
              </a:cxn>
              <a:cxn ang="0">
                <a:pos x="5" y="5"/>
              </a:cxn>
              <a:cxn ang="0">
                <a:pos x="8" y="3"/>
              </a:cxn>
              <a:cxn ang="0">
                <a:pos x="11" y="1"/>
              </a:cxn>
              <a:cxn ang="0">
                <a:pos x="13" y="0"/>
              </a:cxn>
              <a:cxn ang="0">
                <a:pos x="17" y="0"/>
              </a:cxn>
            </a:cxnLst>
            <a:rect l="0" t="0" r="r" b="b"/>
            <a:pathLst>
              <a:path w="368" h="278">
                <a:moveTo>
                  <a:pt x="17" y="0"/>
                </a:moveTo>
                <a:lnTo>
                  <a:pt x="351" y="0"/>
                </a:lnTo>
                <a:lnTo>
                  <a:pt x="355" y="0"/>
                </a:lnTo>
                <a:lnTo>
                  <a:pt x="358" y="1"/>
                </a:lnTo>
                <a:lnTo>
                  <a:pt x="360" y="3"/>
                </a:lnTo>
                <a:lnTo>
                  <a:pt x="363" y="5"/>
                </a:lnTo>
                <a:lnTo>
                  <a:pt x="364" y="7"/>
                </a:lnTo>
                <a:lnTo>
                  <a:pt x="366" y="10"/>
                </a:lnTo>
                <a:lnTo>
                  <a:pt x="367" y="14"/>
                </a:lnTo>
                <a:lnTo>
                  <a:pt x="367" y="17"/>
                </a:lnTo>
                <a:lnTo>
                  <a:pt x="367" y="260"/>
                </a:lnTo>
                <a:lnTo>
                  <a:pt x="367" y="263"/>
                </a:lnTo>
                <a:lnTo>
                  <a:pt x="366" y="267"/>
                </a:lnTo>
                <a:lnTo>
                  <a:pt x="364" y="270"/>
                </a:lnTo>
                <a:lnTo>
                  <a:pt x="363" y="272"/>
                </a:lnTo>
                <a:lnTo>
                  <a:pt x="360" y="274"/>
                </a:lnTo>
                <a:lnTo>
                  <a:pt x="358" y="276"/>
                </a:lnTo>
                <a:lnTo>
                  <a:pt x="355" y="276"/>
                </a:lnTo>
                <a:lnTo>
                  <a:pt x="351" y="277"/>
                </a:lnTo>
                <a:lnTo>
                  <a:pt x="17" y="277"/>
                </a:lnTo>
                <a:lnTo>
                  <a:pt x="13" y="276"/>
                </a:lnTo>
                <a:lnTo>
                  <a:pt x="11" y="276"/>
                </a:lnTo>
                <a:lnTo>
                  <a:pt x="8" y="274"/>
                </a:lnTo>
                <a:lnTo>
                  <a:pt x="5" y="272"/>
                </a:lnTo>
                <a:lnTo>
                  <a:pt x="4" y="270"/>
                </a:lnTo>
                <a:lnTo>
                  <a:pt x="1" y="267"/>
                </a:lnTo>
                <a:lnTo>
                  <a:pt x="1" y="263"/>
                </a:lnTo>
                <a:lnTo>
                  <a:pt x="0" y="260"/>
                </a:lnTo>
                <a:lnTo>
                  <a:pt x="0" y="17"/>
                </a:lnTo>
                <a:lnTo>
                  <a:pt x="1" y="14"/>
                </a:lnTo>
                <a:lnTo>
                  <a:pt x="1" y="10"/>
                </a:lnTo>
                <a:lnTo>
                  <a:pt x="4" y="7"/>
                </a:lnTo>
                <a:lnTo>
                  <a:pt x="5" y="5"/>
                </a:lnTo>
                <a:lnTo>
                  <a:pt x="8" y="3"/>
                </a:lnTo>
                <a:lnTo>
                  <a:pt x="11" y="1"/>
                </a:lnTo>
                <a:lnTo>
                  <a:pt x="13" y="0"/>
                </a:lnTo>
                <a:lnTo>
                  <a:pt x="17"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7" name="Freeform 6">
            <a:extLst>
              <a:ext uri="{FF2B5EF4-FFF2-40B4-BE49-F238E27FC236}">
                <a16:creationId xmlns:a16="http://schemas.microsoft.com/office/drawing/2014/main" id="{00000000-0008-0000-0200-000007000000}"/>
              </a:ext>
            </a:extLst>
          </xdr:cNvPr>
          <xdr:cNvSpPr>
            <a:spLocks/>
          </xdr:cNvSpPr>
        </xdr:nvSpPr>
        <xdr:spPr bwMode="auto">
          <a:xfrm>
            <a:off x="251" y="3591"/>
            <a:ext cx="341" cy="211"/>
          </a:xfrm>
          <a:custGeom>
            <a:avLst/>
            <a:gdLst/>
            <a:ahLst/>
            <a:cxnLst>
              <a:cxn ang="0">
                <a:pos x="0" y="210"/>
              </a:cxn>
              <a:cxn ang="0">
                <a:pos x="0" y="173"/>
              </a:cxn>
              <a:cxn ang="0">
                <a:pos x="12" y="162"/>
              </a:cxn>
              <a:cxn ang="0">
                <a:pos x="12" y="46"/>
              </a:cxn>
              <a:cxn ang="0">
                <a:pos x="0" y="32"/>
              </a:cxn>
              <a:cxn ang="0">
                <a:pos x="0" y="2"/>
              </a:cxn>
              <a:cxn ang="0">
                <a:pos x="18" y="2"/>
              </a:cxn>
              <a:cxn ang="0">
                <a:pos x="18" y="19"/>
              </a:cxn>
              <a:cxn ang="0">
                <a:pos x="34" y="19"/>
              </a:cxn>
              <a:cxn ang="0">
                <a:pos x="34" y="2"/>
              </a:cxn>
              <a:cxn ang="0">
                <a:pos x="57" y="2"/>
              </a:cxn>
              <a:cxn ang="0">
                <a:pos x="57" y="19"/>
              </a:cxn>
              <a:cxn ang="0">
                <a:pos x="59" y="19"/>
              </a:cxn>
              <a:cxn ang="0">
                <a:pos x="74" y="19"/>
              </a:cxn>
              <a:cxn ang="0">
                <a:pos x="74" y="2"/>
              </a:cxn>
              <a:cxn ang="0">
                <a:pos x="92" y="2"/>
              </a:cxn>
              <a:cxn ang="0">
                <a:pos x="92" y="31"/>
              </a:cxn>
              <a:cxn ang="0">
                <a:pos x="79" y="45"/>
              </a:cxn>
              <a:cxn ang="0">
                <a:pos x="79" y="98"/>
              </a:cxn>
              <a:cxn ang="0">
                <a:pos x="119" y="98"/>
              </a:cxn>
              <a:cxn ang="0">
                <a:pos x="119" y="80"/>
              </a:cxn>
              <a:cxn ang="0">
                <a:pos x="108" y="70"/>
              </a:cxn>
              <a:cxn ang="0">
                <a:pos x="108" y="38"/>
              </a:cxn>
              <a:cxn ang="0">
                <a:pos x="125" y="38"/>
              </a:cxn>
              <a:cxn ang="0">
                <a:pos x="125" y="55"/>
              </a:cxn>
              <a:cxn ang="0">
                <a:pos x="143" y="55"/>
              </a:cxn>
              <a:cxn ang="0">
                <a:pos x="143" y="38"/>
              </a:cxn>
              <a:cxn ang="0">
                <a:pos x="160" y="38"/>
              </a:cxn>
              <a:cxn ang="0">
                <a:pos x="160" y="56"/>
              </a:cxn>
              <a:cxn ang="0">
                <a:pos x="176" y="56"/>
              </a:cxn>
              <a:cxn ang="0">
                <a:pos x="176" y="38"/>
              </a:cxn>
              <a:cxn ang="0">
                <a:pos x="193" y="38"/>
              </a:cxn>
              <a:cxn ang="0">
                <a:pos x="193" y="69"/>
              </a:cxn>
              <a:cxn ang="0">
                <a:pos x="183" y="81"/>
              </a:cxn>
              <a:cxn ang="0">
                <a:pos x="183" y="99"/>
              </a:cxn>
              <a:cxn ang="0">
                <a:pos x="223" y="99"/>
              </a:cxn>
              <a:cxn ang="0">
                <a:pos x="223" y="47"/>
              </a:cxn>
              <a:cxn ang="0">
                <a:pos x="210" y="32"/>
              </a:cxn>
              <a:cxn ang="0">
                <a:pos x="210" y="1"/>
              </a:cxn>
              <a:cxn ang="0">
                <a:pos x="227" y="1"/>
              </a:cxn>
              <a:cxn ang="0">
                <a:pos x="227" y="19"/>
              </a:cxn>
              <a:cxn ang="0">
                <a:pos x="244" y="19"/>
              </a:cxn>
              <a:cxn ang="0">
                <a:pos x="244" y="0"/>
              </a:cxn>
              <a:cxn ang="0">
                <a:pos x="267" y="0"/>
              </a:cxn>
              <a:cxn ang="0">
                <a:pos x="267" y="19"/>
              </a:cxn>
              <a:cxn ang="0">
                <a:pos x="285" y="19"/>
              </a:cxn>
              <a:cxn ang="0">
                <a:pos x="285" y="0"/>
              </a:cxn>
              <a:cxn ang="0">
                <a:pos x="302" y="0"/>
              </a:cxn>
              <a:cxn ang="0">
                <a:pos x="302" y="30"/>
              </a:cxn>
              <a:cxn ang="0">
                <a:pos x="291" y="45"/>
              </a:cxn>
              <a:cxn ang="0">
                <a:pos x="291" y="162"/>
              </a:cxn>
              <a:cxn ang="0">
                <a:pos x="302" y="174"/>
              </a:cxn>
              <a:cxn ang="0">
                <a:pos x="302" y="210"/>
              </a:cxn>
              <a:cxn ang="0">
                <a:pos x="0" y="210"/>
              </a:cxn>
            </a:cxnLst>
            <a:rect l="0" t="0" r="r" b="b"/>
            <a:pathLst>
              <a:path w="303" h="211">
                <a:moveTo>
                  <a:pt x="0" y="210"/>
                </a:moveTo>
                <a:lnTo>
                  <a:pt x="0" y="173"/>
                </a:lnTo>
                <a:lnTo>
                  <a:pt x="12" y="162"/>
                </a:lnTo>
                <a:lnTo>
                  <a:pt x="12" y="46"/>
                </a:lnTo>
                <a:lnTo>
                  <a:pt x="0" y="32"/>
                </a:lnTo>
                <a:lnTo>
                  <a:pt x="0" y="2"/>
                </a:lnTo>
                <a:lnTo>
                  <a:pt x="18" y="2"/>
                </a:lnTo>
                <a:lnTo>
                  <a:pt x="18" y="19"/>
                </a:lnTo>
                <a:lnTo>
                  <a:pt x="34" y="19"/>
                </a:lnTo>
                <a:lnTo>
                  <a:pt x="34" y="2"/>
                </a:lnTo>
                <a:lnTo>
                  <a:pt x="57" y="2"/>
                </a:lnTo>
                <a:lnTo>
                  <a:pt x="57" y="19"/>
                </a:lnTo>
                <a:lnTo>
                  <a:pt x="59" y="19"/>
                </a:lnTo>
                <a:lnTo>
                  <a:pt x="74" y="19"/>
                </a:lnTo>
                <a:lnTo>
                  <a:pt x="74" y="2"/>
                </a:lnTo>
                <a:lnTo>
                  <a:pt x="92" y="2"/>
                </a:lnTo>
                <a:lnTo>
                  <a:pt x="92" y="31"/>
                </a:lnTo>
                <a:lnTo>
                  <a:pt x="79" y="45"/>
                </a:lnTo>
                <a:lnTo>
                  <a:pt x="79" y="98"/>
                </a:lnTo>
                <a:lnTo>
                  <a:pt x="119" y="98"/>
                </a:lnTo>
                <a:lnTo>
                  <a:pt x="119" y="80"/>
                </a:lnTo>
                <a:lnTo>
                  <a:pt x="108" y="70"/>
                </a:lnTo>
                <a:lnTo>
                  <a:pt x="108" y="38"/>
                </a:lnTo>
                <a:lnTo>
                  <a:pt x="125" y="38"/>
                </a:lnTo>
                <a:lnTo>
                  <a:pt x="125" y="55"/>
                </a:lnTo>
                <a:lnTo>
                  <a:pt x="143" y="55"/>
                </a:lnTo>
                <a:lnTo>
                  <a:pt x="143" y="38"/>
                </a:lnTo>
                <a:lnTo>
                  <a:pt x="160" y="38"/>
                </a:lnTo>
                <a:lnTo>
                  <a:pt x="160" y="56"/>
                </a:lnTo>
                <a:lnTo>
                  <a:pt x="176" y="56"/>
                </a:lnTo>
                <a:lnTo>
                  <a:pt x="176" y="38"/>
                </a:lnTo>
                <a:lnTo>
                  <a:pt x="193" y="38"/>
                </a:lnTo>
                <a:lnTo>
                  <a:pt x="193" y="69"/>
                </a:lnTo>
                <a:lnTo>
                  <a:pt x="183" y="81"/>
                </a:lnTo>
                <a:lnTo>
                  <a:pt x="183" y="99"/>
                </a:lnTo>
                <a:lnTo>
                  <a:pt x="223" y="99"/>
                </a:lnTo>
                <a:lnTo>
                  <a:pt x="223" y="47"/>
                </a:lnTo>
                <a:lnTo>
                  <a:pt x="210" y="32"/>
                </a:lnTo>
                <a:lnTo>
                  <a:pt x="210" y="1"/>
                </a:lnTo>
                <a:lnTo>
                  <a:pt x="227" y="1"/>
                </a:lnTo>
                <a:lnTo>
                  <a:pt x="227" y="19"/>
                </a:lnTo>
                <a:lnTo>
                  <a:pt x="244" y="19"/>
                </a:lnTo>
                <a:lnTo>
                  <a:pt x="244" y="0"/>
                </a:lnTo>
                <a:lnTo>
                  <a:pt x="267" y="0"/>
                </a:lnTo>
                <a:lnTo>
                  <a:pt x="267" y="19"/>
                </a:lnTo>
                <a:lnTo>
                  <a:pt x="285" y="19"/>
                </a:lnTo>
                <a:lnTo>
                  <a:pt x="285" y="0"/>
                </a:lnTo>
                <a:lnTo>
                  <a:pt x="302" y="0"/>
                </a:lnTo>
                <a:lnTo>
                  <a:pt x="302" y="30"/>
                </a:lnTo>
                <a:lnTo>
                  <a:pt x="291" y="45"/>
                </a:lnTo>
                <a:lnTo>
                  <a:pt x="291" y="162"/>
                </a:lnTo>
                <a:lnTo>
                  <a:pt x="302" y="174"/>
                </a:lnTo>
                <a:lnTo>
                  <a:pt x="302" y="210"/>
                </a:lnTo>
                <a:lnTo>
                  <a:pt x="0" y="210"/>
                </a:lnTo>
              </a:path>
            </a:pathLst>
          </a:custGeom>
          <a:solidFill>
            <a:srgbClr val="FFFFFF"/>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8" name="Freeform 7">
            <a:extLst>
              <a:ext uri="{FF2B5EF4-FFF2-40B4-BE49-F238E27FC236}">
                <a16:creationId xmlns:a16="http://schemas.microsoft.com/office/drawing/2014/main" id="{00000000-0008-0000-0200-000008000000}"/>
              </a:ext>
            </a:extLst>
          </xdr:cNvPr>
          <xdr:cNvSpPr>
            <a:spLocks/>
          </xdr:cNvSpPr>
        </xdr:nvSpPr>
        <xdr:spPr bwMode="auto">
          <a:xfrm>
            <a:off x="398" y="3732"/>
            <a:ext cx="54" cy="44"/>
          </a:xfrm>
          <a:custGeom>
            <a:avLst/>
            <a:gdLst/>
            <a:ahLst/>
            <a:cxnLst>
              <a:cxn ang="0">
                <a:pos x="0" y="43"/>
              </a:cxn>
              <a:cxn ang="0">
                <a:pos x="47" y="43"/>
              </a:cxn>
              <a:cxn ang="0">
                <a:pos x="47" y="0"/>
              </a:cxn>
              <a:cxn ang="0">
                <a:pos x="0" y="0"/>
              </a:cxn>
              <a:cxn ang="0">
                <a:pos x="0" y="43"/>
              </a:cxn>
            </a:cxnLst>
            <a:rect l="0" t="0" r="r" b="b"/>
            <a:pathLst>
              <a:path w="48" h="44">
                <a:moveTo>
                  <a:pt x="0" y="43"/>
                </a:moveTo>
                <a:lnTo>
                  <a:pt x="47" y="43"/>
                </a:lnTo>
                <a:lnTo>
                  <a:pt x="47" y="0"/>
                </a:lnTo>
                <a:lnTo>
                  <a:pt x="0" y="0"/>
                </a:lnTo>
                <a:lnTo>
                  <a:pt x="0" y="43"/>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9" name="Freeform 8">
            <a:extLst>
              <a:ext uri="{FF2B5EF4-FFF2-40B4-BE49-F238E27FC236}">
                <a16:creationId xmlns:a16="http://schemas.microsoft.com/office/drawing/2014/main" id="{00000000-0008-0000-0200-000009000000}"/>
              </a:ext>
            </a:extLst>
          </xdr:cNvPr>
          <xdr:cNvSpPr>
            <a:spLocks/>
          </xdr:cNvSpPr>
        </xdr:nvSpPr>
        <xdr:spPr bwMode="auto">
          <a:xfrm>
            <a:off x="398" y="3711"/>
            <a:ext cx="54" cy="30"/>
          </a:xfrm>
          <a:custGeom>
            <a:avLst/>
            <a:gdLst/>
            <a:ahLst/>
            <a:cxnLst>
              <a:cxn ang="0">
                <a:pos x="24" y="0"/>
              </a:cxn>
              <a:cxn ang="0">
                <a:pos x="28" y="0"/>
              </a:cxn>
              <a:cxn ang="0">
                <a:pos x="33" y="1"/>
              </a:cxn>
              <a:cxn ang="0">
                <a:pos x="36" y="2"/>
              </a:cxn>
              <a:cxn ang="0">
                <a:pos x="41" y="4"/>
              </a:cxn>
              <a:cxn ang="0">
                <a:pos x="44" y="6"/>
              </a:cxn>
              <a:cxn ang="0">
                <a:pos x="45" y="9"/>
              </a:cxn>
              <a:cxn ang="0">
                <a:pos x="46" y="12"/>
              </a:cxn>
              <a:cxn ang="0">
                <a:pos x="47" y="15"/>
              </a:cxn>
              <a:cxn ang="0">
                <a:pos x="46" y="17"/>
              </a:cxn>
              <a:cxn ang="0">
                <a:pos x="45" y="20"/>
              </a:cxn>
              <a:cxn ang="0">
                <a:pos x="44" y="23"/>
              </a:cxn>
              <a:cxn ang="0">
                <a:pos x="41" y="25"/>
              </a:cxn>
              <a:cxn ang="0">
                <a:pos x="36" y="27"/>
              </a:cxn>
              <a:cxn ang="0">
                <a:pos x="33" y="28"/>
              </a:cxn>
              <a:cxn ang="0">
                <a:pos x="28" y="29"/>
              </a:cxn>
              <a:cxn ang="0">
                <a:pos x="24" y="29"/>
              </a:cxn>
              <a:cxn ang="0">
                <a:pos x="19" y="29"/>
              </a:cxn>
              <a:cxn ang="0">
                <a:pos x="15" y="28"/>
              </a:cxn>
              <a:cxn ang="0">
                <a:pos x="11" y="27"/>
              </a:cxn>
              <a:cxn ang="0">
                <a:pos x="6" y="25"/>
              </a:cxn>
              <a:cxn ang="0">
                <a:pos x="4" y="23"/>
              </a:cxn>
              <a:cxn ang="0">
                <a:pos x="2" y="20"/>
              </a:cxn>
              <a:cxn ang="0">
                <a:pos x="1" y="17"/>
              </a:cxn>
              <a:cxn ang="0">
                <a:pos x="0" y="15"/>
              </a:cxn>
              <a:cxn ang="0">
                <a:pos x="1" y="12"/>
              </a:cxn>
              <a:cxn ang="0">
                <a:pos x="2" y="9"/>
              </a:cxn>
              <a:cxn ang="0">
                <a:pos x="4" y="6"/>
              </a:cxn>
              <a:cxn ang="0">
                <a:pos x="6" y="4"/>
              </a:cxn>
              <a:cxn ang="0">
                <a:pos x="11" y="2"/>
              </a:cxn>
              <a:cxn ang="0">
                <a:pos x="15" y="1"/>
              </a:cxn>
              <a:cxn ang="0">
                <a:pos x="19" y="0"/>
              </a:cxn>
              <a:cxn ang="0">
                <a:pos x="24" y="0"/>
              </a:cxn>
            </a:cxnLst>
            <a:rect l="0" t="0" r="r" b="b"/>
            <a:pathLst>
              <a:path w="48" h="30">
                <a:moveTo>
                  <a:pt x="24" y="0"/>
                </a:moveTo>
                <a:lnTo>
                  <a:pt x="28" y="0"/>
                </a:lnTo>
                <a:lnTo>
                  <a:pt x="33" y="1"/>
                </a:lnTo>
                <a:lnTo>
                  <a:pt x="36" y="2"/>
                </a:lnTo>
                <a:lnTo>
                  <a:pt x="41" y="4"/>
                </a:lnTo>
                <a:lnTo>
                  <a:pt x="44" y="6"/>
                </a:lnTo>
                <a:lnTo>
                  <a:pt x="45" y="9"/>
                </a:lnTo>
                <a:lnTo>
                  <a:pt x="46" y="12"/>
                </a:lnTo>
                <a:lnTo>
                  <a:pt x="47" y="15"/>
                </a:lnTo>
                <a:lnTo>
                  <a:pt x="46" y="17"/>
                </a:lnTo>
                <a:lnTo>
                  <a:pt x="45" y="20"/>
                </a:lnTo>
                <a:lnTo>
                  <a:pt x="44" y="23"/>
                </a:lnTo>
                <a:lnTo>
                  <a:pt x="41" y="25"/>
                </a:lnTo>
                <a:lnTo>
                  <a:pt x="36" y="27"/>
                </a:lnTo>
                <a:lnTo>
                  <a:pt x="33" y="28"/>
                </a:lnTo>
                <a:lnTo>
                  <a:pt x="28" y="29"/>
                </a:lnTo>
                <a:lnTo>
                  <a:pt x="24" y="29"/>
                </a:lnTo>
                <a:lnTo>
                  <a:pt x="19" y="29"/>
                </a:lnTo>
                <a:lnTo>
                  <a:pt x="15" y="28"/>
                </a:lnTo>
                <a:lnTo>
                  <a:pt x="11" y="27"/>
                </a:lnTo>
                <a:lnTo>
                  <a:pt x="6" y="25"/>
                </a:lnTo>
                <a:lnTo>
                  <a:pt x="4" y="23"/>
                </a:lnTo>
                <a:lnTo>
                  <a:pt x="2" y="20"/>
                </a:lnTo>
                <a:lnTo>
                  <a:pt x="1" y="17"/>
                </a:lnTo>
                <a:lnTo>
                  <a:pt x="0" y="15"/>
                </a:lnTo>
                <a:lnTo>
                  <a:pt x="1" y="12"/>
                </a:lnTo>
                <a:lnTo>
                  <a:pt x="2" y="9"/>
                </a:lnTo>
                <a:lnTo>
                  <a:pt x="4" y="6"/>
                </a:lnTo>
                <a:lnTo>
                  <a:pt x="6" y="4"/>
                </a:lnTo>
                <a:lnTo>
                  <a:pt x="11" y="2"/>
                </a:lnTo>
                <a:lnTo>
                  <a:pt x="15" y="1"/>
                </a:lnTo>
                <a:lnTo>
                  <a:pt x="19" y="0"/>
                </a:lnTo>
                <a:lnTo>
                  <a:pt x="24"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0" name="Freeform 9">
            <a:extLst>
              <a:ext uri="{FF2B5EF4-FFF2-40B4-BE49-F238E27FC236}">
                <a16:creationId xmlns:a16="http://schemas.microsoft.com/office/drawing/2014/main" id="{00000000-0008-0000-0200-00000A000000}"/>
              </a:ext>
            </a:extLst>
          </xdr:cNvPr>
          <xdr:cNvSpPr>
            <a:spLocks/>
          </xdr:cNvSpPr>
        </xdr:nvSpPr>
        <xdr:spPr bwMode="auto">
          <a:xfrm>
            <a:off x="484" y="3728"/>
            <a:ext cx="17" cy="34"/>
          </a:xfrm>
          <a:custGeom>
            <a:avLst/>
            <a:gdLst/>
            <a:ahLst/>
            <a:cxnLst>
              <a:cxn ang="0">
                <a:pos x="0" y="0"/>
              </a:cxn>
              <a:cxn ang="0">
                <a:pos x="14" y="0"/>
              </a:cxn>
              <a:cxn ang="0">
                <a:pos x="14" y="33"/>
              </a:cxn>
              <a:cxn ang="0">
                <a:pos x="0" y="33"/>
              </a:cxn>
              <a:cxn ang="0">
                <a:pos x="0" y="0"/>
              </a:cxn>
            </a:cxnLst>
            <a:rect l="0" t="0" r="r" b="b"/>
            <a:pathLst>
              <a:path w="15" h="34">
                <a:moveTo>
                  <a:pt x="0" y="0"/>
                </a:moveTo>
                <a:lnTo>
                  <a:pt x="14" y="0"/>
                </a:lnTo>
                <a:lnTo>
                  <a:pt x="14" y="33"/>
                </a:lnTo>
                <a:lnTo>
                  <a:pt x="0" y="33"/>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1" name="Freeform 10">
            <a:extLst>
              <a:ext uri="{FF2B5EF4-FFF2-40B4-BE49-F238E27FC236}">
                <a16:creationId xmlns:a16="http://schemas.microsoft.com/office/drawing/2014/main" id="{00000000-0008-0000-0200-00000B000000}"/>
              </a:ext>
            </a:extLst>
          </xdr:cNvPr>
          <xdr:cNvSpPr>
            <a:spLocks/>
          </xdr:cNvSpPr>
        </xdr:nvSpPr>
        <xdr:spPr bwMode="auto">
          <a:xfrm>
            <a:off x="358" y="3728"/>
            <a:ext cx="17" cy="34"/>
          </a:xfrm>
          <a:custGeom>
            <a:avLst/>
            <a:gdLst/>
            <a:ahLst/>
            <a:cxnLst>
              <a:cxn ang="0">
                <a:pos x="0" y="0"/>
              </a:cxn>
              <a:cxn ang="0">
                <a:pos x="14" y="0"/>
              </a:cxn>
              <a:cxn ang="0">
                <a:pos x="14" y="33"/>
              </a:cxn>
              <a:cxn ang="0">
                <a:pos x="0" y="33"/>
              </a:cxn>
              <a:cxn ang="0">
                <a:pos x="0" y="0"/>
              </a:cxn>
            </a:cxnLst>
            <a:rect l="0" t="0" r="r" b="b"/>
            <a:pathLst>
              <a:path w="15" h="34">
                <a:moveTo>
                  <a:pt x="0" y="0"/>
                </a:moveTo>
                <a:lnTo>
                  <a:pt x="14" y="0"/>
                </a:lnTo>
                <a:lnTo>
                  <a:pt x="14" y="33"/>
                </a:lnTo>
                <a:lnTo>
                  <a:pt x="0" y="33"/>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2" name="Freeform 11">
            <a:extLst>
              <a:ext uri="{FF2B5EF4-FFF2-40B4-BE49-F238E27FC236}">
                <a16:creationId xmlns:a16="http://schemas.microsoft.com/office/drawing/2014/main" id="{00000000-0008-0000-0200-00000C000000}"/>
              </a:ext>
            </a:extLst>
          </xdr:cNvPr>
          <xdr:cNvSpPr>
            <a:spLocks/>
          </xdr:cNvSpPr>
        </xdr:nvSpPr>
        <xdr:spPr bwMode="auto">
          <a:xfrm>
            <a:off x="538" y="3646"/>
            <a:ext cx="17" cy="40"/>
          </a:xfrm>
          <a:custGeom>
            <a:avLst/>
            <a:gdLst/>
            <a:ahLst/>
            <a:cxnLst>
              <a:cxn ang="0">
                <a:pos x="0" y="0"/>
              </a:cxn>
              <a:cxn ang="0">
                <a:pos x="14" y="0"/>
              </a:cxn>
              <a:cxn ang="0">
                <a:pos x="14" y="39"/>
              </a:cxn>
              <a:cxn ang="0">
                <a:pos x="0" y="39"/>
              </a:cxn>
              <a:cxn ang="0">
                <a:pos x="0" y="0"/>
              </a:cxn>
            </a:cxnLst>
            <a:rect l="0" t="0" r="r" b="b"/>
            <a:pathLst>
              <a:path w="15" h="40">
                <a:moveTo>
                  <a:pt x="0" y="0"/>
                </a:moveTo>
                <a:lnTo>
                  <a:pt x="14" y="0"/>
                </a:lnTo>
                <a:lnTo>
                  <a:pt x="14" y="39"/>
                </a:lnTo>
                <a:lnTo>
                  <a:pt x="0" y="39"/>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3" name="Freeform 12">
            <a:extLst>
              <a:ext uri="{FF2B5EF4-FFF2-40B4-BE49-F238E27FC236}">
                <a16:creationId xmlns:a16="http://schemas.microsoft.com/office/drawing/2014/main" id="{00000000-0008-0000-0200-00000D000000}"/>
              </a:ext>
            </a:extLst>
          </xdr:cNvPr>
          <xdr:cNvSpPr>
            <a:spLocks/>
          </xdr:cNvSpPr>
        </xdr:nvSpPr>
        <xdr:spPr bwMode="auto">
          <a:xfrm>
            <a:off x="538" y="3726"/>
            <a:ext cx="17" cy="39"/>
          </a:xfrm>
          <a:custGeom>
            <a:avLst/>
            <a:gdLst/>
            <a:ahLst/>
            <a:cxnLst>
              <a:cxn ang="0">
                <a:pos x="0" y="0"/>
              </a:cxn>
              <a:cxn ang="0">
                <a:pos x="14" y="0"/>
              </a:cxn>
              <a:cxn ang="0">
                <a:pos x="14" y="38"/>
              </a:cxn>
              <a:cxn ang="0">
                <a:pos x="0" y="38"/>
              </a:cxn>
              <a:cxn ang="0">
                <a:pos x="0" y="0"/>
              </a:cxn>
            </a:cxnLst>
            <a:rect l="0" t="0" r="r" b="b"/>
            <a:pathLst>
              <a:path w="15" h="39">
                <a:moveTo>
                  <a:pt x="0" y="0"/>
                </a:moveTo>
                <a:lnTo>
                  <a:pt x="14" y="0"/>
                </a:lnTo>
                <a:lnTo>
                  <a:pt x="14" y="38"/>
                </a:lnTo>
                <a:lnTo>
                  <a:pt x="0" y="38"/>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4" name="Freeform 13">
            <a:extLst>
              <a:ext uri="{FF2B5EF4-FFF2-40B4-BE49-F238E27FC236}">
                <a16:creationId xmlns:a16="http://schemas.microsoft.com/office/drawing/2014/main" id="{00000000-0008-0000-0200-00000E000000}"/>
              </a:ext>
            </a:extLst>
          </xdr:cNvPr>
          <xdr:cNvSpPr>
            <a:spLocks/>
          </xdr:cNvSpPr>
        </xdr:nvSpPr>
        <xdr:spPr bwMode="auto">
          <a:xfrm>
            <a:off x="292" y="3726"/>
            <a:ext cx="17" cy="39"/>
          </a:xfrm>
          <a:custGeom>
            <a:avLst/>
            <a:gdLst/>
            <a:ahLst/>
            <a:cxnLst>
              <a:cxn ang="0">
                <a:pos x="0" y="0"/>
              </a:cxn>
              <a:cxn ang="0">
                <a:pos x="14" y="0"/>
              </a:cxn>
              <a:cxn ang="0">
                <a:pos x="14" y="38"/>
              </a:cxn>
              <a:cxn ang="0">
                <a:pos x="0" y="38"/>
              </a:cxn>
              <a:cxn ang="0">
                <a:pos x="0" y="0"/>
              </a:cxn>
            </a:cxnLst>
            <a:rect l="0" t="0" r="r" b="b"/>
            <a:pathLst>
              <a:path w="15" h="39">
                <a:moveTo>
                  <a:pt x="0" y="0"/>
                </a:moveTo>
                <a:lnTo>
                  <a:pt x="14" y="0"/>
                </a:lnTo>
                <a:lnTo>
                  <a:pt x="14" y="38"/>
                </a:lnTo>
                <a:lnTo>
                  <a:pt x="0" y="38"/>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5" name="Freeform 14">
            <a:extLst>
              <a:ext uri="{FF2B5EF4-FFF2-40B4-BE49-F238E27FC236}">
                <a16:creationId xmlns:a16="http://schemas.microsoft.com/office/drawing/2014/main" id="{00000000-0008-0000-0200-00000F000000}"/>
              </a:ext>
            </a:extLst>
          </xdr:cNvPr>
          <xdr:cNvSpPr>
            <a:spLocks/>
          </xdr:cNvSpPr>
        </xdr:nvSpPr>
        <xdr:spPr bwMode="auto">
          <a:xfrm>
            <a:off x="292" y="3646"/>
            <a:ext cx="17" cy="40"/>
          </a:xfrm>
          <a:custGeom>
            <a:avLst/>
            <a:gdLst/>
            <a:ahLst/>
            <a:cxnLst>
              <a:cxn ang="0">
                <a:pos x="0" y="0"/>
              </a:cxn>
              <a:cxn ang="0">
                <a:pos x="14" y="0"/>
              </a:cxn>
              <a:cxn ang="0">
                <a:pos x="14" y="39"/>
              </a:cxn>
              <a:cxn ang="0">
                <a:pos x="0" y="39"/>
              </a:cxn>
              <a:cxn ang="0">
                <a:pos x="0" y="0"/>
              </a:cxn>
            </a:cxnLst>
            <a:rect l="0" t="0" r="r" b="b"/>
            <a:pathLst>
              <a:path w="15" h="40">
                <a:moveTo>
                  <a:pt x="0" y="0"/>
                </a:moveTo>
                <a:lnTo>
                  <a:pt x="14" y="0"/>
                </a:lnTo>
                <a:lnTo>
                  <a:pt x="14" y="39"/>
                </a:lnTo>
                <a:lnTo>
                  <a:pt x="0" y="39"/>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grpSp>
    <xdr:clientData/>
  </xdr:twoCellAnchor>
  <xdr:twoCellAnchor>
    <xdr:from>
      <xdr:col>0</xdr:col>
      <xdr:colOff>371475</xdr:colOff>
      <xdr:row>24</xdr:row>
      <xdr:rowOff>28575</xdr:rowOff>
    </xdr:from>
    <xdr:to>
      <xdr:col>1</xdr:col>
      <xdr:colOff>38100</xdr:colOff>
      <xdr:row>27</xdr:row>
      <xdr:rowOff>114300</xdr:rowOff>
    </xdr:to>
    <xdr:pic>
      <xdr:nvPicPr>
        <xdr:cNvPr id="19" name="Picture 18">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4581525"/>
          <a:ext cx="204787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228601</xdr:colOff>
      <xdr:row>15</xdr:row>
      <xdr:rowOff>0</xdr:rowOff>
    </xdr:from>
    <xdr:to>
      <xdr:col>0</xdr:col>
      <xdr:colOff>2362201</xdr:colOff>
      <xdr:row>18</xdr:row>
      <xdr:rowOff>66675</xdr:rowOff>
    </xdr:to>
    <xdr:pic>
      <xdr:nvPicPr>
        <xdr:cNvPr id="21" name="Picture 20">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8601" y="2809875"/>
          <a:ext cx="2133600" cy="638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27</xdr:row>
      <xdr:rowOff>209549</xdr:rowOff>
    </xdr:from>
    <xdr:to>
      <xdr:col>15</xdr:col>
      <xdr:colOff>9525</xdr:colOff>
      <xdr:row>31</xdr:row>
      <xdr:rowOff>76199</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419475" y="5591174"/>
          <a:ext cx="4410075" cy="657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 Estimating Fredlund and Xing model parameters</a:t>
          </a:r>
        </a:p>
        <a:p>
          <a:endParaRPr lang="en-US" sz="1100"/>
        </a:p>
        <a:p>
          <a:r>
            <a:rPr lang="en-US" sz="1100"/>
            <a:t>**Estimating Van Genuchen model parameters</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0.39667</cdr:x>
      <cdr:y>0.79213</cdr:y>
    </cdr:from>
    <cdr:to>
      <cdr:x>0.63257</cdr:x>
      <cdr:y>0.85377</cdr:y>
    </cdr:to>
    <cdr:sp macro="" textlink="">
      <cdr:nvSpPr>
        <cdr:cNvPr id="4" name="TextBox 1"/>
        <cdr:cNvSpPr txBox="1"/>
      </cdr:nvSpPr>
      <cdr:spPr>
        <a:xfrm xmlns:a="http://schemas.openxmlformats.org/drawingml/2006/main">
          <a:off x="3268174" y="4504372"/>
          <a:ext cx="1943609" cy="350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Matric Suction, </a:t>
          </a:r>
          <a:r>
            <a:rPr lang="en-US" sz="1200" b="1">
              <a:latin typeface="Symbol" panose="05050102010706020507" pitchFamily="18" charset="2"/>
            </a:rPr>
            <a:t>y</a:t>
          </a:r>
          <a:r>
            <a:rPr lang="en-US" sz="1200" b="1"/>
            <a:t> (kPa)</a:t>
          </a:r>
          <a:endParaRPr lang="en-US" sz="1200" b="1" baseline="-25000"/>
        </a:p>
      </cdr:txBody>
    </cdr:sp>
  </cdr:relSizeAnchor>
  <cdr:relSizeAnchor xmlns:cdr="http://schemas.openxmlformats.org/drawingml/2006/chartDrawing">
    <cdr:from>
      <cdr:x>0.01934</cdr:x>
      <cdr:y>0.14892</cdr:y>
    </cdr:from>
    <cdr:to>
      <cdr:x>0.05135</cdr:x>
      <cdr:y>0.64346</cdr:y>
    </cdr:to>
    <cdr:sp macro="" textlink="">
      <cdr:nvSpPr>
        <cdr:cNvPr id="5" name="TextBox 1"/>
        <cdr:cNvSpPr txBox="1"/>
      </cdr:nvSpPr>
      <cdr:spPr>
        <a:xfrm xmlns:a="http://schemas.openxmlformats.org/drawingml/2006/main" rot="16200000">
          <a:off x="-1114906" y="2121058"/>
          <a:ext cx="2812165" cy="26373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Volumetric Water Content, </a:t>
          </a:r>
          <a:r>
            <a:rPr lang="en-US" sz="1200" b="1">
              <a:latin typeface="Symbol" panose="05050102010706020507" pitchFamily="18" charset="2"/>
            </a:rPr>
            <a:t>q</a:t>
          </a:r>
          <a:r>
            <a:rPr lang="en-US" sz="1200" b="1" baseline="0"/>
            <a:t> </a:t>
          </a:r>
          <a:r>
            <a:rPr lang="en-US" sz="1200" b="1"/>
            <a:t>(cm</a:t>
          </a:r>
          <a:r>
            <a:rPr lang="en-US" sz="1200" b="1" baseline="30000"/>
            <a:t>3</a:t>
          </a:r>
          <a:r>
            <a:rPr lang="en-US" sz="1200" b="1"/>
            <a:t>/cm</a:t>
          </a:r>
          <a:r>
            <a:rPr lang="en-US" sz="1200" b="1" baseline="30000"/>
            <a:t>3</a:t>
          </a:r>
          <a:r>
            <a:rPr lang="en-US" sz="1200" b="1"/>
            <a:t>)</a:t>
          </a:r>
          <a:endParaRPr lang="en-US" sz="1200" b="1" baseline="-25000"/>
        </a:p>
      </cdr:txBody>
    </cdr:sp>
  </cdr:relSizeAnchor>
</c:userShapes>
</file>

<file path=xl/drawings/drawing6.xml><?xml version="1.0" encoding="utf-8"?>
<xdr:wsDr xmlns:xdr="http://schemas.openxmlformats.org/drawingml/2006/spreadsheetDrawing" xmlns:a="http://schemas.openxmlformats.org/drawingml/2006/main">
  <xdr:twoCellAnchor>
    <xdr:from>
      <xdr:col>4</xdr:col>
      <xdr:colOff>142875</xdr:colOff>
      <xdr:row>3</xdr:row>
      <xdr:rowOff>123825</xdr:rowOff>
    </xdr:from>
    <xdr:to>
      <xdr:col>21</xdr:col>
      <xdr:colOff>0</xdr:colOff>
      <xdr:row>31</xdr:row>
      <xdr:rowOff>28575</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133351</xdr:colOff>
      <xdr:row>31</xdr:row>
      <xdr:rowOff>19050</xdr:rowOff>
    </xdr:from>
    <xdr:to>
      <xdr:col>16</xdr:col>
      <xdr:colOff>504825</xdr:colOff>
      <xdr:row>32</xdr:row>
      <xdr:rowOff>161924</xdr:rowOff>
    </xdr:to>
    <xdr:grpSp>
      <xdr:nvGrpSpPr>
        <xdr:cNvPr id="3" name="Group 2">
          <a:extLst>
            <a:ext uri="{FF2B5EF4-FFF2-40B4-BE49-F238E27FC236}">
              <a16:creationId xmlns:a16="http://schemas.microsoft.com/office/drawing/2014/main" id="{00000000-0008-0000-0300-000003000000}"/>
            </a:ext>
          </a:extLst>
        </xdr:cNvPr>
        <xdr:cNvGrpSpPr>
          <a:grpSpLocks/>
        </xdr:cNvGrpSpPr>
      </xdr:nvGrpSpPr>
      <xdr:grpSpPr bwMode="auto">
        <a:xfrm>
          <a:off x="10790640" y="6284893"/>
          <a:ext cx="371474" cy="334139"/>
          <a:chOff x="164" y="3510"/>
          <a:chExt cx="510" cy="371"/>
        </a:xfrm>
      </xdr:grpSpPr>
      <xdr:sp macro="" textlink="">
        <xdr:nvSpPr>
          <xdr:cNvPr id="4" name="Freeform 3">
            <a:extLst>
              <a:ext uri="{FF2B5EF4-FFF2-40B4-BE49-F238E27FC236}">
                <a16:creationId xmlns:a16="http://schemas.microsoft.com/office/drawing/2014/main" id="{00000000-0008-0000-0300-000004000000}"/>
              </a:ext>
            </a:extLst>
          </xdr:cNvPr>
          <xdr:cNvSpPr>
            <a:spLocks/>
          </xdr:cNvSpPr>
        </xdr:nvSpPr>
        <xdr:spPr bwMode="auto">
          <a:xfrm>
            <a:off x="164" y="3510"/>
            <a:ext cx="510" cy="371"/>
          </a:xfrm>
          <a:custGeom>
            <a:avLst/>
            <a:gdLst/>
            <a:ahLst/>
            <a:cxnLst>
              <a:cxn ang="0">
                <a:pos x="59" y="0"/>
              </a:cxn>
              <a:cxn ang="0">
                <a:pos x="394" y="0"/>
              </a:cxn>
              <a:cxn ang="0">
                <a:pos x="406" y="1"/>
              </a:cxn>
              <a:cxn ang="0">
                <a:pos x="418" y="5"/>
              </a:cxn>
              <a:cxn ang="0">
                <a:pos x="426" y="12"/>
              </a:cxn>
              <a:cxn ang="0">
                <a:pos x="434" y="19"/>
              </a:cxn>
              <a:cxn ang="0">
                <a:pos x="442" y="28"/>
              </a:cxn>
              <a:cxn ang="0">
                <a:pos x="448" y="39"/>
              </a:cxn>
              <a:cxn ang="0">
                <a:pos x="452" y="51"/>
              </a:cxn>
              <a:cxn ang="0">
                <a:pos x="453" y="63"/>
              </a:cxn>
              <a:cxn ang="0">
                <a:pos x="453" y="308"/>
              </a:cxn>
              <a:cxn ang="0">
                <a:pos x="452" y="320"/>
              </a:cxn>
              <a:cxn ang="0">
                <a:pos x="448" y="332"/>
              </a:cxn>
              <a:cxn ang="0">
                <a:pos x="442" y="343"/>
              </a:cxn>
              <a:cxn ang="0">
                <a:pos x="434" y="352"/>
              </a:cxn>
              <a:cxn ang="0">
                <a:pos x="426" y="359"/>
              </a:cxn>
              <a:cxn ang="0">
                <a:pos x="418" y="366"/>
              </a:cxn>
              <a:cxn ang="0">
                <a:pos x="406" y="369"/>
              </a:cxn>
              <a:cxn ang="0">
                <a:pos x="394" y="370"/>
              </a:cxn>
              <a:cxn ang="0">
                <a:pos x="59" y="370"/>
              </a:cxn>
              <a:cxn ang="0">
                <a:pos x="47" y="369"/>
              </a:cxn>
              <a:cxn ang="0">
                <a:pos x="36" y="366"/>
              </a:cxn>
              <a:cxn ang="0">
                <a:pos x="27" y="359"/>
              </a:cxn>
              <a:cxn ang="0">
                <a:pos x="17" y="352"/>
              </a:cxn>
              <a:cxn ang="0">
                <a:pos x="11" y="343"/>
              </a:cxn>
              <a:cxn ang="0">
                <a:pos x="4" y="332"/>
              </a:cxn>
              <a:cxn ang="0">
                <a:pos x="1" y="320"/>
              </a:cxn>
              <a:cxn ang="0">
                <a:pos x="0" y="308"/>
              </a:cxn>
              <a:cxn ang="0">
                <a:pos x="0" y="63"/>
              </a:cxn>
              <a:cxn ang="0">
                <a:pos x="1" y="51"/>
              </a:cxn>
              <a:cxn ang="0">
                <a:pos x="4" y="39"/>
              </a:cxn>
              <a:cxn ang="0">
                <a:pos x="11" y="28"/>
              </a:cxn>
              <a:cxn ang="0">
                <a:pos x="17" y="19"/>
              </a:cxn>
              <a:cxn ang="0">
                <a:pos x="27" y="12"/>
              </a:cxn>
              <a:cxn ang="0">
                <a:pos x="36" y="5"/>
              </a:cxn>
              <a:cxn ang="0">
                <a:pos x="47" y="1"/>
              </a:cxn>
              <a:cxn ang="0">
                <a:pos x="59" y="0"/>
              </a:cxn>
            </a:cxnLst>
            <a:rect l="0" t="0" r="r" b="b"/>
            <a:pathLst>
              <a:path w="454" h="371">
                <a:moveTo>
                  <a:pt x="59" y="0"/>
                </a:moveTo>
                <a:lnTo>
                  <a:pt x="394" y="0"/>
                </a:lnTo>
                <a:lnTo>
                  <a:pt x="406" y="1"/>
                </a:lnTo>
                <a:lnTo>
                  <a:pt x="418" y="5"/>
                </a:lnTo>
                <a:lnTo>
                  <a:pt x="426" y="12"/>
                </a:lnTo>
                <a:lnTo>
                  <a:pt x="434" y="19"/>
                </a:lnTo>
                <a:lnTo>
                  <a:pt x="442" y="28"/>
                </a:lnTo>
                <a:lnTo>
                  <a:pt x="448" y="39"/>
                </a:lnTo>
                <a:lnTo>
                  <a:pt x="452" y="51"/>
                </a:lnTo>
                <a:lnTo>
                  <a:pt x="453" y="63"/>
                </a:lnTo>
                <a:lnTo>
                  <a:pt x="453" y="308"/>
                </a:lnTo>
                <a:lnTo>
                  <a:pt x="452" y="320"/>
                </a:lnTo>
                <a:lnTo>
                  <a:pt x="448" y="332"/>
                </a:lnTo>
                <a:lnTo>
                  <a:pt x="442" y="343"/>
                </a:lnTo>
                <a:lnTo>
                  <a:pt x="434" y="352"/>
                </a:lnTo>
                <a:lnTo>
                  <a:pt x="426" y="359"/>
                </a:lnTo>
                <a:lnTo>
                  <a:pt x="418" y="366"/>
                </a:lnTo>
                <a:lnTo>
                  <a:pt x="406" y="369"/>
                </a:lnTo>
                <a:lnTo>
                  <a:pt x="394" y="370"/>
                </a:lnTo>
                <a:lnTo>
                  <a:pt x="59" y="370"/>
                </a:lnTo>
                <a:lnTo>
                  <a:pt x="47" y="369"/>
                </a:lnTo>
                <a:lnTo>
                  <a:pt x="36" y="366"/>
                </a:lnTo>
                <a:lnTo>
                  <a:pt x="27" y="359"/>
                </a:lnTo>
                <a:lnTo>
                  <a:pt x="17" y="352"/>
                </a:lnTo>
                <a:lnTo>
                  <a:pt x="11" y="343"/>
                </a:lnTo>
                <a:lnTo>
                  <a:pt x="4" y="332"/>
                </a:lnTo>
                <a:lnTo>
                  <a:pt x="1" y="320"/>
                </a:lnTo>
                <a:lnTo>
                  <a:pt x="0" y="308"/>
                </a:lnTo>
                <a:lnTo>
                  <a:pt x="0" y="63"/>
                </a:lnTo>
                <a:lnTo>
                  <a:pt x="1" y="51"/>
                </a:lnTo>
                <a:lnTo>
                  <a:pt x="4" y="39"/>
                </a:lnTo>
                <a:lnTo>
                  <a:pt x="11" y="28"/>
                </a:lnTo>
                <a:lnTo>
                  <a:pt x="17" y="19"/>
                </a:lnTo>
                <a:lnTo>
                  <a:pt x="27" y="12"/>
                </a:lnTo>
                <a:lnTo>
                  <a:pt x="36" y="5"/>
                </a:lnTo>
                <a:lnTo>
                  <a:pt x="47" y="1"/>
                </a:lnTo>
                <a:lnTo>
                  <a:pt x="59"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5" name="Freeform 4">
            <a:extLst>
              <a:ext uri="{FF2B5EF4-FFF2-40B4-BE49-F238E27FC236}">
                <a16:creationId xmlns:a16="http://schemas.microsoft.com/office/drawing/2014/main" id="{00000000-0008-0000-0300-000005000000}"/>
              </a:ext>
            </a:extLst>
          </xdr:cNvPr>
          <xdr:cNvSpPr>
            <a:spLocks/>
          </xdr:cNvSpPr>
        </xdr:nvSpPr>
        <xdr:spPr bwMode="auto">
          <a:xfrm>
            <a:off x="196" y="3541"/>
            <a:ext cx="449" cy="314"/>
          </a:xfrm>
          <a:custGeom>
            <a:avLst/>
            <a:gdLst/>
            <a:ahLst/>
            <a:cxnLst>
              <a:cxn ang="0">
                <a:pos x="29" y="0"/>
              </a:cxn>
              <a:cxn ang="0">
                <a:pos x="369" y="0"/>
              </a:cxn>
              <a:cxn ang="0">
                <a:pos x="374" y="0"/>
              </a:cxn>
              <a:cxn ang="0">
                <a:pos x="380" y="2"/>
              </a:cxn>
              <a:cxn ang="0">
                <a:pos x="386" y="5"/>
              </a:cxn>
              <a:cxn ang="0">
                <a:pos x="390" y="8"/>
              </a:cxn>
              <a:cxn ang="0">
                <a:pos x="393" y="14"/>
              </a:cxn>
              <a:cxn ang="0">
                <a:pos x="395" y="19"/>
              </a:cxn>
              <a:cxn ang="0">
                <a:pos x="397" y="24"/>
              </a:cxn>
              <a:cxn ang="0">
                <a:pos x="398" y="30"/>
              </a:cxn>
              <a:cxn ang="0">
                <a:pos x="398" y="283"/>
              </a:cxn>
              <a:cxn ang="0">
                <a:pos x="397" y="289"/>
              </a:cxn>
              <a:cxn ang="0">
                <a:pos x="395" y="294"/>
              </a:cxn>
              <a:cxn ang="0">
                <a:pos x="393" y="299"/>
              </a:cxn>
              <a:cxn ang="0">
                <a:pos x="390" y="304"/>
              </a:cxn>
              <a:cxn ang="0">
                <a:pos x="386" y="308"/>
              </a:cxn>
              <a:cxn ang="0">
                <a:pos x="380" y="310"/>
              </a:cxn>
              <a:cxn ang="0">
                <a:pos x="374" y="312"/>
              </a:cxn>
              <a:cxn ang="0">
                <a:pos x="369" y="313"/>
              </a:cxn>
              <a:cxn ang="0">
                <a:pos x="29" y="313"/>
              </a:cxn>
              <a:cxn ang="0">
                <a:pos x="24" y="312"/>
              </a:cxn>
              <a:cxn ang="0">
                <a:pos x="18" y="310"/>
              </a:cxn>
              <a:cxn ang="0">
                <a:pos x="13" y="308"/>
              </a:cxn>
              <a:cxn ang="0">
                <a:pos x="9" y="304"/>
              </a:cxn>
              <a:cxn ang="0">
                <a:pos x="5" y="299"/>
              </a:cxn>
              <a:cxn ang="0">
                <a:pos x="4" y="294"/>
              </a:cxn>
              <a:cxn ang="0">
                <a:pos x="1" y="289"/>
              </a:cxn>
              <a:cxn ang="0">
                <a:pos x="0" y="283"/>
              </a:cxn>
              <a:cxn ang="0">
                <a:pos x="0" y="30"/>
              </a:cxn>
              <a:cxn ang="0">
                <a:pos x="1" y="24"/>
              </a:cxn>
              <a:cxn ang="0">
                <a:pos x="4" y="19"/>
              </a:cxn>
              <a:cxn ang="0">
                <a:pos x="5" y="14"/>
              </a:cxn>
              <a:cxn ang="0">
                <a:pos x="9" y="8"/>
              </a:cxn>
              <a:cxn ang="0">
                <a:pos x="13" y="5"/>
              </a:cxn>
              <a:cxn ang="0">
                <a:pos x="18" y="2"/>
              </a:cxn>
              <a:cxn ang="0">
                <a:pos x="24" y="0"/>
              </a:cxn>
              <a:cxn ang="0">
                <a:pos x="29" y="0"/>
              </a:cxn>
            </a:cxnLst>
            <a:rect l="0" t="0" r="r" b="b"/>
            <a:pathLst>
              <a:path w="399" h="314">
                <a:moveTo>
                  <a:pt x="29" y="0"/>
                </a:moveTo>
                <a:lnTo>
                  <a:pt x="369" y="0"/>
                </a:lnTo>
                <a:lnTo>
                  <a:pt x="374" y="0"/>
                </a:lnTo>
                <a:lnTo>
                  <a:pt x="380" y="2"/>
                </a:lnTo>
                <a:lnTo>
                  <a:pt x="386" y="5"/>
                </a:lnTo>
                <a:lnTo>
                  <a:pt x="390" y="8"/>
                </a:lnTo>
                <a:lnTo>
                  <a:pt x="393" y="14"/>
                </a:lnTo>
                <a:lnTo>
                  <a:pt x="395" y="19"/>
                </a:lnTo>
                <a:lnTo>
                  <a:pt x="397" y="24"/>
                </a:lnTo>
                <a:lnTo>
                  <a:pt x="398" y="30"/>
                </a:lnTo>
                <a:lnTo>
                  <a:pt x="398" y="283"/>
                </a:lnTo>
                <a:lnTo>
                  <a:pt x="397" y="289"/>
                </a:lnTo>
                <a:lnTo>
                  <a:pt x="395" y="294"/>
                </a:lnTo>
                <a:lnTo>
                  <a:pt x="393" y="299"/>
                </a:lnTo>
                <a:lnTo>
                  <a:pt x="390" y="304"/>
                </a:lnTo>
                <a:lnTo>
                  <a:pt x="386" y="308"/>
                </a:lnTo>
                <a:lnTo>
                  <a:pt x="380" y="310"/>
                </a:lnTo>
                <a:lnTo>
                  <a:pt x="374" y="312"/>
                </a:lnTo>
                <a:lnTo>
                  <a:pt x="369" y="313"/>
                </a:lnTo>
                <a:lnTo>
                  <a:pt x="29" y="313"/>
                </a:lnTo>
                <a:lnTo>
                  <a:pt x="24" y="312"/>
                </a:lnTo>
                <a:lnTo>
                  <a:pt x="18" y="310"/>
                </a:lnTo>
                <a:lnTo>
                  <a:pt x="13" y="308"/>
                </a:lnTo>
                <a:lnTo>
                  <a:pt x="9" y="304"/>
                </a:lnTo>
                <a:lnTo>
                  <a:pt x="5" y="299"/>
                </a:lnTo>
                <a:lnTo>
                  <a:pt x="4" y="294"/>
                </a:lnTo>
                <a:lnTo>
                  <a:pt x="1" y="289"/>
                </a:lnTo>
                <a:lnTo>
                  <a:pt x="0" y="283"/>
                </a:lnTo>
                <a:lnTo>
                  <a:pt x="0" y="30"/>
                </a:lnTo>
                <a:lnTo>
                  <a:pt x="1" y="24"/>
                </a:lnTo>
                <a:lnTo>
                  <a:pt x="4" y="19"/>
                </a:lnTo>
                <a:lnTo>
                  <a:pt x="5" y="14"/>
                </a:lnTo>
                <a:lnTo>
                  <a:pt x="9" y="8"/>
                </a:lnTo>
                <a:lnTo>
                  <a:pt x="13" y="5"/>
                </a:lnTo>
                <a:lnTo>
                  <a:pt x="18" y="2"/>
                </a:lnTo>
                <a:lnTo>
                  <a:pt x="24" y="0"/>
                </a:lnTo>
                <a:lnTo>
                  <a:pt x="29" y="0"/>
                </a:lnTo>
              </a:path>
            </a:pathLst>
          </a:custGeom>
          <a:solidFill>
            <a:srgbClr val="FFFFFF"/>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6" name="Freeform 5">
            <a:extLst>
              <a:ext uri="{FF2B5EF4-FFF2-40B4-BE49-F238E27FC236}">
                <a16:creationId xmlns:a16="http://schemas.microsoft.com/office/drawing/2014/main" id="{00000000-0008-0000-0300-000006000000}"/>
              </a:ext>
            </a:extLst>
          </xdr:cNvPr>
          <xdr:cNvSpPr>
            <a:spLocks/>
          </xdr:cNvSpPr>
        </xdr:nvSpPr>
        <xdr:spPr bwMode="auto">
          <a:xfrm>
            <a:off x="214" y="3558"/>
            <a:ext cx="414" cy="278"/>
          </a:xfrm>
          <a:custGeom>
            <a:avLst/>
            <a:gdLst/>
            <a:ahLst/>
            <a:cxnLst>
              <a:cxn ang="0">
                <a:pos x="17" y="0"/>
              </a:cxn>
              <a:cxn ang="0">
                <a:pos x="351" y="0"/>
              </a:cxn>
              <a:cxn ang="0">
                <a:pos x="355" y="0"/>
              </a:cxn>
              <a:cxn ang="0">
                <a:pos x="358" y="1"/>
              </a:cxn>
              <a:cxn ang="0">
                <a:pos x="360" y="3"/>
              </a:cxn>
              <a:cxn ang="0">
                <a:pos x="363" y="5"/>
              </a:cxn>
              <a:cxn ang="0">
                <a:pos x="364" y="7"/>
              </a:cxn>
              <a:cxn ang="0">
                <a:pos x="366" y="10"/>
              </a:cxn>
              <a:cxn ang="0">
                <a:pos x="367" y="14"/>
              </a:cxn>
              <a:cxn ang="0">
                <a:pos x="367" y="17"/>
              </a:cxn>
              <a:cxn ang="0">
                <a:pos x="367" y="260"/>
              </a:cxn>
              <a:cxn ang="0">
                <a:pos x="367" y="263"/>
              </a:cxn>
              <a:cxn ang="0">
                <a:pos x="366" y="267"/>
              </a:cxn>
              <a:cxn ang="0">
                <a:pos x="364" y="270"/>
              </a:cxn>
              <a:cxn ang="0">
                <a:pos x="363" y="272"/>
              </a:cxn>
              <a:cxn ang="0">
                <a:pos x="360" y="274"/>
              </a:cxn>
              <a:cxn ang="0">
                <a:pos x="358" y="276"/>
              </a:cxn>
              <a:cxn ang="0">
                <a:pos x="355" y="276"/>
              </a:cxn>
              <a:cxn ang="0">
                <a:pos x="351" y="277"/>
              </a:cxn>
              <a:cxn ang="0">
                <a:pos x="17" y="277"/>
              </a:cxn>
              <a:cxn ang="0">
                <a:pos x="13" y="276"/>
              </a:cxn>
              <a:cxn ang="0">
                <a:pos x="11" y="276"/>
              </a:cxn>
              <a:cxn ang="0">
                <a:pos x="8" y="274"/>
              </a:cxn>
              <a:cxn ang="0">
                <a:pos x="5" y="272"/>
              </a:cxn>
              <a:cxn ang="0">
                <a:pos x="4" y="270"/>
              </a:cxn>
              <a:cxn ang="0">
                <a:pos x="1" y="267"/>
              </a:cxn>
              <a:cxn ang="0">
                <a:pos x="1" y="263"/>
              </a:cxn>
              <a:cxn ang="0">
                <a:pos x="0" y="260"/>
              </a:cxn>
              <a:cxn ang="0">
                <a:pos x="0" y="17"/>
              </a:cxn>
              <a:cxn ang="0">
                <a:pos x="1" y="14"/>
              </a:cxn>
              <a:cxn ang="0">
                <a:pos x="1" y="10"/>
              </a:cxn>
              <a:cxn ang="0">
                <a:pos x="4" y="7"/>
              </a:cxn>
              <a:cxn ang="0">
                <a:pos x="5" y="5"/>
              </a:cxn>
              <a:cxn ang="0">
                <a:pos x="8" y="3"/>
              </a:cxn>
              <a:cxn ang="0">
                <a:pos x="11" y="1"/>
              </a:cxn>
              <a:cxn ang="0">
                <a:pos x="13" y="0"/>
              </a:cxn>
              <a:cxn ang="0">
                <a:pos x="17" y="0"/>
              </a:cxn>
            </a:cxnLst>
            <a:rect l="0" t="0" r="r" b="b"/>
            <a:pathLst>
              <a:path w="368" h="278">
                <a:moveTo>
                  <a:pt x="17" y="0"/>
                </a:moveTo>
                <a:lnTo>
                  <a:pt x="351" y="0"/>
                </a:lnTo>
                <a:lnTo>
                  <a:pt x="355" y="0"/>
                </a:lnTo>
                <a:lnTo>
                  <a:pt x="358" y="1"/>
                </a:lnTo>
                <a:lnTo>
                  <a:pt x="360" y="3"/>
                </a:lnTo>
                <a:lnTo>
                  <a:pt x="363" y="5"/>
                </a:lnTo>
                <a:lnTo>
                  <a:pt x="364" y="7"/>
                </a:lnTo>
                <a:lnTo>
                  <a:pt x="366" y="10"/>
                </a:lnTo>
                <a:lnTo>
                  <a:pt x="367" y="14"/>
                </a:lnTo>
                <a:lnTo>
                  <a:pt x="367" y="17"/>
                </a:lnTo>
                <a:lnTo>
                  <a:pt x="367" y="260"/>
                </a:lnTo>
                <a:lnTo>
                  <a:pt x="367" y="263"/>
                </a:lnTo>
                <a:lnTo>
                  <a:pt x="366" y="267"/>
                </a:lnTo>
                <a:lnTo>
                  <a:pt x="364" y="270"/>
                </a:lnTo>
                <a:lnTo>
                  <a:pt x="363" y="272"/>
                </a:lnTo>
                <a:lnTo>
                  <a:pt x="360" y="274"/>
                </a:lnTo>
                <a:lnTo>
                  <a:pt x="358" y="276"/>
                </a:lnTo>
                <a:lnTo>
                  <a:pt x="355" y="276"/>
                </a:lnTo>
                <a:lnTo>
                  <a:pt x="351" y="277"/>
                </a:lnTo>
                <a:lnTo>
                  <a:pt x="17" y="277"/>
                </a:lnTo>
                <a:lnTo>
                  <a:pt x="13" y="276"/>
                </a:lnTo>
                <a:lnTo>
                  <a:pt x="11" y="276"/>
                </a:lnTo>
                <a:lnTo>
                  <a:pt x="8" y="274"/>
                </a:lnTo>
                <a:lnTo>
                  <a:pt x="5" y="272"/>
                </a:lnTo>
                <a:lnTo>
                  <a:pt x="4" y="270"/>
                </a:lnTo>
                <a:lnTo>
                  <a:pt x="1" y="267"/>
                </a:lnTo>
                <a:lnTo>
                  <a:pt x="1" y="263"/>
                </a:lnTo>
                <a:lnTo>
                  <a:pt x="0" y="260"/>
                </a:lnTo>
                <a:lnTo>
                  <a:pt x="0" y="17"/>
                </a:lnTo>
                <a:lnTo>
                  <a:pt x="1" y="14"/>
                </a:lnTo>
                <a:lnTo>
                  <a:pt x="1" y="10"/>
                </a:lnTo>
                <a:lnTo>
                  <a:pt x="4" y="7"/>
                </a:lnTo>
                <a:lnTo>
                  <a:pt x="5" y="5"/>
                </a:lnTo>
                <a:lnTo>
                  <a:pt x="8" y="3"/>
                </a:lnTo>
                <a:lnTo>
                  <a:pt x="11" y="1"/>
                </a:lnTo>
                <a:lnTo>
                  <a:pt x="13" y="0"/>
                </a:lnTo>
                <a:lnTo>
                  <a:pt x="17"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7" name="Freeform 6">
            <a:extLst>
              <a:ext uri="{FF2B5EF4-FFF2-40B4-BE49-F238E27FC236}">
                <a16:creationId xmlns:a16="http://schemas.microsoft.com/office/drawing/2014/main" id="{00000000-0008-0000-0300-000007000000}"/>
              </a:ext>
            </a:extLst>
          </xdr:cNvPr>
          <xdr:cNvSpPr>
            <a:spLocks/>
          </xdr:cNvSpPr>
        </xdr:nvSpPr>
        <xdr:spPr bwMode="auto">
          <a:xfrm>
            <a:off x="251" y="3591"/>
            <a:ext cx="341" cy="211"/>
          </a:xfrm>
          <a:custGeom>
            <a:avLst/>
            <a:gdLst/>
            <a:ahLst/>
            <a:cxnLst>
              <a:cxn ang="0">
                <a:pos x="0" y="210"/>
              </a:cxn>
              <a:cxn ang="0">
                <a:pos x="0" y="173"/>
              </a:cxn>
              <a:cxn ang="0">
                <a:pos x="12" y="162"/>
              </a:cxn>
              <a:cxn ang="0">
                <a:pos x="12" y="46"/>
              </a:cxn>
              <a:cxn ang="0">
                <a:pos x="0" y="32"/>
              </a:cxn>
              <a:cxn ang="0">
                <a:pos x="0" y="2"/>
              </a:cxn>
              <a:cxn ang="0">
                <a:pos x="18" y="2"/>
              </a:cxn>
              <a:cxn ang="0">
                <a:pos x="18" y="19"/>
              </a:cxn>
              <a:cxn ang="0">
                <a:pos x="34" y="19"/>
              </a:cxn>
              <a:cxn ang="0">
                <a:pos x="34" y="2"/>
              </a:cxn>
              <a:cxn ang="0">
                <a:pos x="57" y="2"/>
              </a:cxn>
              <a:cxn ang="0">
                <a:pos x="57" y="19"/>
              </a:cxn>
              <a:cxn ang="0">
                <a:pos x="59" y="19"/>
              </a:cxn>
              <a:cxn ang="0">
                <a:pos x="74" y="19"/>
              </a:cxn>
              <a:cxn ang="0">
                <a:pos x="74" y="2"/>
              </a:cxn>
              <a:cxn ang="0">
                <a:pos x="92" y="2"/>
              </a:cxn>
              <a:cxn ang="0">
                <a:pos x="92" y="31"/>
              </a:cxn>
              <a:cxn ang="0">
                <a:pos x="79" y="45"/>
              </a:cxn>
              <a:cxn ang="0">
                <a:pos x="79" y="98"/>
              </a:cxn>
              <a:cxn ang="0">
                <a:pos x="119" y="98"/>
              </a:cxn>
              <a:cxn ang="0">
                <a:pos x="119" y="80"/>
              </a:cxn>
              <a:cxn ang="0">
                <a:pos x="108" y="70"/>
              </a:cxn>
              <a:cxn ang="0">
                <a:pos x="108" y="38"/>
              </a:cxn>
              <a:cxn ang="0">
                <a:pos x="125" y="38"/>
              </a:cxn>
              <a:cxn ang="0">
                <a:pos x="125" y="55"/>
              </a:cxn>
              <a:cxn ang="0">
                <a:pos x="143" y="55"/>
              </a:cxn>
              <a:cxn ang="0">
                <a:pos x="143" y="38"/>
              </a:cxn>
              <a:cxn ang="0">
                <a:pos x="160" y="38"/>
              </a:cxn>
              <a:cxn ang="0">
                <a:pos x="160" y="56"/>
              </a:cxn>
              <a:cxn ang="0">
                <a:pos x="176" y="56"/>
              </a:cxn>
              <a:cxn ang="0">
                <a:pos x="176" y="38"/>
              </a:cxn>
              <a:cxn ang="0">
                <a:pos x="193" y="38"/>
              </a:cxn>
              <a:cxn ang="0">
                <a:pos x="193" y="69"/>
              </a:cxn>
              <a:cxn ang="0">
                <a:pos x="183" y="81"/>
              </a:cxn>
              <a:cxn ang="0">
                <a:pos x="183" y="99"/>
              </a:cxn>
              <a:cxn ang="0">
                <a:pos x="223" y="99"/>
              </a:cxn>
              <a:cxn ang="0">
                <a:pos x="223" y="47"/>
              </a:cxn>
              <a:cxn ang="0">
                <a:pos x="210" y="32"/>
              </a:cxn>
              <a:cxn ang="0">
                <a:pos x="210" y="1"/>
              </a:cxn>
              <a:cxn ang="0">
                <a:pos x="227" y="1"/>
              </a:cxn>
              <a:cxn ang="0">
                <a:pos x="227" y="19"/>
              </a:cxn>
              <a:cxn ang="0">
                <a:pos x="244" y="19"/>
              </a:cxn>
              <a:cxn ang="0">
                <a:pos x="244" y="0"/>
              </a:cxn>
              <a:cxn ang="0">
                <a:pos x="267" y="0"/>
              </a:cxn>
              <a:cxn ang="0">
                <a:pos x="267" y="19"/>
              </a:cxn>
              <a:cxn ang="0">
                <a:pos x="285" y="19"/>
              </a:cxn>
              <a:cxn ang="0">
                <a:pos x="285" y="0"/>
              </a:cxn>
              <a:cxn ang="0">
                <a:pos x="302" y="0"/>
              </a:cxn>
              <a:cxn ang="0">
                <a:pos x="302" y="30"/>
              </a:cxn>
              <a:cxn ang="0">
                <a:pos x="291" y="45"/>
              </a:cxn>
              <a:cxn ang="0">
                <a:pos x="291" y="162"/>
              </a:cxn>
              <a:cxn ang="0">
                <a:pos x="302" y="174"/>
              </a:cxn>
              <a:cxn ang="0">
                <a:pos x="302" y="210"/>
              </a:cxn>
              <a:cxn ang="0">
                <a:pos x="0" y="210"/>
              </a:cxn>
            </a:cxnLst>
            <a:rect l="0" t="0" r="r" b="b"/>
            <a:pathLst>
              <a:path w="303" h="211">
                <a:moveTo>
                  <a:pt x="0" y="210"/>
                </a:moveTo>
                <a:lnTo>
                  <a:pt x="0" y="173"/>
                </a:lnTo>
                <a:lnTo>
                  <a:pt x="12" y="162"/>
                </a:lnTo>
                <a:lnTo>
                  <a:pt x="12" y="46"/>
                </a:lnTo>
                <a:lnTo>
                  <a:pt x="0" y="32"/>
                </a:lnTo>
                <a:lnTo>
                  <a:pt x="0" y="2"/>
                </a:lnTo>
                <a:lnTo>
                  <a:pt x="18" y="2"/>
                </a:lnTo>
                <a:lnTo>
                  <a:pt x="18" y="19"/>
                </a:lnTo>
                <a:lnTo>
                  <a:pt x="34" y="19"/>
                </a:lnTo>
                <a:lnTo>
                  <a:pt x="34" y="2"/>
                </a:lnTo>
                <a:lnTo>
                  <a:pt x="57" y="2"/>
                </a:lnTo>
                <a:lnTo>
                  <a:pt x="57" y="19"/>
                </a:lnTo>
                <a:lnTo>
                  <a:pt x="59" y="19"/>
                </a:lnTo>
                <a:lnTo>
                  <a:pt x="74" y="19"/>
                </a:lnTo>
                <a:lnTo>
                  <a:pt x="74" y="2"/>
                </a:lnTo>
                <a:lnTo>
                  <a:pt x="92" y="2"/>
                </a:lnTo>
                <a:lnTo>
                  <a:pt x="92" y="31"/>
                </a:lnTo>
                <a:lnTo>
                  <a:pt x="79" y="45"/>
                </a:lnTo>
                <a:lnTo>
                  <a:pt x="79" y="98"/>
                </a:lnTo>
                <a:lnTo>
                  <a:pt x="119" y="98"/>
                </a:lnTo>
                <a:lnTo>
                  <a:pt x="119" y="80"/>
                </a:lnTo>
                <a:lnTo>
                  <a:pt x="108" y="70"/>
                </a:lnTo>
                <a:lnTo>
                  <a:pt x="108" y="38"/>
                </a:lnTo>
                <a:lnTo>
                  <a:pt x="125" y="38"/>
                </a:lnTo>
                <a:lnTo>
                  <a:pt x="125" y="55"/>
                </a:lnTo>
                <a:lnTo>
                  <a:pt x="143" y="55"/>
                </a:lnTo>
                <a:lnTo>
                  <a:pt x="143" y="38"/>
                </a:lnTo>
                <a:lnTo>
                  <a:pt x="160" y="38"/>
                </a:lnTo>
                <a:lnTo>
                  <a:pt x="160" y="56"/>
                </a:lnTo>
                <a:lnTo>
                  <a:pt x="176" y="56"/>
                </a:lnTo>
                <a:lnTo>
                  <a:pt x="176" y="38"/>
                </a:lnTo>
                <a:lnTo>
                  <a:pt x="193" y="38"/>
                </a:lnTo>
                <a:lnTo>
                  <a:pt x="193" y="69"/>
                </a:lnTo>
                <a:lnTo>
                  <a:pt x="183" y="81"/>
                </a:lnTo>
                <a:lnTo>
                  <a:pt x="183" y="99"/>
                </a:lnTo>
                <a:lnTo>
                  <a:pt x="223" y="99"/>
                </a:lnTo>
                <a:lnTo>
                  <a:pt x="223" y="47"/>
                </a:lnTo>
                <a:lnTo>
                  <a:pt x="210" y="32"/>
                </a:lnTo>
                <a:lnTo>
                  <a:pt x="210" y="1"/>
                </a:lnTo>
                <a:lnTo>
                  <a:pt x="227" y="1"/>
                </a:lnTo>
                <a:lnTo>
                  <a:pt x="227" y="19"/>
                </a:lnTo>
                <a:lnTo>
                  <a:pt x="244" y="19"/>
                </a:lnTo>
                <a:lnTo>
                  <a:pt x="244" y="0"/>
                </a:lnTo>
                <a:lnTo>
                  <a:pt x="267" y="0"/>
                </a:lnTo>
                <a:lnTo>
                  <a:pt x="267" y="19"/>
                </a:lnTo>
                <a:lnTo>
                  <a:pt x="285" y="19"/>
                </a:lnTo>
                <a:lnTo>
                  <a:pt x="285" y="0"/>
                </a:lnTo>
                <a:lnTo>
                  <a:pt x="302" y="0"/>
                </a:lnTo>
                <a:lnTo>
                  <a:pt x="302" y="30"/>
                </a:lnTo>
                <a:lnTo>
                  <a:pt x="291" y="45"/>
                </a:lnTo>
                <a:lnTo>
                  <a:pt x="291" y="162"/>
                </a:lnTo>
                <a:lnTo>
                  <a:pt x="302" y="174"/>
                </a:lnTo>
                <a:lnTo>
                  <a:pt x="302" y="210"/>
                </a:lnTo>
                <a:lnTo>
                  <a:pt x="0" y="210"/>
                </a:lnTo>
              </a:path>
            </a:pathLst>
          </a:custGeom>
          <a:solidFill>
            <a:srgbClr val="FFFFFF"/>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8" name="Freeform 7">
            <a:extLst>
              <a:ext uri="{FF2B5EF4-FFF2-40B4-BE49-F238E27FC236}">
                <a16:creationId xmlns:a16="http://schemas.microsoft.com/office/drawing/2014/main" id="{00000000-0008-0000-0300-000008000000}"/>
              </a:ext>
            </a:extLst>
          </xdr:cNvPr>
          <xdr:cNvSpPr>
            <a:spLocks/>
          </xdr:cNvSpPr>
        </xdr:nvSpPr>
        <xdr:spPr bwMode="auto">
          <a:xfrm>
            <a:off x="398" y="3732"/>
            <a:ext cx="54" cy="44"/>
          </a:xfrm>
          <a:custGeom>
            <a:avLst/>
            <a:gdLst/>
            <a:ahLst/>
            <a:cxnLst>
              <a:cxn ang="0">
                <a:pos x="0" y="43"/>
              </a:cxn>
              <a:cxn ang="0">
                <a:pos x="47" y="43"/>
              </a:cxn>
              <a:cxn ang="0">
                <a:pos x="47" y="0"/>
              </a:cxn>
              <a:cxn ang="0">
                <a:pos x="0" y="0"/>
              </a:cxn>
              <a:cxn ang="0">
                <a:pos x="0" y="43"/>
              </a:cxn>
            </a:cxnLst>
            <a:rect l="0" t="0" r="r" b="b"/>
            <a:pathLst>
              <a:path w="48" h="44">
                <a:moveTo>
                  <a:pt x="0" y="43"/>
                </a:moveTo>
                <a:lnTo>
                  <a:pt x="47" y="43"/>
                </a:lnTo>
                <a:lnTo>
                  <a:pt x="47" y="0"/>
                </a:lnTo>
                <a:lnTo>
                  <a:pt x="0" y="0"/>
                </a:lnTo>
                <a:lnTo>
                  <a:pt x="0" y="43"/>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9" name="Freeform 8">
            <a:extLst>
              <a:ext uri="{FF2B5EF4-FFF2-40B4-BE49-F238E27FC236}">
                <a16:creationId xmlns:a16="http://schemas.microsoft.com/office/drawing/2014/main" id="{00000000-0008-0000-0300-000009000000}"/>
              </a:ext>
            </a:extLst>
          </xdr:cNvPr>
          <xdr:cNvSpPr>
            <a:spLocks/>
          </xdr:cNvSpPr>
        </xdr:nvSpPr>
        <xdr:spPr bwMode="auto">
          <a:xfrm>
            <a:off x="398" y="3711"/>
            <a:ext cx="54" cy="30"/>
          </a:xfrm>
          <a:custGeom>
            <a:avLst/>
            <a:gdLst/>
            <a:ahLst/>
            <a:cxnLst>
              <a:cxn ang="0">
                <a:pos x="24" y="0"/>
              </a:cxn>
              <a:cxn ang="0">
                <a:pos x="28" y="0"/>
              </a:cxn>
              <a:cxn ang="0">
                <a:pos x="33" y="1"/>
              </a:cxn>
              <a:cxn ang="0">
                <a:pos x="36" y="2"/>
              </a:cxn>
              <a:cxn ang="0">
                <a:pos x="41" y="4"/>
              </a:cxn>
              <a:cxn ang="0">
                <a:pos x="44" y="6"/>
              </a:cxn>
              <a:cxn ang="0">
                <a:pos x="45" y="9"/>
              </a:cxn>
              <a:cxn ang="0">
                <a:pos x="46" y="12"/>
              </a:cxn>
              <a:cxn ang="0">
                <a:pos x="47" y="15"/>
              </a:cxn>
              <a:cxn ang="0">
                <a:pos x="46" y="17"/>
              </a:cxn>
              <a:cxn ang="0">
                <a:pos x="45" y="20"/>
              </a:cxn>
              <a:cxn ang="0">
                <a:pos x="44" y="23"/>
              </a:cxn>
              <a:cxn ang="0">
                <a:pos x="41" y="25"/>
              </a:cxn>
              <a:cxn ang="0">
                <a:pos x="36" y="27"/>
              </a:cxn>
              <a:cxn ang="0">
                <a:pos x="33" y="28"/>
              </a:cxn>
              <a:cxn ang="0">
                <a:pos x="28" y="29"/>
              </a:cxn>
              <a:cxn ang="0">
                <a:pos x="24" y="29"/>
              </a:cxn>
              <a:cxn ang="0">
                <a:pos x="19" y="29"/>
              </a:cxn>
              <a:cxn ang="0">
                <a:pos x="15" y="28"/>
              </a:cxn>
              <a:cxn ang="0">
                <a:pos x="11" y="27"/>
              </a:cxn>
              <a:cxn ang="0">
                <a:pos x="6" y="25"/>
              </a:cxn>
              <a:cxn ang="0">
                <a:pos x="4" y="23"/>
              </a:cxn>
              <a:cxn ang="0">
                <a:pos x="2" y="20"/>
              </a:cxn>
              <a:cxn ang="0">
                <a:pos x="1" y="17"/>
              </a:cxn>
              <a:cxn ang="0">
                <a:pos x="0" y="15"/>
              </a:cxn>
              <a:cxn ang="0">
                <a:pos x="1" y="12"/>
              </a:cxn>
              <a:cxn ang="0">
                <a:pos x="2" y="9"/>
              </a:cxn>
              <a:cxn ang="0">
                <a:pos x="4" y="6"/>
              </a:cxn>
              <a:cxn ang="0">
                <a:pos x="6" y="4"/>
              </a:cxn>
              <a:cxn ang="0">
                <a:pos x="11" y="2"/>
              </a:cxn>
              <a:cxn ang="0">
                <a:pos x="15" y="1"/>
              </a:cxn>
              <a:cxn ang="0">
                <a:pos x="19" y="0"/>
              </a:cxn>
              <a:cxn ang="0">
                <a:pos x="24" y="0"/>
              </a:cxn>
            </a:cxnLst>
            <a:rect l="0" t="0" r="r" b="b"/>
            <a:pathLst>
              <a:path w="48" h="30">
                <a:moveTo>
                  <a:pt x="24" y="0"/>
                </a:moveTo>
                <a:lnTo>
                  <a:pt x="28" y="0"/>
                </a:lnTo>
                <a:lnTo>
                  <a:pt x="33" y="1"/>
                </a:lnTo>
                <a:lnTo>
                  <a:pt x="36" y="2"/>
                </a:lnTo>
                <a:lnTo>
                  <a:pt x="41" y="4"/>
                </a:lnTo>
                <a:lnTo>
                  <a:pt x="44" y="6"/>
                </a:lnTo>
                <a:lnTo>
                  <a:pt x="45" y="9"/>
                </a:lnTo>
                <a:lnTo>
                  <a:pt x="46" y="12"/>
                </a:lnTo>
                <a:lnTo>
                  <a:pt x="47" y="15"/>
                </a:lnTo>
                <a:lnTo>
                  <a:pt x="46" y="17"/>
                </a:lnTo>
                <a:lnTo>
                  <a:pt x="45" y="20"/>
                </a:lnTo>
                <a:lnTo>
                  <a:pt x="44" y="23"/>
                </a:lnTo>
                <a:lnTo>
                  <a:pt x="41" y="25"/>
                </a:lnTo>
                <a:lnTo>
                  <a:pt x="36" y="27"/>
                </a:lnTo>
                <a:lnTo>
                  <a:pt x="33" y="28"/>
                </a:lnTo>
                <a:lnTo>
                  <a:pt x="28" y="29"/>
                </a:lnTo>
                <a:lnTo>
                  <a:pt x="24" y="29"/>
                </a:lnTo>
                <a:lnTo>
                  <a:pt x="19" y="29"/>
                </a:lnTo>
                <a:lnTo>
                  <a:pt x="15" y="28"/>
                </a:lnTo>
                <a:lnTo>
                  <a:pt x="11" y="27"/>
                </a:lnTo>
                <a:lnTo>
                  <a:pt x="6" y="25"/>
                </a:lnTo>
                <a:lnTo>
                  <a:pt x="4" y="23"/>
                </a:lnTo>
                <a:lnTo>
                  <a:pt x="2" y="20"/>
                </a:lnTo>
                <a:lnTo>
                  <a:pt x="1" y="17"/>
                </a:lnTo>
                <a:lnTo>
                  <a:pt x="0" y="15"/>
                </a:lnTo>
                <a:lnTo>
                  <a:pt x="1" y="12"/>
                </a:lnTo>
                <a:lnTo>
                  <a:pt x="2" y="9"/>
                </a:lnTo>
                <a:lnTo>
                  <a:pt x="4" y="6"/>
                </a:lnTo>
                <a:lnTo>
                  <a:pt x="6" y="4"/>
                </a:lnTo>
                <a:lnTo>
                  <a:pt x="11" y="2"/>
                </a:lnTo>
                <a:lnTo>
                  <a:pt x="15" y="1"/>
                </a:lnTo>
                <a:lnTo>
                  <a:pt x="19" y="0"/>
                </a:lnTo>
                <a:lnTo>
                  <a:pt x="24"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0" name="Freeform 9">
            <a:extLst>
              <a:ext uri="{FF2B5EF4-FFF2-40B4-BE49-F238E27FC236}">
                <a16:creationId xmlns:a16="http://schemas.microsoft.com/office/drawing/2014/main" id="{00000000-0008-0000-0300-00000A000000}"/>
              </a:ext>
            </a:extLst>
          </xdr:cNvPr>
          <xdr:cNvSpPr>
            <a:spLocks/>
          </xdr:cNvSpPr>
        </xdr:nvSpPr>
        <xdr:spPr bwMode="auto">
          <a:xfrm>
            <a:off x="484" y="3728"/>
            <a:ext cx="17" cy="34"/>
          </a:xfrm>
          <a:custGeom>
            <a:avLst/>
            <a:gdLst/>
            <a:ahLst/>
            <a:cxnLst>
              <a:cxn ang="0">
                <a:pos x="0" y="0"/>
              </a:cxn>
              <a:cxn ang="0">
                <a:pos x="14" y="0"/>
              </a:cxn>
              <a:cxn ang="0">
                <a:pos x="14" y="33"/>
              </a:cxn>
              <a:cxn ang="0">
                <a:pos x="0" y="33"/>
              </a:cxn>
              <a:cxn ang="0">
                <a:pos x="0" y="0"/>
              </a:cxn>
            </a:cxnLst>
            <a:rect l="0" t="0" r="r" b="b"/>
            <a:pathLst>
              <a:path w="15" h="34">
                <a:moveTo>
                  <a:pt x="0" y="0"/>
                </a:moveTo>
                <a:lnTo>
                  <a:pt x="14" y="0"/>
                </a:lnTo>
                <a:lnTo>
                  <a:pt x="14" y="33"/>
                </a:lnTo>
                <a:lnTo>
                  <a:pt x="0" y="33"/>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1" name="Freeform 10">
            <a:extLst>
              <a:ext uri="{FF2B5EF4-FFF2-40B4-BE49-F238E27FC236}">
                <a16:creationId xmlns:a16="http://schemas.microsoft.com/office/drawing/2014/main" id="{00000000-0008-0000-0300-00000B000000}"/>
              </a:ext>
            </a:extLst>
          </xdr:cNvPr>
          <xdr:cNvSpPr>
            <a:spLocks/>
          </xdr:cNvSpPr>
        </xdr:nvSpPr>
        <xdr:spPr bwMode="auto">
          <a:xfrm>
            <a:off x="358" y="3728"/>
            <a:ext cx="17" cy="34"/>
          </a:xfrm>
          <a:custGeom>
            <a:avLst/>
            <a:gdLst/>
            <a:ahLst/>
            <a:cxnLst>
              <a:cxn ang="0">
                <a:pos x="0" y="0"/>
              </a:cxn>
              <a:cxn ang="0">
                <a:pos x="14" y="0"/>
              </a:cxn>
              <a:cxn ang="0">
                <a:pos x="14" y="33"/>
              </a:cxn>
              <a:cxn ang="0">
                <a:pos x="0" y="33"/>
              </a:cxn>
              <a:cxn ang="0">
                <a:pos x="0" y="0"/>
              </a:cxn>
            </a:cxnLst>
            <a:rect l="0" t="0" r="r" b="b"/>
            <a:pathLst>
              <a:path w="15" h="34">
                <a:moveTo>
                  <a:pt x="0" y="0"/>
                </a:moveTo>
                <a:lnTo>
                  <a:pt x="14" y="0"/>
                </a:lnTo>
                <a:lnTo>
                  <a:pt x="14" y="33"/>
                </a:lnTo>
                <a:lnTo>
                  <a:pt x="0" y="33"/>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2" name="Freeform 11">
            <a:extLst>
              <a:ext uri="{FF2B5EF4-FFF2-40B4-BE49-F238E27FC236}">
                <a16:creationId xmlns:a16="http://schemas.microsoft.com/office/drawing/2014/main" id="{00000000-0008-0000-0300-00000C000000}"/>
              </a:ext>
            </a:extLst>
          </xdr:cNvPr>
          <xdr:cNvSpPr>
            <a:spLocks/>
          </xdr:cNvSpPr>
        </xdr:nvSpPr>
        <xdr:spPr bwMode="auto">
          <a:xfrm>
            <a:off x="538" y="3646"/>
            <a:ext cx="17" cy="40"/>
          </a:xfrm>
          <a:custGeom>
            <a:avLst/>
            <a:gdLst/>
            <a:ahLst/>
            <a:cxnLst>
              <a:cxn ang="0">
                <a:pos x="0" y="0"/>
              </a:cxn>
              <a:cxn ang="0">
                <a:pos x="14" y="0"/>
              </a:cxn>
              <a:cxn ang="0">
                <a:pos x="14" y="39"/>
              </a:cxn>
              <a:cxn ang="0">
                <a:pos x="0" y="39"/>
              </a:cxn>
              <a:cxn ang="0">
                <a:pos x="0" y="0"/>
              </a:cxn>
            </a:cxnLst>
            <a:rect l="0" t="0" r="r" b="b"/>
            <a:pathLst>
              <a:path w="15" h="40">
                <a:moveTo>
                  <a:pt x="0" y="0"/>
                </a:moveTo>
                <a:lnTo>
                  <a:pt x="14" y="0"/>
                </a:lnTo>
                <a:lnTo>
                  <a:pt x="14" y="39"/>
                </a:lnTo>
                <a:lnTo>
                  <a:pt x="0" y="39"/>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3" name="Freeform 12">
            <a:extLst>
              <a:ext uri="{FF2B5EF4-FFF2-40B4-BE49-F238E27FC236}">
                <a16:creationId xmlns:a16="http://schemas.microsoft.com/office/drawing/2014/main" id="{00000000-0008-0000-0300-00000D000000}"/>
              </a:ext>
            </a:extLst>
          </xdr:cNvPr>
          <xdr:cNvSpPr>
            <a:spLocks/>
          </xdr:cNvSpPr>
        </xdr:nvSpPr>
        <xdr:spPr bwMode="auto">
          <a:xfrm>
            <a:off x="538" y="3726"/>
            <a:ext cx="17" cy="39"/>
          </a:xfrm>
          <a:custGeom>
            <a:avLst/>
            <a:gdLst/>
            <a:ahLst/>
            <a:cxnLst>
              <a:cxn ang="0">
                <a:pos x="0" y="0"/>
              </a:cxn>
              <a:cxn ang="0">
                <a:pos x="14" y="0"/>
              </a:cxn>
              <a:cxn ang="0">
                <a:pos x="14" y="38"/>
              </a:cxn>
              <a:cxn ang="0">
                <a:pos x="0" y="38"/>
              </a:cxn>
              <a:cxn ang="0">
                <a:pos x="0" y="0"/>
              </a:cxn>
            </a:cxnLst>
            <a:rect l="0" t="0" r="r" b="b"/>
            <a:pathLst>
              <a:path w="15" h="39">
                <a:moveTo>
                  <a:pt x="0" y="0"/>
                </a:moveTo>
                <a:lnTo>
                  <a:pt x="14" y="0"/>
                </a:lnTo>
                <a:lnTo>
                  <a:pt x="14" y="38"/>
                </a:lnTo>
                <a:lnTo>
                  <a:pt x="0" y="38"/>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4" name="Freeform 13">
            <a:extLst>
              <a:ext uri="{FF2B5EF4-FFF2-40B4-BE49-F238E27FC236}">
                <a16:creationId xmlns:a16="http://schemas.microsoft.com/office/drawing/2014/main" id="{00000000-0008-0000-0300-00000E000000}"/>
              </a:ext>
            </a:extLst>
          </xdr:cNvPr>
          <xdr:cNvSpPr>
            <a:spLocks/>
          </xdr:cNvSpPr>
        </xdr:nvSpPr>
        <xdr:spPr bwMode="auto">
          <a:xfrm>
            <a:off x="292" y="3726"/>
            <a:ext cx="17" cy="39"/>
          </a:xfrm>
          <a:custGeom>
            <a:avLst/>
            <a:gdLst/>
            <a:ahLst/>
            <a:cxnLst>
              <a:cxn ang="0">
                <a:pos x="0" y="0"/>
              </a:cxn>
              <a:cxn ang="0">
                <a:pos x="14" y="0"/>
              </a:cxn>
              <a:cxn ang="0">
                <a:pos x="14" y="38"/>
              </a:cxn>
              <a:cxn ang="0">
                <a:pos x="0" y="38"/>
              </a:cxn>
              <a:cxn ang="0">
                <a:pos x="0" y="0"/>
              </a:cxn>
            </a:cxnLst>
            <a:rect l="0" t="0" r="r" b="b"/>
            <a:pathLst>
              <a:path w="15" h="39">
                <a:moveTo>
                  <a:pt x="0" y="0"/>
                </a:moveTo>
                <a:lnTo>
                  <a:pt x="14" y="0"/>
                </a:lnTo>
                <a:lnTo>
                  <a:pt x="14" y="38"/>
                </a:lnTo>
                <a:lnTo>
                  <a:pt x="0" y="38"/>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sp macro="" textlink="">
        <xdr:nvSpPr>
          <xdr:cNvPr id="15" name="Freeform 14">
            <a:extLst>
              <a:ext uri="{FF2B5EF4-FFF2-40B4-BE49-F238E27FC236}">
                <a16:creationId xmlns:a16="http://schemas.microsoft.com/office/drawing/2014/main" id="{00000000-0008-0000-0300-00000F000000}"/>
              </a:ext>
            </a:extLst>
          </xdr:cNvPr>
          <xdr:cNvSpPr>
            <a:spLocks/>
          </xdr:cNvSpPr>
        </xdr:nvSpPr>
        <xdr:spPr bwMode="auto">
          <a:xfrm>
            <a:off x="292" y="3646"/>
            <a:ext cx="17" cy="40"/>
          </a:xfrm>
          <a:custGeom>
            <a:avLst/>
            <a:gdLst/>
            <a:ahLst/>
            <a:cxnLst>
              <a:cxn ang="0">
                <a:pos x="0" y="0"/>
              </a:cxn>
              <a:cxn ang="0">
                <a:pos x="14" y="0"/>
              </a:cxn>
              <a:cxn ang="0">
                <a:pos x="14" y="39"/>
              </a:cxn>
              <a:cxn ang="0">
                <a:pos x="0" y="39"/>
              </a:cxn>
              <a:cxn ang="0">
                <a:pos x="0" y="0"/>
              </a:cxn>
            </a:cxnLst>
            <a:rect l="0" t="0" r="r" b="b"/>
            <a:pathLst>
              <a:path w="15" h="40">
                <a:moveTo>
                  <a:pt x="0" y="0"/>
                </a:moveTo>
                <a:lnTo>
                  <a:pt x="14" y="0"/>
                </a:lnTo>
                <a:lnTo>
                  <a:pt x="14" y="39"/>
                </a:lnTo>
                <a:lnTo>
                  <a:pt x="0" y="39"/>
                </a:lnTo>
                <a:lnTo>
                  <a:pt x="0" y="0"/>
                </a:lnTo>
              </a:path>
            </a:pathLst>
          </a:custGeom>
          <a:solidFill>
            <a:srgbClr val="FF0000"/>
          </a:solidFill>
          <a:ln w="12700" cap="rnd" cmpd="sng">
            <a:noFill/>
            <a:prstDash val="solid"/>
            <a:round/>
            <a:headEnd type="none" w="med" len="med"/>
            <a:tailEnd type="none" w="med" len="med"/>
          </a:ln>
          <a:effectLst/>
        </xdr:spPr>
        <xdr:txBody>
          <a:bodyPr wrap="square"/>
          <a:lstStyle>
            <a:defPPr>
              <a:defRPr lang="en-US"/>
            </a:defPPr>
            <a:lvl1pPr algn="l" rtl="0" fontAlgn="base">
              <a:spcBef>
                <a:spcPct val="0"/>
              </a:spcBef>
              <a:spcAft>
                <a:spcPct val="0"/>
              </a:spcAft>
              <a:defRPr sz="1400" kern="1200">
                <a:solidFill>
                  <a:schemeClr val="tx1"/>
                </a:solidFill>
                <a:latin typeface="Arial" charset="0"/>
                <a:ea typeface="+mn-ea"/>
                <a:cs typeface="+mn-cs"/>
              </a:defRPr>
            </a:lvl1pPr>
            <a:lvl2pPr marL="457200" algn="l" rtl="0" fontAlgn="base">
              <a:spcBef>
                <a:spcPct val="0"/>
              </a:spcBef>
              <a:spcAft>
                <a:spcPct val="0"/>
              </a:spcAft>
              <a:defRPr sz="1400" kern="1200">
                <a:solidFill>
                  <a:schemeClr val="tx1"/>
                </a:solidFill>
                <a:latin typeface="Arial" charset="0"/>
                <a:ea typeface="+mn-ea"/>
                <a:cs typeface="+mn-cs"/>
              </a:defRPr>
            </a:lvl2pPr>
            <a:lvl3pPr marL="914400" algn="l" rtl="0" fontAlgn="base">
              <a:spcBef>
                <a:spcPct val="0"/>
              </a:spcBef>
              <a:spcAft>
                <a:spcPct val="0"/>
              </a:spcAft>
              <a:defRPr sz="1400" kern="1200">
                <a:solidFill>
                  <a:schemeClr val="tx1"/>
                </a:solidFill>
                <a:latin typeface="Arial" charset="0"/>
                <a:ea typeface="+mn-ea"/>
                <a:cs typeface="+mn-cs"/>
              </a:defRPr>
            </a:lvl3pPr>
            <a:lvl4pPr marL="1371600" algn="l" rtl="0" fontAlgn="base">
              <a:spcBef>
                <a:spcPct val="0"/>
              </a:spcBef>
              <a:spcAft>
                <a:spcPct val="0"/>
              </a:spcAft>
              <a:defRPr sz="1400" kern="1200">
                <a:solidFill>
                  <a:schemeClr val="tx1"/>
                </a:solidFill>
                <a:latin typeface="Arial" charset="0"/>
                <a:ea typeface="+mn-ea"/>
                <a:cs typeface="+mn-cs"/>
              </a:defRPr>
            </a:lvl4pPr>
            <a:lvl5pPr marL="1828800" algn="l" rtl="0" fontAlgn="base">
              <a:spcBef>
                <a:spcPct val="0"/>
              </a:spcBef>
              <a:spcAft>
                <a:spcPct val="0"/>
              </a:spcAft>
              <a:defRPr sz="1400" kern="1200">
                <a:solidFill>
                  <a:schemeClr val="tx1"/>
                </a:solidFill>
                <a:latin typeface="Arial" charset="0"/>
                <a:ea typeface="+mn-ea"/>
                <a:cs typeface="+mn-cs"/>
              </a:defRPr>
            </a:lvl5pPr>
            <a:lvl6pPr marL="2286000" algn="l" defTabSz="914400" rtl="0" eaLnBrk="1" latinLnBrk="0" hangingPunct="1">
              <a:defRPr sz="1400" kern="1200">
                <a:solidFill>
                  <a:schemeClr val="tx1"/>
                </a:solidFill>
                <a:latin typeface="Arial" charset="0"/>
                <a:ea typeface="+mn-ea"/>
                <a:cs typeface="+mn-cs"/>
              </a:defRPr>
            </a:lvl6pPr>
            <a:lvl7pPr marL="2743200" algn="l" defTabSz="914400" rtl="0" eaLnBrk="1" latinLnBrk="0" hangingPunct="1">
              <a:defRPr sz="1400" kern="1200">
                <a:solidFill>
                  <a:schemeClr val="tx1"/>
                </a:solidFill>
                <a:latin typeface="Arial" charset="0"/>
                <a:ea typeface="+mn-ea"/>
                <a:cs typeface="+mn-cs"/>
              </a:defRPr>
            </a:lvl7pPr>
            <a:lvl8pPr marL="3200400" algn="l" defTabSz="914400" rtl="0" eaLnBrk="1" latinLnBrk="0" hangingPunct="1">
              <a:defRPr sz="1400" kern="1200">
                <a:solidFill>
                  <a:schemeClr val="tx1"/>
                </a:solidFill>
                <a:latin typeface="Arial" charset="0"/>
                <a:ea typeface="+mn-ea"/>
                <a:cs typeface="+mn-cs"/>
              </a:defRPr>
            </a:lvl8pPr>
            <a:lvl9pPr marL="3657600" algn="l" defTabSz="914400" rtl="0" eaLnBrk="1" latinLnBrk="0" hangingPunct="1">
              <a:defRPr sz="1400" kern="1200">
                <a:solidFill>
                  <a:schemeClr val="tx1"/>
                </a:solidFill>
                <a:latin typeface="Arial" charset="0"/>
                <a:ea typeface="+mn-ea"/>
                <a:cs typeface="+mn-cs"/>
              </a:defRPr>
            </a:lvl9pPr>
          </a:lstStyle>
          <a:p>
            <a:endParaRPr lang="en-US"/>
          </a:p>
        </xdr:txBody>
      </xdr:sp>
    </xdr:grpSp>
    <xdr:clientData/>
  </xdr:twoCellAnchor>
  <xdr:twoCellAnchor>
    <xdr:from>
      <xdr:col>0</xdr:col>
      <xdr:colOff>238126</xdr:colOff>
      <xdr:row>26</xdr:row>
      <xdr:rowOff>38100</xdr:rowOff>
    </xdr:from>
    <xdr:to>
      <xdr:col>1</xdr:col>
      <xdr:colOff>323851</xdr:colOff>
      <xdr:row>29</xdr:row>
      <xdr:rowOff>123825</xdr:rowOff>
    </xdr:to>
    <xdr:pic>
      <xdr:nvPicPr>
        <xdr:cNvPr id="16" name="Picture 15">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38126" y="5353050"/>
          <a:ext cx="23431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228600</xdr:colOff>
      <xdr:row>17</xdr:row>
      <xdr:rowOff>0</xdr:rowOff>
    </xdr:from>
    <xdr:to>
      <xdr:col>1</xdr:col>
      <xdr:colOff>428625</xdr:colOff>
      <xdr:row>20</xdr:row>
      <xdr:rowOff>66675</xdr:rowOff>
    </xdr:to>
    <xdr:pic>
      <xdr:nvPicPr>
        <xdr:cNvPr id="17" name="Picture 16">
          <a:extLst>
            <a:ext uri="{FF2B5EF4-FFF2-40B4-BE49-F238E27FC236}">
              <a16:creationId xmlns:a16="http://schemas.microsoft.com/office/drawing/2014/main" id="{00000000-0008-0000-0300-000011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8600" y="3571875"/>
          <a:ext cx="2457450" cy="638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257175</xdr:colOff>
      <xdr:row>28</xdr:row>
      <xdr:rowOff>0</xdr:rowOff>
    </xdr:from>
    <xdr:to>
      <xdr:col>15</xdr:col>
      <xdr:colOff>190500</xdr:colOff>
      <xdr:row>31</xdr:row>
      <xdr:rowOff>76200</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3600450" y="5781675"/>
          <a:ext cx="4410075" cy="657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 Estimating Fredlund and Xing model parameters</a:t>
          </a:r>
        </a:p>
        <a:p>
          <a:endParaRPr lang="en-US" sz="1100"/>
        </a:p>
        <a:p>
          <a:r>
            <a:rPr lang="en-US" sz="1100"/>
            <a:t>**Estimating Van Genuchen model parameters</a:t>
          </a:r>
        </a:p>
      </xdr:txBody>
    </xdr:sp>
    <xdr:clientData/>
  </xdr:twoCellAnchor>
</xdr:wsDr>
</file>

<file path=xl/drawings/drawing7.xml><?xml version="1.0" encoding="utf-8"?>
<c:userShapes xmlns:c="http://schemas.openxmlformats.org/drawingml/2006/chart">
  <cdr:relSizeAnchor xmlns:cdr="http://schemas.openxmlformats.org/drawingml/2006/chartDrawing">
    <cdr:from>
      <cdr:x>0.40671</cdr:x>
      <cdr:y>0.80971</cdr:y>
    </cdr:from>
    <cdr:to>
      <cdr:x>0.62065</cdr:x>
      <cdr:y>0.87135</cdr:y>
    </cdr:to>
    <cdr:sp macro="" textlink="">
      <cdr:nvSpPr>
        <cdr:cNvPr id="4" name="TextBox 1"/>
        <cdr:cNvSpPr txBox="1"/>
      </cdr:nvSpPr>
      <cdr:spPr>
        <a:xfrm xmlns:a="http://schemas.openxmlformats.org/drawingml/2006/main">
          <a:off x="3451663" y="4635220"/>
          <a:ext cx="1815662" cy="35285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Matric Suction, </a:t>
          </a:r>
          <a:r>
            <a:rPr lang="en-US" sz="1200" b="1">
              <a:latin typeface="Symbol" panose="05050102010706020507" pitchFamily="18" charset="2"/>
            </a:rPr>
            <a:t>y</a:t>
          </a:r>
          <a:r>
            <a:rPr lang="en-US" sz="1200" b="1"/>
            <a:t> (kPa)</a:t>
          </a:r>
          <a:endParaRPr lang="en-US" sz="1200" b="1" baseline="-25000"/>
        </a:p>
      </cdr:txBody>
    </cdr:sp>
  </cdr:relSizeAnchor>
  <cdr:relSizeAnchor xmlns:cdr="http://schemas.openxmlformats.org/drawingml/2006/chartDrawing">
    <cdr:from>
      <cdr:x>0.03664</cdr:x>
      <cdr:y>0.13342</cdr:y>
    </cdr:from>
    <cdr:to>
      <cdr:x>0.06865</cdr:x>
      <cdr:y>0.62797</cdr:y>
    </cdr:to>
    <cdr:sp macro="" textlink="">
      <cdr:nvSpPr>
        <cdr:cNvPr id="5" name="TextBox 1"/>
        <cdr:cNvSpPr txBox="1"/>
      </cdr:nvSpPr>
      <cdr:spPr>
        <a:xfrm xmlns:a="http://schemas.openxmlformats.org/drawingml/2006/main" rot="16200000">
          <a:off x="-924945" y="1974876"/>
          <a:ext cx="2741508" cy="27105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Volumetric Water Content, </a:t>
          </a:r>
          <a:r>
            <a:rPr lang="en-US" sz="1200" b="1">
              <a:latin typeface="Symbol" panose="05050102010706020507" pitchFamily="18" charset="2"/>
            </a:rPr>
            <a:t>q</a:t>
          </a:r>
          <a:r>
            <a:rPr lang="en-US" sz="1200" b="1" baseline="0"/>
            <a:t> </a:t>
          </a:r>
          <a:r>
            <a:rPr lang="en-US" sz="1200" b="1"/>
            <a:t>(cm</a:t>
          </a:r>
          <a:r>
            <a:rPr lang="en-US" sz="1200" b="1" baseline="30000"/>
            <a:t>3</a:t>
          </a:r>
          <a:r>
            <a:rPr lang="en-US" sz="1200" b="1"/>
            <a:t>/cm</a:t>
          </a:r>
          <a:r>
            <a:rPr lang="en-US" sz="1200" b="1" baseline="30000"/>
            <a:t>3</a:t>
          </a:r>
          <a:r>
            <a:rPr lang="en-US" sz="1200" b="1"/>
            <a:t>)</a:t>
          </a:r>
          <a:endParaRPr lang="en-US" sz="1200" b="1" baseline="-25000"/>
        </a:p>
      </cdr:txBody>
    </cdr:sp>
  </cdr:relSizeAnchor>
</c:userShapes>
</file>

<file path=xl/drawings/drawing8.xml><?xml version="1.0" encoding="utf-8"?>
<xdr:wsDr xmlns:xdr="http://schemas.openxmlformats.org/drawingml/2006/spreadsheetDrawing" xmlns:a="http://schemas.openxmlformats.org/drawingml/2006/main">
  <xdr:twoCellAnchor>
    <xdr:from>
      <xdr:col>0</xdr:col>
      <xdr:colOff>25977</xdr:colOff>
      <xdr:row>0</xdr:row>
      <xdr:rowOff>103909</xdr:rowOff>
    </xdr:from>
    <xdr:to>
      <xdr:col>14</xdr:col>
      <xdr:colOff>271031</xdr:colOff>
      <xdr:row>97</xdr:row>
      <xdr:rowOff>146569</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25977" y="103909"/>
          <a:ext cx="9668454" cy="18673560"/>
          <a:chOff x="6357505" y="169718"/>
          <a:chExt cx="8730963" cy="18521160"/>
        </a:xfrm>
      </xdr:grpSpPr>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57505" y="169718"/>
            <a:ext cx="5198053" cy="358059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Picture 4">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97337" y="3637684"/>
            <a:ext cx="7446361" cy="9342293"/>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425047" y="12988637"/>
            <a:ext cx="8663421" cy="570224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6</xdr:row>
      <xdr:rowOff>38100</xdr:rowOff>
    </xdr:from>
    <xdr:to>
      <xdr:col>13</xdr:col>
      <xdr:colOff>257175</xdr:colOff>
      <xdr:row>26</xdr:row>
      <xdr:rowOff>180975</xdr:rowOff>
    </xdr:to>
    <xdr:pic>
      <xdr:nvPicPr>
        <xdr:cNvPr id="1025" name="Picture 1">
          <a:extLst>
            <a:ext uri="{FF2B5EF4-FFF2-40B4-BE49-F238E27FC236}">
              <a16:creationId xmlns:a16="http://schemas.microsoft.com/office/drawing/2014/main" id="{00000000-0008-0000-0500-000001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1181100"/>
          <a:ext cx="8181975" cy="3952875"/>
        </a:xfrm>
        <a:prstGeom prst="rect">
          <a:avLst/>
        </a:prstGeom>
        <a:noFill/>
      </xdr:spPr>
    </xdr:pic>
    <xdr:clientData/>
  </xdr:twoCellAnchor>
  <xdr:twoCellAnchor editAs="oneCell">
    <xdr:from>
      <xdr:col>0</xdr:col>
      <xdr:colOff>9525</xdr:colOff>
      <xdr:row>26</xdr:row>
      <xdr:rowOff>171450</xdr:rowOff>
    </xdr:from>
    <xdr:to>
      <xdr:col>13</xdr:col>
      <xdr:colOff>342900</xdr:colOff>
      <xdr:row>49</xdr:row>
      <xdr:rowOff>0</xdr:rowOff>
    </xdr:to>
    <xdr:pic>
      <xdr:nvPicPr>
        <xdr:cNvPr id="1026" name="Picture 2">
          <a:extLst>
            <a:ext uri="{FF2B5EF4-FFF2-40B4-BE49-F238E27FC236}">
              <a16:creationId xmlns:a16="http://schemas.microsoft.com/office/drawing/2014/main" id="{00000000-0008-0000-0500-0000020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9525" y="5124450"/>
          <a:ext cx="8258175" cy="4210050"/>
        </a:xfrm>
        <a:prstGeom prst="rect">
          <a:avLst/>
        </a:prstGeom>
        <a:noFill/>
      </xdr:spPr>
    </xdr:pic>
    <xdr:clientData/>
  </xdr:twoCellAnchor>
  <xdr:twoCellAnchor editAs="oneCell">
    <xdr:from>
      <xdr:col>0</xdr:col>
      <xdr:colOff>104775</xdr:colOff>
      <xdr:row>0</xdr:row>
      <xdr:rowOff>123825</xdr:rowOff>
    </xdr:from>
    <xdr:to>
      <xdr:col>4</xdr:col>
      <xdr:colOff>552450</xdr:colOff>
      <xdr:row>5</xdr:row>
      <xdr:rowOff>76200</xdr:rowOff>
    </xdr:to>
    <xdr:pic>
      <xdr:nvPicPr>
        <xdr:cNvPr id="1027" name="Picture 3">
          <a:extLst>
            <a:ext uri="{FF2B5EF4-FFF2-40B4-BE49-F238E27FC236}">
              <a16:creationId xmlns:a16="http://schemas.microsoft.com/office/drawing/2014/main" id="{00000000-0008-0000-0500-0000030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04775" y="123825"/>
          <a:ext cx="2886075" cy="981075"/>
        </a:xfrm>
        <a:prstGeom prst="rect">
          <a:avLst/>
        </a:prstGeom>
        <a:noFill/>
      </xdr:spPr>
    </xdr:pic>
    <xdr:clientData/>
  </xdr:twoCellAnchor>
  <xdr:twoCellAnchor editAs="oneCell">
    <xdr:from>
      <xdr:col>19</xdr:col>
      <xdr:colOff>82798</xdr:colOff>
      <xdr:row>6</xdr:row>
      <xdr:rowOff>2033</xdr:rowOff>
    </xdr:from>
    <xdr:to>
      <xdr:col>20</xdr:col>
      <xdr:colOff>26382</xdr:colOff>
      <xdr:row>8</xdr:row>
      <xdr:rowOff>1</xdr:rowOff>
    </xdr:to>
    <xdr:pic>
      <xdr:nvPicPr>
        <xdr:cNvPr id="5" name="Picture 3">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3" cstate="print"/>
        <a:srcRect l="47392" t="6929" r="2370" b="13857"/>
        <a:stretch>
          <a:fillRect/>
        </a:stretch>
      </xdr:blipFill>
      <xdr:spPr bwMode="auto">
        <a:xfrm>
          <a:off x="11652010" y="1145033"/>
          <a:ext cx="705584" cy="378968"/>
        </a:xfrm>
        <a:prstGeom prst="rect">
          <a:avLst/>
        </a:prstGeom>
        <a:noFill/>
      </xdr:spPr>
    </xdr:pic>
    <xdr:clientData/>
  </xdr:twoCellAnchor>
  <xdr:twoCellAnchor editAs="oneCell">
    <xdr:from>
      <xdr:col>22</xdr:col>
      <xdr:colOff>131884</xdr:colOff>
      <xdr:row>6</xdr:row>
      <xdr:rowOff>43961</xdr:rowOff>
    </xdr:from>
    <xdr:to>
      <xdr:col>23</xdr:col>
      <xdr:colOff>24180</xdr:colOff>
      <xdr:row>8</xdr:row>
      <xdr:rowOff>41929</xdr:rowOff>
    </xdr:to>
    <xdr:pic>
      <xdr:nvPicPr>
        <xdr:cNvPr id="6" name="Picture 3">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3" cstate="print"/>
        <a:srcRect l="47392" t="6929" r="2370" b="13857"/>
        <a:stretch>
          <a:fillRect/>
        </a:stretch>
      </xdr:blipFill>
      <xdr:spPr bwMode="auto">
        <a:xfrm>
          <a:off x="13679365" y="1186961"/>
          <a:ext cx="705584" cy="378968"/>
        </a:xfrm>
        <a:prstGeom prst="rect">
          <a:avLst/>
        </a:prstGeom>
        <a:noFill/>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35719</xdr:colOff>
      <xdr:row>6</xdr:row>
      <xdr:rowOff>111918</xdr:rowOff>
    </xdr:from>
    <xdr:to>
      <xdr:col>5</xdr:col>
      <xdr:colOff>4763</xdr:colOff>
      <xdr:row>10</xdr:row>
      <xdr:rowOff>64293</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719" y="1254918"/>
          <a:ext cx="3862388"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47625</xdr:colOff>
      <xdr:row>0</xdr:row>
      <xdr:rowOff>0</xdr:rowOff>
    </xdr:from>
    <xdr:to>
      <xdr:col>1</xdr:col>
      <xdr:colOff>509587</xdr:colOff>
      <xdr:row>3</xdr:row>
      <xdr:rowOff>219075</xdr:rowOff>
    </xdr:to>
    <xdr:pic>
      <xdr:nvPicPr>
        <xdr:cNvPr id="7" name="Picture 6">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7625" y="0"/>
          <a:ext cx="1933575"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95250</xdr:colOff>
      <xdr:row>3</xdr:row>
      <xdr:rowOff>152400</xdr:rowOff>
    </xdr:from>
    <xdr:to>
      <xdr:col>2</xdr:col>
      <xdr:colOff>216693</xdr:colOff>
      <xdr:row>5</xdr:row>
      <xdr:rowOff>161925</xdr:rowOff>
    </xdr:to>
    <xdr:pic>
      <xdr:nvPicPr>
        <xdr:cNvPr id="9" name="Picture 8">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250" y="723900"/>
          <a:ext cx="22002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100012</xdr:colOff>
      <xdr:row>9</xdr:row>
      <xdr:rowOff>178594</xdr:rowOff>
    </xdr:from>
    <xdr:to>
      <xdr:col>0</xdr:col>
      <xdr:colOff>1419225</xdr:colOff>
      <xdr:row>13</xdr:row>
      <xdr:rowOff>54769</xdr:rowOff>
    </xdr:to>
    <xdr:pic>
      <xdr:nvPicPr>
        <xdr:cNvPr id="11" name="Picture 10">
          <a:extLst>
            <a:ext uri="{FF2B5EF4-FFF2-40B4-BE49-F238E27FC236}">
              <a16:creationId xmlns:a16="http://schemas.microsoft.com/office/drawing/2014/main" id="{00000000-0008-0000-0600-00000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0012" y="1893094"/>
          <a:ext cx="1319213" cy="638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242888</xdr:colOff>
      <xdr:row>26</xdr:row>
      <xdr:rowOff>0</xdr:rowOff>
    </xdr:from>
    <xdr:to>
      <xdr:col>2</xdr:col>
      <xdr:colOff>211931</xdr:colOff>
      <xdr:row>27</xdr:row>
      <xdr:rowOff>190500</xdr:rowOff>
    </xdr:to>
    <xdr:pic>
      <xdr:nvPicPr>
        <xdr:cNvPr id="13" name="Picture 12">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42888" y="5131594"/>
          <a:ext cx="2040731"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142875</xdr:colOff>
      <xdr:row>13</xdr:row>
      <xdr:rowOff>142875</xdr:rowOff>
    </xdr:from>
    <xdr:to>
      <xdr:col>0</xdr:col>
      <xdr:colOff>1350169</xdr:colOff>
      <xdr:row>15</xdr:row>
      <xdr:rowOff>57150</xdr:rowOff>
    </xdr:to>
    <xdr:pic>
      <xdr:nvPicPr>
        <xdr:cNvPr id="17" name="Picture 16">
          <a:extLst>
            <a:ext uri="{FF2B5EF4-FFF2-40B4-BE49-F238E27FC236}">
              <a16:creationId xmlns:a16="http://schemas.microsoft.com/office/drawing/2014/main" id="{00000000-0008-0000-0600-000011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42875" y="2619375"/>
          <a:ext cx="1207294"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333375</xdr:colOff>
      <xdr:row>1</xdr:row>
      <xdr:rowOff>71439</xdr:rowOff>
    </xdr:from>
    <xdr:to>
      <xdr:col>27</xdr:col>
      <xdr:colOff>53494</xdr:colOff>
      <xdr:row>20</xdr:row>
      <xdr:rowOff>30957</xdr:rowOff>
    </xdr:to>
    <xdr:pic>
      <xdr:nvPicPr>
        <xdr:cNvPr id="21" name="Picture 20">
          <a:extLst>
            <a:ext uri="{FF2B5EF4-FFF2-40B4-BE49-F238E27FC236}">
              <a16:creationId xmlns:a16="http://schemas.microsoft.com/office/drawing/2014/main" id="{00000000-0008-0000-06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2013406" y="261939"/>
          <a:ext cx="8677587" cy="36552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416720</xdr:colOff>
      <xdr:row>20</xdr:row>
      <xdr:rowOff>83344</xdr:rowOff>
    </xdr:from>
    <xdr:to>
      <xdr:col>26</xdr:col>
      <xdr:colOff>365920</xdr:colOff>
      <xdr:row>39</xdr:row>
      <xdr:rowOff>66675</xdr:rowOff>
    </xdr:to>
    <xdr:pic>
      <xdr:nvPicPr>
        <xdr:cNvPr id="3073" name="Picture 1">
          <a:extLst>
            <a:ext uri="{FF2B5EF4-FFF2-40B4-BE49-F238E27FC236}">
              <a16:creationId xmlns:a16="http://schemas.microsoft.com/office/drawing/2014/main" id="{00000000-0008-0000-0600-0000010C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2096751" y="3893344"/>
          <a:ext cx="8303418" cy="3895725"/>
        </a:xfrm>
        <a:prstGeom prst="rect">
          <a:avLst/>
        </a:prstGeom>
        <a:noFill/>
      </xdr:spPr>
    </xdr:pic>
    <xdr:clientData/>
  </xdr:twoCellAnchor>
  <xdr:twoCellAnchor editAs="oneCell">
    <xdr:from>
      <xdr:col>0</xdr:col>
      <xdr:colOff>166688</xdr:colOff>
      <xdr:row>21</xdr:row>
      <xdr:rowOff>83344</xdr:rowOff>
    </xdr:from>
    <xdr:to>
      <xdr:col>2</xdr:col>
      <xdr:colOff>364331</xdr:colOff>
      <xdr:row>24</xdr:row>
      <xdr:rowOff>197644</xdr:rowOff>
    </xdr:to>
    <xdr:pic>
      <xdr:nvPicPr>
        <xdr:cNvPr id="1025" name="Picture 1">
          <a:extLst>
            <a:ext uri="{FF2B5EF4-FFF2-40B4-BE49-F238E27FC236}">
              <a16:creationId xmlns:a16="http://schemas.microsoft.com/office/drawing/2014/main" id="{00000000-0008-0000-0600-00000104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166688" y="4083844"/>
          <a:ext cx="2269331" cy="685800"/>
        </a:xfrm>
        <a:prstGeom prst="rect">
          <a:avLst/>
        </a:prstGeom>
        <a:noFill/>
      </xdr:spPr>
    </xdr:pic>
    <xdr:clientData/>
  </xdr:twoCellAnchor>
  <xdr:twoCellAnchor editAs="oneCell">
    <xdr:from>
      <xdr:col>0</xdr:col>
      <xdr:colOff>130967</xdr:colOff>
      <xdr:row>18</xdr:row>
      <xdr:rowOff>35719</xdr:rowOff>
    </xdr:from>
    <xdr:to>
      <xdr:col>2</xdr:col>
      <xdr:colOff>328611</xdr:colOff>
      <xdr:row>20</xdr:row>
      <xdr:rowOff>35719</xdr:rowOff>
    </xdr:to>
    <xdr:pic>
      <xdr:nvPicPr>
        <xdr:cNvPr id="1026" name="Picture 2">
          <a:extLst>
            <a:ext uri="{FF2B5EF4-FFF2-40B4-BE49-F238E27FC236}">
              <a16:creationId xmlns:a16="http://schemas.microsoft.com/office/drawing/2014/main" id="{00000000-0008-0000-0600-00000204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30967" y="3464719"/>
          <a:ext cx="2269332" cy="381000"/>
        </a:xfrm>
        <a:prstGeom prst="rect">
          <a:avLst/>
        </a:prstGeom>
        <a:noFill/>
      </xdr:spPr>
    </xdr:pic>
    <xdr:clientData/>
  </xdr:twoCellAnchor>
  <xdr:twoCellAnchor editAs="oneCell">
    <xdr:from>
      <xdr:col>0</xdr:col>
      <xdr:colOff>190501</xdr:colOff>
      <xdr:row>15</xdr:row>
      <xdr:rowOff>154782</xdr:rowOff>
    </xdr:from>
    <xdr:to>
      <xdr:col>0</xdr:col>
      <xdr:colOff>1169194</xdr:colOff>
      <xdr:row>17</xdr:row>
      <xdr:rowOff>145257</xdr:rowOff>
    </xdr:to>
    <xdr:pic>
      <xdr:nvPicPr>
        <xdr:cNvPr id="1027" name="Picture 3">
          <a:extLst>
            <a:ext uri="{FF2B5EF4-FFF2-40B4-BE49-F238E27FC236}">
              <a16:creationId xmlns:a16="http://schemas.microsoft.com/office/drawing/2014/main" id="{00000000-0008-0000-0600-00000304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190501" y="3012282"/>
          <a:ext cx="978693" cy="371475"/>
        </a:xfrm>
        <a:prstGeom prst="rect">
          <a:avLst/>
        </a:prstGeom>
        <a:noFill/>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381000</xdr:colOff>
      <xdr:row>18</xdr:row>
      <xdr:rowOff>47626</xdr:rowOff>
    </xdr:from>
    <xdr:to>
      <xdr:col>6</xdr:col>
      <xdr:colOff>107156</xdr:colOff>
      <xdr:row>28</xdr:row>
      <xdr:rowOff>150019</xdr:rowOff>
    </xdr:to>
    <xdr:pic>
      <xdr:nvPicPr>
        <xdr:cNvPr id="9" name="Picture 8">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0" y="3619501"/>
          <a:ext cx="3369469" cy="22240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xdr:colOff>
      <xdr:row>0</xdr:row>
      <xdr:rowOff>0</xdr:rowOff>
    </xdr:from>
    <xdr:to>
      <xdr:col>5</xdr:col>
      <xdr:colOff>393239</xdr:colOff>
      <xdr:row>14</xdr:row>
      <xdr:rowOff>261937</xdr:rowOff>
    </xdr:to>
    <xdr:pic>
      <xdr:nvPicPr>
        <xdr:cNvPr id="13" name="Picture 12">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 y="0"/>
          <a:ext cx="3405521" cy="3000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xdr:row>
      <xdr:rowOff>0</xdr:rowOff>
    </xdr:from>
    <xdr:to>
      <xdr:col>7</xdr:col>
      <xdr:colOff>485775</xdr:colOff>
      <xdr:row>54</xdr:row>
      <xdr:rowOff>76200</xdr:rowOff>
    </xdr:to>
    <xdr:pic>
      <xdr:nvPicPr>
        <xdr:cNvPr id="15" name="Picture 14">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0" y="9144000"/>
          <a:ext cx="4752975" cy="179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xdr:row>
      <xdr:rowOff>0</xdr:rowOff>
    </xdr:from>
    <xdr:to>
      <xdr:col>8</xdr:col>
      <xdr:colOff>485775</xdr:colOff>
      <xdr:row>43</xdr:row>
      <xdr:rowOff>171450</xdr:rowOff>
    </xdr:to>
    <xdr:pic>
      <xdr:nvPicPr>
        <xdr:cNvPr id="17" name="Picture 16">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0" y="6477000"/>
          <a:ext cx="5362575" cy="2457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47627</xdr:colOff>
      <xdr:row>55</xdr:row>
      <xdr:rowOff>23813</xdr:rowOff>
    </xdr:from>
    <xdr:to>
      <xdr:col>3</xdr:col>
      <xdr:colOff>533402</xdr:colOff>
      <xdr:row>72</xdr:row>
      <xdr:rowOff>109538</xdr:rowOff>
    </xdr:to>
    <xdr:pic>
      <xdr:nvPicPr>
        <xdr:cNvPr id="19" name="Picture 18">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7627" y="11049001"/>
          <a:ext cx="2307431" cy="3324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209550</xdr:colOff>
      <xdr:row>4</xdr:row>
      <xdr:rowOff>66675</xdr:rowOff>
    </xdr:from>
    <xdr:to>
      <xdr:col>8</xdr:col>
      <xdr:colOff>47625</xdr:colOff>
      <xdr:row>13</xdr:row>
      <xdr:rowOff>38100</xdr:rowOff>
    </xdr:to>
    <xdr:pic>
      <xdr:nvPicPr>
        <xdr:cNvPr id="7169" name="Picture 1">
          <a:extLst>
            <a:ext uri="{FF2B5EF4-FFF2-40B4-BE49-F238E27FC236}">
              <a16:creationId xmlns:a16="http://schemas.microsoft.com/office/drawing/2014/main" id="{00000000-0008-0000-0800-000001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9550" y="828675"/>
          <a:ext cx="4714875" cy="1724025"/>
        </a:xfrm>
        <a:prstGeom prst="rect">
          <a:avLst/>
        </a:prstGeom>
        <a:noFill/>
      </xdr:spPr>
    </xdr:pic>
    <xdr:clientData/>
  </xdr:twoCellAnchor>
  <xdr:twoCellAnchor editAs="oneCell">
    <xdr:from>
      <xdr:col>0</xdr:col>
      <xdr:colOff>285750</xdr:colOff>
      <xdr:row>1</xdr:row>
      <xdr:rowOff>114300</xdr:rowOff>
    </xdr:from>
    <xdr:to>
      <xdr:col>5</xdr:col>
      <xdr:colOff>123825</xdr:colOff>
      <xdr:row>3</xdr:row>
      <xdr:rowOff>161925</xdr:rowOff>
    </xdr:to>
    <xdr:pic>
      <xdr:nvPicPr>
        <xdr:cNvPr id="7170" name="Picture 2">
          <a:extLst>
            <a:ext uri="{FF2B5EF4-FFF2-40B4-BE49-F238E27FC236}">
              <a16:creationId xmlns:a16="http://schemas.microsoft.com/office/drawing/2014/main" id="{00000000-0008-0000-0800-0000021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0" y="304800"/>
          <a:ext cx="2886075" cy="428625"/>
        </a:xfrm>
        <a:prstGeom prst="rect">
          <a:avLst/>
        </a:prstGeom>
        <a:noFill/>
      </xdr:spPr>
    </xdr:pic>
    <xdr:clientData/>
  </xdr:twoCellAnchor>
  <xdr:twoCellAnchor editAs="oneCell">
    <xdr:from>
      <xdr:col>0</xdr:col>
      <xdr:colOff>238125</xdr:colOff>
      <xdr:row>13</xdr:row>
      <xdr:rowOff>171450</xdr:rowOff>
    </xdr:from>
    <xdr:to>
      <xdr:col>7</xdr:col>
      <xdr:colOff>495300</xdr:colOff>
      <xdr:row>17</xdr:row>
      <xdr:rowOff>38100</xdr:rowOff>
    </xdr:to>
    <xdr:pic>
      <xdr:nvPicPr>
        <xdr:cNvPr id="7171" name="Picture 3">
          <a:extLst>
            <a:ext uri="{FF2B5EF4-FFF2-40B4-BE49-F238E27FC236}">
              <a16:creationId xmlns:a16="http://schemas.microsoft.com/office/drawing/2014/main" id="{00000000-0008-0000-0800-0000031C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38125" y="2647950"/>
          <a:ext cx="4524375" cy="628650"/>
        </a:xfrm>
        <a:prstGeom prst="rect">
          <a:avLst/>
        </a:prstGeom>
        <a:noFill/>
      </xdr:spPr>
    </xdr:pic>
    <xdr:clientData/>
  </xdr:twoCellAnchor>
  <xdr:twoCellAnchor editAs="oneCell">
    <xdr:from>
      <xdr:col>0</xdr:col>
      <xdr:colOff>266700</xdr:colOff>
      <xdr:row>17</xdr:row>
      <xdr:rowOff>180975</xdr:rowOff>
    </xdr:from>
    <xdr:to>
      <xdr:col>7</xdr:col>
      <xdr:colOff>561975</xdr:colOff>
      <xdr:row>19</xdr:row>
      <xdr:rowOff>133350</xdr:rowOff>
    </xdr:to>
    <xdr:pic>
      <xdr:nvPicPr>
        <xdr:cNvPr id="7172" name="Picture 4">
          <a:extLst>
            <a:ext uri="{FF2B5EF4-FFF2-40B4-BE49-F238E27FC236}">
              <a16:creationId xmlns:a16="http://schemas.microsoft.com/office/drawing/2014/main" id="{00000000-0008-0000-0800-0000041C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266700" y="3419475"/>
          <a:ext cx="4562475" cy="333375"/>
        </a:xfrm>
        <a:prstGeom prst="rect">
          <a:avLst/>
        </a:prstGeom>
        <a:noFill/>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9</xdr:col>
      <xdr:colOff>167609</xdr:colOff>
      <xdr:row>20</xdr:row>
      <xdr:rowOff>142875</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 y="0"/>
          <a:ext cx="5654008" cy="402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xdr:row>
      <xdr:rowOff>171450</xdr:rowOff>
    </xdr:from>
    <xdr:to>
      <xdr:col>9</xdr:col>
      <xdr:colOff>219075</xdr:colOff>
      <xdr:row>42</xdr:row>
      <xdr:rowOff>57150</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3981450"/>
          <a:ext cx="5705475" cy="407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42</xdr:row>
      <xdr:rowOff>161925</xdr:rowOff>
    </xdr:from>
    <xdr:to>
      <xdr:col>9</xdr:col>
      <xdr:colOff>104775</xdr:colOff>
      <xdr:row>64</xdr:row>
      <xdr:rowOff>76200</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8100" y="8134949"/>
          <a:ext cx="5551876" cy="40906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xdr:row>
      <xdr:rowOff>0</xdr:rowOff>
    </xdr:from>
    <xdr:to>
      <xdr:col>9</xdr:col>
      <xdr:colOff>66675</xdr:colOff>
      <xdr:row>85</xdr:row>
      <xdr:rowOff>85725</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0" y="12192000"/>
          <a:ext cx="5553075" cy="408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114300</xdr:rowOff>
    </xdr:from>
    <xdr:to>
      <xdr:col>5</xdr:col>
      <xdr:colOff>533400</xdr:colOff>
      <xdr:row>2</xdr:row>
      <xdr:rowOff>133350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1085850" y="304800"/>
          <a:ext cx="24955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0.009</a:t>
          </a:r>
          <a:r>
            <a:rPr lang="en-US" sz="1100" b="1" baseline="0">
              <a:solidFill>
                <a:srgbClr val="FF0000"/>
              </a:solidFill>
            </a:rPr>
            <a:t>         0.095         0.7                7.5</a:t>
          </a:r>
          <a:endParaRPr lang="en-US" sz="1100" b="1">
            <a:solidFill>
              <a:srgbClr val="FF0000"/>
            </a:solidFill>
          </a:endParaRPr>
        </a:p>
      </xdr:txBody>
    </xdr:sp>
    <xdr:clientData/>
  </xdr:twoCellAnchor>
  <xdr:twoCellAnchor>
    <xdr:from>
      <xdr:col>2</xdr:col>
      <xdr:colOff>323851</xdr:colOff>
      <xdr:row>17</xdr:row>
      <xdr:rowOff>76200</xdr:rowOff>
    </xdr:from>
    <xdr:to>
      <xdr:col>6</xdr:col>
      <xdr:colOff>381001</xdr:colOff>
      <xdr:row>18</xdr:row>
      <xdr:rowOff>95250</xdr:rowOff>
    </xdr:to>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1543051" y="3314700"/>
          <a:ext cx="24955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0.05</a:t>
          </a:r>
          <a:r>
            <a:rPr lang="en-US" sz="1100" b="1" baseline="0">
              <a:solidFill>
                <a:srgbClr val="FF0000"/>
              </a:solidFill>
            </a:rPr>
            <a:t>         0.58                   4                     45</a:t>
          </a:r>
          <a:endParaRPr lang="en-US" sz="1100" b="1">
            <a:solidFill>
              <a:srgbClr val="FF0000"/>
            </a:solidFill>
          </a:endParaRPr>
        </a:p>
      </xdr:txBody>
    </xdr:sp>
    <xdr:clientData/>
  </xdr:twoCellAnchor>
  <xdr:twoCellAnchor>
    <xdr:from>
      <xdr:col>2</xdr:col>
      <xdr:colOff>28575</xdr:colOff>
      <xdr:row>23</xdr:row>
      <xdr:rowOff>161925</xdr:rowOff>
    </xdr:from>
    <xdr:to>
      <xdr:col>6</xdr:col>
      <xdr:colOff>85725</xdr:colOff>
      <xdr:row>24</xdr:row>
      <xdr:rowOff>180975</xdr:rowOff>
    </xdr:to>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1247775" y="4543425"/>
          <a:ext cx="24955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0.12</a:t>
          </a:r>
          <a:r>
            <a:rPr lang="en-US" sz="1100" b="1" baseline="0">
              <a:solidFill>
                <a:srgbClr val="FF0000"/>
              </a:solidFill>
            </a:rPr>
            <a:t>        0.82              4                  30</a:t>
          </a:r>
          <a:endParaRPr lang="en-US" sz="1100" b="1">
            <a:solidFill>
              <a:srgbClr val="FF0000"/>
            </a:solidFill>
          </a:endParaRPr>
        </a:p>
      </xdr:txBody>
    </xdr:sp>
    <xdr:clientData/>
  </xdr:twoCellAnchor>
  <xdr:twoCellAnchor>
    <xdr:from>
      <xdr:col>3</xdr:col>
      <xdr:colOff>533400</xdr:colOff>
      <xdr:row>38</xdr:row>
      <xdr:rowOff>123825</xdr:rowOff>
    </xdr:from>
    <xdr:to>
      <xdr:col>7</xdr:col>
      <xdr:colOff>590550</xdr:colOff>
      <xdr:row>39</xdr:row>
      <xdr:rowOff>142875</xdr:rowOff>
    </xdr:to>
    <xdr:sp macro="" textlink="">
      <xdr:nvSpPr>
        <xdr:cNvPr id="13" name="TextBox 12">
          <a:extLst>
            <a:ext uri="{FF2B5EF4-FFF2-40B4-BE49-F238E27FC236}">
              <a16:creationId xmlns:a16="http://schemas.microsoft.com/office/drawing/2014/main" id="{00000000-0008-0000-0900-00000D000000}"/>
            </a:ext>
          </a:extLst>
        </xdr:cNvPr>
        <xdr:cNvSpPr txBox="1"/>
      </xdr:nvSpPr>
      <xdr:spPr>
        <a:xfrm>
          <a:off x="2362200" y="7362825"/>
          <a:ext cx="24955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3.5</a:t>
          </a:r>
          <a:r>
            <a:rPr lang="en-US" sz="1100" b="1" baseline="0">
              <a:solidFill>
                <a:srgbClr val="FF0000"/>
              </a:solidFill>
            </a:rPr>
            <a:t>        25              150                800</a:t>
          </a:r>
          <a:endParaRPr lang="en-US" sz="1100" b="1">
            <a:solidFill>
              <a:srgbClr val="FF0000"/>
            </a:solidFill>
          </a:endParaRPr>
        </a:p>
      </xdr:txBody>
    </xdr:sp>
    <xdr:clientData/>
  </xdr:twoCellAnchor>
  <xdr:twoCellAnchor>
    <xdr:from>
      <xdr:col>1</xdr:col>
      <xdr:colOff>390525</xdr:colOff>
      <xdr:row>45</xdr:row>
      <xdr:rowOff>76200</xdr:rowOff>
    </xdr:from>
    <xdr:to>
      <xdr:col>5</xdr:col>
      <xdr:colOff>447675</xdr:colOff>
      <xdr:row>46</xdr:row>
      <xdr:rowOff>128868</xdr:rowOff>
    </xdr:to>
    <xdr:sp macro="" textlink="">
      <xdr:nvSpPr>
        <xdr:cNvPr id="14" name="TextBox 13">
          <a:extLst>
            <a:ext uri="{FF2B5EF4-FFF2-40B4-BE49-F238E27FC236}">
              <a16:creationId xmlns:a16="http://schemas.microsoft.com/office/drawing/2014/main" id="{00000000-0008-0000-0900-00000E000000}"/>
            </a:ext>
          </a:extLst>
        </xdr:cNvPr>
        <xdr:cNvSpPr txBox="1"/>
      </xdr:nvSpPr>
      <xdr:spPr>
        <a:xfrm>
          <a:off x="1001246" y="8648700"/>
          <a:ext cx="2500032" cy="243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0.18             1            4              25</a:t>
          </a:r>
        </a:p>
      </xdr:txBody>
    </xdr:sp>
    <xdr:clientData/>
  </xdr:twoCellAnchor>
  <xdr:twoCellAnchor>
    <xdr:from>
      <xdr:col>4</xdr:col>
      <xdr:colOff>428625</xdr:colOff>
      <xdr:row>60</xdr:row>
      <xdr:rowOff>180975</xdr:rowOff>
    </xdr:from>
    <xdr:to>
      <xdr:col>8</xdr:col>
      <xdr:colOff>485775</xdr:colOff>
      <xdr:row>62</xdr:row>
      <xdr:rowOff>9525</xdr:rowOff>
    </xdr:to>
    <xdr:sp macro="" textlink="">
      <xdr:nvSpPr>
        <xdr:cNvPr id="15" name="TextBox 14">
          <a:extLst>
            <a:ext uri="{FF2B5EF4-FFF2-40B4-BE49-F238E27FC236}">
              <a16:creationId xmlns:a16="http://schemas.microsoft.com/office/drawing/2014/main" id="{00000000-0008-0000-0900-00000F000000}"/>
            </a:ext>
          </a:extLst>
        </xdr:cNvPr>
        <xdr:cNvSpPr txBox="1"/>
      </xdr:nvSpPr>
      <xdr:spPr>
        <a:xfrm>
          <a:off x="2867025" y="11610975"/>
          <a:ext cx="24955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200             1100      4500       30000 </a:t>
          </a:r>
        </a:p>
      </xdr:txBody>
    </xdr:sp>
    <xdr:clientData/>
  </xdr:twoCellAnchor>
  <xdr:twoCellAnchor>
    <xdr:from>
      <xdr:col>1</xdr:col>
      <xdr:colOff>477782</xdr:colOff>
      <xdr:row>67</xdr:row>
      <xdr:rowOff>24845</xdr:rowOff>
    </xdr:from>
    <xdr:to>
      <xdr:col>5</xdr:col>
      <xdr:colOff>534799</xdr:colOff>
      <xdr:row>68</xdr:row>
      <xdr:rowOff>43895</xdr:rowOff>
    </xdr:to>
    <xdr:sp macro="" textlink="">
      <xdr:nvSpPr>
        <xdr:cNvPr id="16" name="TextBox 15">
          <a:extLst>
            <a:ext uri="{FF2B5EF4-FFF2-40B4-BE49-F238E27FC236}">
              <a16:creationId xmlns:a16="http://schemas.microsoft.com/office/drawing/2014/main" id="{00000000-0008-0000-0900-000010000000}"/>
            </a:ext>
          </a:extLst>
        </xdr:cNvPr>
        <xdr:cNvSpPr txBox="1"/>
      </xdr:nvSpPr>
      <xdr:spPr>
        <a:xfrm>
          <a:off x="1087249" y="12743717"/>
          <a:ext cx="2494884" cy="2088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0.095        0.95          6                    70</a:t>
          </a:r>
        </a:p>
      </xdr:txBody>
    </xdr:sp>
    <xdr:clientData/>
  </xdr:twoCellAnchor>
  <xdr:twoCellAnchor>
    <xdr:from>
      <xdr:col>7</xdr:col>
      <xdr:colOff>333375</xdr:colOff>
      <xdr:row>74</xdr:row>
      <xdr:rowOff>76199</xdr:rowOff>
    </xdr:from>
    <xdr:to>
      <xdr:col>8</xdr:col>
      <xdr:colOff>228600</xdr:colOff>
      <xdr:row>83</xdr:row>
      <xdr:rowOff>76200</xdr:rowOff>
    </xdr:to>
    <xdr:sp macro="" textlink="">
      <xdr:nvSpPr>
        <xdr:cNvPr id="17" name="TextBox 16">
          <a:extLst>
            <a:ext uri="{FF2B5EF4-FFF2-40B4-BE49-F238E27FC236}">
              <a16:creationId xmlns:a16="http://schemas.microsoft.com/office/drawing/2014/main" id="{00000000-0008-0000-0900-000011000000}"/>
            </a:ext>
          </a:extLst>
        </xdr:cNvPr>
        <xdr:cNvSpPr txBox="1"/>
      </xdr:nvSpPr>
      <xdr:spPr>
        <a:xfrm>
          <a:off x="4600575" y="14173199"/>
          <a:ext cx="504825" cy="1714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0.55</a:t>
          </a:r>
        </a:p>
        <a:p>
          <a:endParaRPr lang="en-US" sz="1100" b="1">
            <a:solidFill>
              <a:srgbClr val="FF0000"/>
            </a:solidFill>
          </a:endParaRPr>
        </a:p>
        <a:p>
          <a:endParaRPr lang="en-US" sz="1100" b="1">
            <a:solidFill>
              <a:srgbClr val="FF0000"/>
            </a:solidFill>
          </a:endParaRPr>
        </a:p>
        <a:p>
          <a:r>
            <a:rPr lang="en-US" sz="1100" b="1">
              <a:solidFill>
                <a:srgbClr val="FF0000"/>
              </a:solidFill>
            </a:rPr>
            <a:t>0.4</a:t>
          </a:r>
        </a:p>
        <a:p>
          <a:endParaRPr lang="en-US" sz="1100" b="1">
            <a:solidFill>
              <a:srgbClr val="FF0000"/>
            </a:solidFill>
          </a:endParaRPr>
        </a:p>
        <a:p>
          <a:r>
            <a:rPr lang="en-US" sz="1100" b="1">
              <a:solidFill>
                <a:srgbClr val="FF0000"/>
              </a:solidFill>
            </a:rPr>
            <a:t>0.28</a:t>
          </a:r>
        </a:p>
        <a:p>
          <a:endParaRPr lang="en-US" sz="1100" b="1">
            <a:solidFill>
              <a:srgbClr val="FF0000"/>
            </a:solidFill>
          </a:endParaRPr>
        </a:p>
        <a:p>
          <a:endParaRPr lang="en-US" sz="1100" b="1">
            <a:solidFill>
              <a:srgbClr val="FF0000"/>
            </a:solidFill>
          </a:endParaRPr>
        </a:p>
        <a:p>
          <a:r>
            <a:rPr lang="en-US" sz="1100" b="1">
              <a:solidFill>
                <a:srgbClr val="FF0000"/>
              </a:solidFill>
            </a:rPr>
            <a:t>0.13</a:t>
          </a:r>
        </a:p>
      </xdr:txBody>
    </xdr:sp>
    <xdr:clientData/>
  </xdr:twoCellAnchor>
  <xdr:twoCellAnchor>
    <xdr:from>
      <xdr:col>2</xdr:col>
      <xdr:colOff>438151</xdr:colOff>
      <xdr:row>16</xdr:row>
      <xdr:rowOff>104775</xdr:rowOff>
    </xdr:from>
    <xdr:to>
      <xdr:col>3</xdr:col>
      <xdr:colOff>381000</xdr:colOff>
      <xdr:row>17</xdr:row>
      <xdr:rowOff>104775</xdr:rowOff>
    </xdr:to>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1657351" y="3152775"/>
          <a:ext cx="55244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0.048</a:t>
          </a:r>
          <a:r>
            <a:rPr lang="en-US" sz="1100" b="1" baseline="0">
              <a:solidFill>
                <a:srgbClr val="FF0000"/>
              </a:solidFill>
            </a:rPr>
            <a:t>        </a:t>
          </a:r>
          <a:endParaRPr lang="en-US" sz="1100" b="1">
            <a:solidFill>
              <a:srgbClr val="FF0000"/>
            </a:solidFill>
          </a:endParaRPr>
        </a:p>
      </xdr:txBody>
    </xdr:sp>
    <xdr:clientData/>
  </xdr:twoCellAnchor>
  <xdr:twoCellAnchor>
    <xdr:from>
      <xdr:col>3</xdr:col>
      <xdr:colOff>466726</xdr:colOff>
      <xdr:row>14</xdr:row>
      <xdr:rowOff>142875</xdr:rowOff>
    </xdr:from>
    <xdr:to>
      <xdr:col>4</xdr:col>
      <xdr:colOff>400050</xdr:colOff>
      <xdr:row>16</xdr:row>
      <xdr:rowOff>9525</xdr:rowOff>
    </xdr:to>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2295526" y="2809875"/>
          <a:ext cx="542924"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0.4</a:t>
          </a:r>
          <a:r>
            <a:rPr lang="en-US" sz="1100" b="1" baseline="0">
              <a:solidFill>
                <a:srgbClr val="FF0000"/>
              </a:solidFill>
            </a:rPr>
            <a:t>       </a:t>
          </a:r>
          <a:endParaRPr lang="en-US" sz="1100" b="1">
            <a:solidFill>
              <a:srgbClr val="FF0000"/>
            </a:solidFill>
          </a:endParaRPr>
        </a:p>
      </xdr:txBody>
    </xdr:sp>
    <xdr:clientData/>
  </xdr:twoCellAnchor>
  <xdr:twoCellAnchor>
    <xdr:from>
      <xdr:col>4</xdr:col>
      <xdr:colOff>361951</xdr:colOff>
      <xdr:row>12</xdr:row>
      <xdr:rowOff>85724</xdr:rowOff>
    </xdr:from>
    <xdr:to>
      <xdr:col>5</xdr:col>
      <xdr:colOff>266700</xdr:colOff>
      <xdr:row>13</xdr:row>
      <xdr:rowOff>133349</xdr:rowOff>
    </xdr:to>
    <xdr:sp macro="" textlink="">
      <xdr:nvSpPr>
        <xdr:cNvPr id="20" name="TextBox 19">
          <a:extLst>
            <a:ext uri="{FF2B5EF4-FFF2-40B4-BE49-F238E27FC236}">
              <a16:creationId xmlns:a16="http://schemas.microsoft.com/office/drawing/2014/main" id="{00000000-0008-0000-0900-000014000000}"/>
            </a:ext>
          </a:extLst>
        </xdr:cNvPr>
        <xdr:cNvSpPr txBox="1"/>
      </xdr:nvSpPr>
      <xdr:spPr>
        <a:xfrm>
          <a:off x="2800351" y="2371724"/>
          <a:ext cx="51434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rgbClr val="FF0000"/>
              </a:solidFill>
            </a:rPr>
            <a:t>2.2      </a:t>
          </a:r>
          <a:endParaRPr lang="en-US" sz="1100" b="1">
            <a:solidFill>
              <a:srgbClr val="FF0000"/>
            </a:solidFill>
          </a:endParaRPr>
        </a:p>
      </xdr:txBody>
    </xdr:sp>
    <xdr:clientData/>
  </xdr:twoCellAnchor>
  <xdr:twoCellAnchor>
    <xdr:from>
      <xdr:col>5</xdr:col>
      <xdr:colOff>428626</xdr:colOff>
      <xdr:row>9</xdr:row>
      <xdr:rowOff>152399</xdr:rowOff>
    </xdr:from>
    <xdr:to>
      <xdr:col>6</xdr:col>
      <xdr:colOff>180975</xdr:colOff>
      <xdr:row>11</xdr:row>
      <xdr:rowOff>9524</xdr:rowOff>
    </xdr:to>
    <xdr:sp macro="" textlink="">
      <xdr:nvSpPr>
        <xdr:cNvPr id="21" name="TextBox 20">
          <a:extLst>
            <a:ext uri="{FF2B5EF4-FFF2-40B4-BE49-F238E27FC236}">
              <a16:creationId xmlns:a16="http://schemas.microsoft.com/office/drawing/2014/main" id="{00000000-0008-0000-0900-000015000000}"/>
            </a:ext>
          </a:extLst>
        </xdr:cNvPr>
        <xdr:cNvSpPr txBox="1"/>
      </xdr:nvSpPr>
      <xdr:spPr>
        <a:xfrm>
          <a:off x="3476626" y="1866899"/>
          <a:ext cx="36194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rgbClr val="FF0000"/>
              </a:solidFill>
            </a:rPr>
            <a:t>18</a:t>
          </a:r>
          <a:endParaRPr lang="en-US" sz="1100" b="1">
            <a:solidFill>
              <a:srgbClr val="FF0000"/>
            </a:solidFill>
          </a:endParaRPr>
        </a:p>
      </xdr:txBody>
    </xdr:sp>
    <xdr:clientData/>
  </xdr:twoCellAnchor>
  <xdr:twoCellAnchor>
    <xdr:from>
      <xdr:col>3</xdr:col>
      <xdr:colOff>371475</xdr:colOff>
      <xdr:row>38</xdr:row>
      <xdr:rowOff>9526</xdr:rowOff>
    </xdr:from>
    <xdr:to>
      <xdr:col>4</xdr:col>
      <xdr:colOff>238124</xdr:colOff>
      <xdr:row>39</xdr:row>
      <xdr:rowOff>47626</xdr:rowOff>
    </xdr:to>
    <xdr:sp macro="" textlink="">
      <xdr:nvSpPr>
        <xdr:cNvPr id="27" name="TextBox 26">
          <a:extLst>
            <a:ext uri="{FF2B5EF4-FFF2-40B4-BE49-F238E27FC236}">
              <a16:creationId xmlns:a16="http://schemas.microsoft.com/office/drawing/2014/main" id="{00000000-0008-0000-0900-00001B000000}"/>
            </a:ext>
          </a:extLst>
        </xdr:cNvPr>
        <xdr:cNvSpPr txBox="1"/>
      </xdr:nvSpPr>
      <xdr:spPr>
        <a:xfrm>
          <a:off x="2200275" y="7248526"/>
          <a:ext cx="47624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3</a:t>
          </a:r>
          <a:r>
            <a:rPr lang="en-US" sz="1100" b="1" baseline="0">
              <a:solidFill>
                <a:srgbClr val="FF0000"/>
              </a:solidFill>
            </a:rPr>
            <a:t>        </a:t>
          </a:r>
          <a:endParaRPr lang="en-US" sz="1100" b="1">
            <a:solidFill>
              <a:srgbClr val="FF0000"/>
            </a:solidFill>
          </a:endParaRPr>
        </a:p>
      </xdr:txBody>
    </xdr:sp>
    <xdr:clientData/>
  </xdr:twoCellAnchor>
  <xdr:twoCellAnchor>
    <xdr:from>
      <xdr:col>4</xdr:col>
      <xdr:colOff>133350</xdr:colOff>
      <xdr:row>35</xdr:row>
      <xdr:rowOff>142876</xdr:rowOff>
    </xdr:from>
    <xdr:to>
      <xdr:col>5</xdr:col>
      <xdr:colOff>66674</xdr:colOff>
      <xdr:row>37</xdr:row>
      <xdr:rowOff>9526</xdr:rowOff>
    </xdr:to>
    <xdr:sp macro="" textlink="">
      <xdr:nvSpPr>
        <xdr:cNvPr id="28" name="TextBox 27">
          <a:extLst>
            <a:ext uri="{FF2B5EF4-FFF2-40B4-BE49-F238E27FC236}">
              <a16:creationId xmlns:a16="http://schemas.microsoft.com/office/drawing/2014/main" id="{00000000-0008-0000-0900-00001C000000}"/>
            </a:ext>
          </a:extLst>
        </xdr:cNvPr>
        <xdr:cNvSpPr txBox="1"/>
      </xdr:nvSpPr>
      <xdr:spPr>
        <a:xfrm>
          <a:off x="2571750" y="6810376"/>
          <a:ext cx="542924"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12</a:t>
          </a:r>
          <a:r>
            <a:rPr lang="en-US" sz="1100" b="1" baseline="0">
              <a:solidFill>
                <a:srgbClr val="FF0000"/>
              </a:solidFill>
            </a:rPr>
            <a:t>       </a:t>
          </a:r>
          <a:endParaRPr lang="en-US" sz="1100" b="1">
            <a:solidFill>
              <a:srgbClr val="FF0000"/>
            </a:solidFill>
          </a:endParaRPr>
        </a:p>
      </xdr:txBody>
    </xdr:sp>
    <xdr:clientData/>
  </xdr:twoCellAnchor>
  <xdr:twoCellAnchor>
    <xdr:from>
      <xdr:col>5</xdr:col>
      <xdr:colOff>28575</xdr:colOff>
      <xdr:row>33</xdr:row>
      <xdr:rowOff>85725</xdr:rowOff>
    </xdr:from>
    <xdr:to>
      <xdr:col>5</xdr:col>
      <xdr:colOff>542924</xdr:colOff>
      <xdr:row>34</xdr:row>
      <xdr:rowOff>133350</xdr:rowOff>
    </xdr:to>
    <xdr:sp macro="" textlink="">
      <xdr:nvSpPr>
        <xdr:cNvPr id="29" name="TextBox 28">
          <a:extLst>
            <a:ext uri="{FF2B5EF4-FFF2-40B4-BE49-F238E27FC236}">
              <a16:creationId xmlns:a16="http://schemas.microsoft.com/office/drawing/2014/main" id="{00000000-0008-0000-0900-00001D000000}"/>
            </a:ext>
          </a:extLst>
        </xdr:cNvPr>
        <xdr:cNvSpPr txBox="1"/>
      </xdr:nvSpPr>
      <xdr:spPr>
        <a:xfrm>
          <a:off x="3076575" y="6372225"/>
          <a:ext cx="51434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45</a:t>
          </a:r>
          <a:r>
            <a:rPr lang="en-US" sz="1100" b="1" baseline="0">
              <a:solidFill>
                <a:srgbClr val="FF0000"/>
              </a:solidFill>
            </a:rPr>
            <a:t>    </a:t>
          </a:r>
          <a:endParaRPr lang="en-US" sz="1100" b="1">
            <a:solidFill>
              <a:srgbClr val="FF0000"/>
            </a:solidFill>
          </a:endParaRPr>
        </a:p>
      </xdr:txBody>
    </xdr:sp>
    <xdr:clientData/>
  </xdr:twoCellAnchor>
  <xdr:twoCellAnchor>
    <xdr:from>
      <xdr:col>6</xdr:col>
      <xdr:colOff>95250</xdr:colOff>
      <xdr:row>30</xdr:row>
      <xdr:rowOff>152400</xdr:rowOff>
    </xdr:from>
    <xdr:to>
      <xdr:col>6</xdr:col>
      <xdr:colOff>542925</xdr:colOff>
      <xdr:row>32</xdr:row>
      <xdr:rowOff>9525</xdr:rowOff>
    </xdr:to>
    <xdr:sp macro="" textlink="">
      <xdr:nvSpPr>
        <xdr:cNvPr id="30" name="TextBox 29">
          <a:extLst>
            <a:ext uri="{FF2B5EF4-FFF2-40B4-BE49-F238E27FC236}">
              <a16:creationId xmlns:a16="http://schemas.microsoft.com/office/drawing/2014/main" id="{00000000-0008-0000-0900-00001E000000}"/>
            </a:ext>
          </a:extLst>
        </xdr:cNvPr>
        <xdr:cNvSpPr txBox="1"/>
      </xdr:nvSpPr>
      <xdr:spPr>
        <a:xfrm>
          <a:off x="3752850" y="5867400"/>
          <a:ext cx="4476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rgbClr val="FF0000"/>
              </a:solidFill>
            </a:rPr>
            <a:t>130</a:t>
          </a:r>
          <a:endParaRPr lang="en-US" sz="1100" b="1">
            <a:solidFill>
              <a:srgbClr val="FF0000"/>
            </a:solidFill>
          </a:endParaRPr>
        </a:p>
      </xdr:txBody>
    </xdr:sp>
    <xdr:clientData/>
  </xdr:twoCellAnchor>
  <xdr:twoCellAnchor>
    <xdr:from>
      <xdr:col>4</xdr:col>
      <xdr:colOff>529803</xdr:colOff>
      <xdr:row>59</xdr:row>
      <xdr:rowOff>166056</xdr:rowOff>
    </xdr:from>
    <xdr:to>
      <xdr:col>5</xdr:col>
      <xdr:colOff>396452</xdr:colOff>
      <xdr:row>61</xdr:row>
      <xdr:rowOff>14322</xdr:rowOff>
    </xdr:to>
    <xdr:sp macro="" textlink="">
      <xdr:nvSpPr>
        <xdr:cNvPr id="31" name="TextBox 30">
          <a:extLst>
            <a:ext uri="{FF2B5EF4-FFF2-40B4-BE49-F238E27FC236}">
              <a16:creationId xmlns:a16="http://schemas.microsoft.com/office/drawing/2014/main" id="{00000000-0008-0000-0900-00001F000000}"/>
            </a:ext>
          </a:extLst>
        </xdr:cNvPr>
        <xdr:cNvSpPr txBox="1"/>
      </xdr:nvSpPr>
      <xdr:spPr>
        <a:xfrm>
          <a:off x="2967670" y="11366257"/>
          <a:ext cx="476116" cy="22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130</a:t>
          </a:r>
          <a:r>
            <a:rPr lang="en-US" sz="1100" b="1" baseline="0">
              <a:solidFill>
                <a:srgbClr val="FF0000"/>
              </a:solidFill>
            </a:rPr>
            <a:t>         </a:t>
          </a:r>
          <a:endParaRPr lang="en-US" sz="1100" b="1">
            <a:solidFill>
              <a:srgbClr val="FF0000"/>
            </a:solidFill>
          </a:endParaRPr>
        </a:p>
      </xdr:txBody>
    </xdr:sp>
    <xdr:clientData/>
  </xdr:twoCellAnchor>
  <xdr:twoCellAnchor>
    <xdr:from>
      <xdr:col>5</xdr:col>
      <xdr:colOff>190500</xdr:colOff>
      <xdr:row>57</xdr:row>
      <xdr:rowOff>142876</xdr:rowOff>
    </xdr:from>
    <xdr:to>
      <xdr:col>6</xdr:col>
      <xdr:colOff>123824</xdr:colOff>
      <xdr:row>59</xdr:row>
      <xdr:rowOff>9526</xdr:rowOff>
    </xdr:to>
    <xdr:sp macro="" textlink="">
      <xdr:nvSpPr>
        <xdr:cNvPr id="32" name="TextBox 31">
          <a:extLst>
            <a:ext uri="{FF2B5EF4-FFF2-40B4-BE49-F238E27FC236}">
              <a16:creationId xmlns:a16="http://schemas.microsoft.com/office/drawing/2014/main" id="{00000000-0008-0000-0900-000020000000}"/>
            </a:ext>
          </a:extLst>
        </xdr:cNvPr>
        <xdr:cNvSpPr txBox="1"/>
      </xdr:nvSpPr>
      <xdr:spPr>
        <a:xfrm>
          <a:off x="3238500" y="11001376"/>
          <a:ext cx="542924"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300</a:t>
          </a:r>
          <a:r>
            <a:rPr lang="en-US" sz="1100" b="1" baseline="0">
              <a:solidFill>
                <a:srgbClr val="FF0000"/>
              </a:solidFill>
            </a:rPr>
            <a:t>       </a:t>
          </a:r>
          <a:endParaRPr lang="en-US" sz="1100" b="1">
            <a:solidFill>
              <a:srgbClr val="FF0000"/>
            </a:solidFill>
          </a:endParaRPr>
        </a:p>
      </xdr:txBody>
    </xdr:sp>
    <xdr:clientData/>
  </xdr:twoCellAnchor>
  <xdr:twoCellAnchor>
    <xdr:from>
      <xdr:col>5</xdr:col>
      <xdr:colOff>285750</xdr:colOff>
      <xdr:row>55</xdr:row>
      <xdr:rowOff>66675</xdr:rowOff>
    </xdr:from>
    <xdr:to>
      <xdr:col>6</xdr:col>
      <xdr:colOff>190499</xdr:colOff>
      <xdr:row>56</xdr:row>
      <xdr:rowOff>114300</xdr:rowOff>
    </xdr:to>
    <xdr:sp macro="" textlink="">
      <xdr:nvSpPr>
        <xdr:cNvPr id="33" name="TextBox 32">
          <a:extLst>
            <a:ext uri="{FF2B5EF4-FFF2-40B4-BE49-F238E27FC236}">
              <a16:creationId xmlns:a16="http://schemas.microsoft.com/office/drawing/2014/main" id="{00000000-0008-0000-0900-000021000000}"/>
            </a:ext>
          </a:extLst>
        </xdr:cNvPr>
        <xdr:cNvSpPr txBox="1"/>
      </xdr:nvSpPr>
      <xdr:spPr>
        <a:xfrm>
          <a:off x="3333750" y="10544175"/>
          <a:ext cx="51434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420</a:t>
          </a:r>
          <a:r>
            <a:rPr lang="en-US" sz="1100" b="1" baseline="0">
              <a:solidFill>
                <a:srgbClr val="FF0000"/>
              </a:solidFill>
            </a:rPr>
            <a:t>     </a:t>
          </a:r>
          <a:endParaRPr lang="en-US" sz="1100" b="1">
            <a:solidFill>
              <a:srgbClr val="FF0000"/>
            </a:solidFill>
          </a:endParaRPr>
        </a:p>
      </xdr:txBody>
    </xdr:sp>
    <xdr:clientData/>
  </xdr:twoCellAnchor>
  <xdr:twoCellAnchor>
    <xdr:from>
      <xdr:col>5</xdr:col>
      <xdr:colOff>533400</xdr:colOff>
      <xdr:row>52</xdr:row>
      <xdr:rowOff>152400</xdr:rowOff>
    </xdr:from>
    <xdr:to>
      <xdr:col>6</xdr:col>
      <xdr:colOff>476250</xdr:colOff>
      <xdr:row>54</xdr:row>
      <xdr:rowOff>9525</xdr:rowOff>
    </xdr:to>
    <xdr:sp macro="" textlink="">
      <xdr:nvSpPr>
        <xdr:cNvPr id="34" name="TextBox 33">
          <a:extLst>
            <a:ext uri="{FF2B5EF4-FFF2-40B4-BE49-F238E27FC236}">
              <a16:creationId xmlns:a16="http://schemas.microsoft.com/office/drawing/2014/main" id="{00000000-0008-0000-0900-000022000000}"/>
            </a:ext>
          </a:extLst>
        </xdr:cNvPr>
        <xdr:cNvSpPr txBox="1"/>
      </xdr:nvSpPr>
      <xdr:spPr>
        <a:xfrm>
          <a:off x="3581400" y="10058400"/>
          <a:ext cx="5524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rgbClr val="FF0000"/>
              </a:solidFill>
            </a:rPr>
            <a:t>850</a:t>
          </a:r>
          <a:endParaRPr lang="en-US" sz="1100" b="1">
            <a:solidFill>
              <a:srgbClr val="FF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xdr:colOff>
      <xdr:row>28</xdr:row>
      <xdr:rowOff>38101</xdr:rowOff>
    </xdr:from>
    <xdr:to>
      <xdr:col>8</xdr:col>
      <xdr:colOff>114301</xdr:colOff>
      <xdr:row>32</xdr:row>
      <xdr:rowOff>20357</xdr:rowOff>
    </xdr:to>
    <xdr:pic>
      <xdr:nvPicPr>
        <xdr:cNvPr id="2050" name="Picture 2">
          <a:extLst>
            <a:ext uri="{FF2B5EF4-FFF2-40B4-BE49-F238E27FC236}">
              <a16:creationId xmlns:a16="http://schemas.microsoft.com/office/drawing/2014/main" id="{00000000-0008-0000-0A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 y="5524501"/>
          <a:ext cx="4991100" cy="1010956"/>
        </a:xfrm>
        <a:prstGeom prst="rect">
          <a:avLst/>
        </a:prstGeom>
        <a:noFill/>
      </xdr:spPr>
    </xdr:pic>
    <xdr:clientData/>
  </xdr:twoCellAnchor>
  <xdr:twoCellAnchor editAs="oneCell">
    <xdr:from>
      <xdr:col>0</xdr:col>
      <xdr:colOff>35719</xdr:colOff>
      <xdr:row>32</xdr:row>
      <xdr:rowOff>130968</xdr:rowOff>
    </xdr:from>
    <xdr:to>
      <xdr:col>8</xdr:col>
      <xdr:colOff>131327</xdr:colOff>
      <xdr:row>44</xdr:row>
      <xdr:rowOff>85725</xdr:rowOff>
    </xdr:to>
    <xdr:pic>
      <xdr:nvPicPr>
        <xdr:cNvPr id="2051" name="Picture 3">
          <a:extLst>
            <a:ext uri="{FF2B5EF4-FFF2-40B4-BE49-F238E27FC236}">
              <a16:creationId xmlns:a16="http://schemas.microsoft.com/office/drawing/2014/main" id="{00000000-0008-0000-0A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5719" y="6631781"/>
          <a:ext cx="4953358" cy="2240757"/>
        </a:xfrm>
        <a:prstGeom prst="rect">
          <a:avLst/>
        </a:prstGeom>
        <a:noFill/>
      </xdr:spPr>
    </xdr:pic>
    <xdr:clientData/>
  </xdr:twoCellAnchor>
  <xdr:twoCellAnchor editAs="oneCell">
    <xdr:from>
      <xdr:col>0</xdr:col>
      <xdr:colOff>0</xdr:colOff>
      <xdr:row>15</xdr:row>
      <xdr:rowOff>47625</xdr:rowOff>
    </xdr:from>
    <xdr:to>
      <xdr:col>7</xdr:col>
      <xdr:colOff>558587</xdr:colOff>
      <xdr:row>23</xdr:row>
      <xdr:rowOff>76200</xdr:rowOff>
    </xdr:to>
    <xdr:pic>
      <xdr:nvPicPr>
        <xdr:cNvPr id="2052" name="Picture 4">
          <a:extLst>
            <a:ext uri="{FF2B5EF4-FFF2-40B4-BE49-F238E27FC236}">
              <a16:creationId xmlns:a16="http://schemas.microsoft.com/office/drawing/2014/main" id="{00000000-0008-0000-0A00-00000408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905125"/>
          <a:ext cx="4825787" cy="1552575"/>
        </a:xfrm>
        <a:prstGeom prst="rect">
          <a:avLst/>
        </a:prstGeom>
        <a:noFill/>
      </xdr:spPr>
    </xdr:pic>
    <xdr:clientData/>
  </xdr:twoCellAnchor>
  <xdr:twoCellAnchor editAs="oneCell">
    <xdr:from>
      <xdr:col>0</xdr:col>
      <xdr:colOff>0</xdr:colOff>
      <xdr:row>0</xdr:row>
      <xdr:rowOff>66675</xdr:rowOff>
    </xdr:from>
    <xdr:to>
      <xdr:col>7</xdr:col>
      <xdr:colOff>364709</xdr:colOff>
      <xdr:row>7</xdr:row>
      <xdr:rowOff>38100</xdr:rowOff>
    </xdr:to>
    <xdr:pic>
      <xdr:nvPicPr>
        <xdr:cNvPr id="8" name="Picture 7">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0" y="66675"/>
          <a:ext cx="4631909" cy="1343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xdr:row>
      <xdr:rowOff>104776</xdr:rowOff>
    </xdr:from>
    <xdr:to>
      <xdr:col>7</xdr:col>
      <xdr:colOff>304799</xdr:colOff>
      <xdr:row>13</xdr:row>
      <xdr:rowOff>99126</xdr:rowOff>
    </xdr:to>
    <xdr:pic>
      <xdr:nvPicPr>
        <xdr:cNvPr id="10" name="Picture 9">
          <a:extLst>
            <a:ext uri="{FF2B5EF4-FFF2-40B4-BE49-F238E27FC236}">
              <a16:creationId xmlns:a16="http://schemas.microsoft.com/office/drawing/2014/main" id="{00000000-0008-0000-0A00-00000A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0" y="1438276"/>
          <a:ext cx="4571999" cy="1137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57151</xdr:colOff>
      <xdr:row>23</xdr:row>
      <xdr:rowOff>47626</xdr:rowOff>
    </xdr:from>
    <xdr:to>
      <xdr:col>7</xdr:col>
      <xdr:colOff>571501</xdr:colOff>
      <xdr:row>25</xdr:row>
      <xdr:rowOff>161926</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7151" y="4505326"/>
          <a:ext cx="478155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97CC"/>
    <pageSetUpPr fitToPage="1"/>
  </sheetPr>
  <dimension ref="A47"/>
  <sheetViews>
    <sheetView topLeftCell="A16" workbookViewId="0">
      <selection activeCell="N33" sqref="N33"/>
    </sheetView>
  </sheetViews>
  <sheetFormatPr baseColWidth="10" defaultColWidth="8.83203125" defaultRowHeight="15" x14ac:dyDescent="0.2"/>
  <sheetData>
    <row r="47" ht="18" customHeight="1" x14ac:dyDescent="0.2"/>
  </sheetData>
  <printOptions horizontalCentered="1" verticalCentered="1"/>
  <pageMargins left="0.2" right="0.2" top="0.25" bottom="0.25" header="0.05" footer="0.3"/>
  <pageSetup scale="8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92D050"/>
    <pageSetUpPr fitToPage="1"/>
  </sheetPr>
  <dimension ref="A1:AE143"/>
  <sheetViews>
    <sheetView zoomScale="80" zoomScaleNormal="80" workbookViewId="0"/>
  </sheetViews>
  <sheetFormatPr baseColWidth="10" defaultColWidth="8.83203125" defaultRowHeight="15" x14ac:dyDescent="0.2"/>
  <cols>
    <col min="1" max="1" width="10.6640625" customWidth="1"/>
    <col min="10" max="10" width="10.83203125" customWidth="1"/>
    <col min="12" max="12" width="9.33203125" customWidth="1"/>
    <col min="13" max="13" width="10.83203125" customWidth="1"/>
    <col min="15" max="15" width="10.5" customWidth="1"/>
    <col min="16" max="16" width="9.33203125" customWidth="1"/>
    <col min="17" max="26" width="6.6640625" customWidth="1"/>
    <col min="27" max="31" width="9.6640625" customWidth="1"/>
    <col min="32" max="32" width="6.6640625" customWidth="1"/>
  </cols>
  <sheetData>
    <row r="1" spans="1:26" x14ac:dyDescent="0.2">
      <c r="C1" s="53"/>
      <c r="F1" s="53"/>
      <c r="I1" s="53"/>
      <c r="L1" s="53"/>
      <c r="O1" s="53"/>
    </row>
    <row r="2" spans="1:26" ht="20" x14ac:dyDescent="0.2">
      <c r="A2" s="66" t="s">
        <v>80</v>
      </c>
      <c r="B2" s="67"/>
      <c r="C2" s="53"/>
      <c r="D2" s="24" t="s">
        <v>72</v>
      </c>
      <c r="F2" s="53"/>
      <c r="G2" s="24" t="s">
        <v>81</v>
      </c>
      <c r="I2" s="53"/>
      <c r="J2" s="24" t="s">
        <v>71</v>
      </c>
      <c r="L2" s="53"/>
      <c r="M2" s="24" t="s">
        <v>73</v>
      </c>
      <c r="O2" s="53"/>
      <c r="P2" s="7"/>
      <c r="V2" s="85"/>
    </row>
    <row r="3" spans="1:26" ht="16" x14ac:dyDescent="0.2">
      <c r="B3" s="64"/>
      <c r="C3" s="53"/>
      <c r="E3" s="65"/>
      <c r="F3" s="53"/>
      <c r="I3" s="53"/>
      <c r="L3" s="53"/>
      <c r="O3" s="53"/>
      <c r="P3" s="86"/>
      <c r="Q3" s="87"/>
      <c r="R3" s="87"/>
      <c r="S3" s="87"/>
      <c r="V3" s="85"/>
      <c r="X3" s="87"/>
      <c r="Y3" s="88"/>
      <c r="Z3" s="87"/>
    </row>
    <row r="4" spans="1:26" ht="16" x14ac:dyDescent="0.2">
      <c r="B4" s="64"/>
      <c r="C4" s="53"/>
      <c r="F4" s="53"/>
      <c r="I4" s="53"/>
      <c r="L4" s="53"/>
      <c r="O4" s="53"/>
      <c r="P4" s="29"/>
      <c r="Q4" s="89"/>
      <c r="R4" s="89"/>
      <c r="S4" s="87"/>
      <c r="V4" s="85"/>
      <c r="X4" s="87"/>
      <c r="Y4" s="88"/>
      <c r="Z4" s="87"/>
    </row>
    <row r="5" spans="1:26" ht="16" x14ac:dyDescent="0.2">
      <c r="B5" s="65"/>
      <c r="C5" s="53"/>
      <c r="F5" s="53"/>
      <c r="I5" s="53"/>
      <c r="L5" s="53"/>
      <c r="O5" s="53"/>
      <c r="P5" s="90"/>
      <c r="Q5" s="89"/>
      <c r="R5" s="89"/>
      <c r="S5" s="87"/>
      <c r="V5" s="85"/>
      <c r="X5" s="87"/>
      <c r="Y5" s="88"/>
      <c r="Z5" s="87"/>
    </row>
    <row r="6" spans="1:26" ht="17" x14ac:dyDescent="0.2">
      <c r="B6" s="72" t="s">
        <v>27</v>
      </c>
      <c r="C6" s="53"/>
      <c r="E6" s="72" t="s">
        <v>27</v>
      </c>
      <c r="F6" s="53"/>
      <c r="H6" s="72" t="s">
        <v>27</v>
      </c>
      <c r="I6" s="53"/>
      <c r="J6" s="31"/>
      <c r="K6" s="72" t="s">
        <v>27</v>
      </c>
      <c r="L6" s="53"/>
      <c r="M6" s="31"/>
      <c r="N6" s="72" t="s">
        <v>27</v>
      </c>
      <c r="O6" s="53"/>
      <c r="P6" s="89"/>
      <c r="Q6" s="89"/>
      <c r="R6" s="89"/>
      <c r="V6" s="85"/>
    </row>
    <row r="7" spans="1:26" ht="17" x14ac:dyDescent="0.25">
      <c r="A7" s="76" t="s">
        <v>79</v>
      </c>
      <c r="B7" s="30">
        <v>300</v>
      </c>
      <c r="C7" s="54" t="s">
        <v>35</v>
      </c>
      <c r="D7" s="76" t="s">
        <v>77</v>
      </c>
      <c r="E7" s="30">
        <v>100</v>
      </c>
      <c r="F7" s="54" t="s">
        <v>35</v>
      </c>
      <c r="G7" s="76" t="s">
        <v>76</v>
      </c>
      <c r="H7" s="30">
        <v>100</v>
      </c>
      <c r="I7" s="54" t="s">
        <v>35</v>
      </c>
      <c r="J7" s="76" t="s">
        <v>3</v>
      </c>
      <c r="K7" s="30">
        <v>100</v>
      </c>
      <c r="L7" s="54" t="s">
        <v>35</v>
      </c>
      <c r="M7" s="76" t="s">
        <v>3</v>
      </c>
      <c r="N7" s="30">
        <v>100</v>
      </c>
      <c r="O7" s="54" t="s">
        <v>35</v>
      </c>
      <c r="P7" s="91"/>
      <c r="V7" s="85"/>
    </row>
    <row r="8" spans="1:26" x14ac:dyDescent="0.2">
      <c r="A8" s="76" t="s">
        <v>16</v>
      </c>
      <c r="B8" s="30">
        <v>2</v>
      </c>
      <c r="C8" s="53"/>
      <c r="D8" s="76" t="s">
        <v>78</v>
      </c>
      <c r="E8" s="30">
        <v>2</v>
      </c>
      <c r="F8" s="53"/>
      <c r="G8" s="76" t="s">
        <v>16</v>
      </c>
      <c r="H8" s="30">
        <v>2</v>
      </c>
      <c r="I8" s="53"/>
      <c r="J8" s="76" t="s">
        <v>16</v>
      </c>
      <c r="K8" s="30">
        <v>2</v>
      </c>
      <c r="L8" s="53"/>
      <c r="M8" s="76" t="s">
        <v>16</v>
      </c>
      <c r="N8" s="30">
        <v>2</v>
      </c>
      <c r="O8" s="53"/>
      <c r="V8" s="85"/>
    </row>
    <row r="9" spans="1:26" ht="18" x14ac:dyDescent="0.25">
      <c r="A9" s="76" t="s">
        <v>83</v>
      </c>
      <c r="B9" s="30">
        <v>0.1</v>
      </c>
      <c r="C9" s="68" t="s">
        <v>69</v>
      </c>
      <c r="D9" s="76" t="s">
        <v>83</v>
      </c>
      <c r="E9" s="30">
        <v>0.1</v>
      </c>
      <c r="F9" s="68" t="s">
        <v>69</v>
      </c>
      <c r="G9" s="76" t="s">
        <v>74</v>
      </c>
      <c r="H9" s="75">
        <f>1-1/H8</f>
        <v>0.5</v>
      </c>
      <c r="I9" s="73"/>
      <c r="J9" s="76" t="s">
        <v>4</v>
      </c>
      <c r="K9" s="30">
        <v>1</v>
      </c>
      <c r="L9" s="73"/>
      <c r="M9" s="76" t="s">
        <v>4</v>
      </c>
      <c r="N9" s="52">
        <v>1</v>
      </c>
      <c r="O9" s="53"/>
    </row>
    <row r="10" spans="1:26" ht="18" x14ac:dyDescent="0.25">
      <c r="A10" s="76" t="s">
        <v>82</v>
      </c>
      <c r="B10" s="52">
        <v>0.5</v>
      </c>
      <c r="C10" s="68" t="s">
        <v>69</v>
      </c>
      <c r="D10" s="76" t="s">
        <v>82</v>
      </c>
      <c r="E10" s="52">
        <v>0.5</v>
      </c>
      <c r="F10" s="68" t="s">
        <v>69</v>
      </c>
      <c r="G10" s="76" t="s">
        <v>83</v>
      </c>
      <c r="H10" s="30">
        <v>0.1</v>
      </c>
      <c r="I10" s="71" t="s">
        <v>69</v>
      </c>
      <c r="J10" s="76" t="s">
        <v>83</v>
      </c>
      <c r="K10" s="30">
        <v>0.1</v>
      </c>
      <c r="L10" s="71" t="s">
        <v>69</v>
      </c>
      <c r="M10" s="76" t="s">
        <v>82</v>
      </c>
      <c r="N10" s="52">
        <v>0.5</v>
      </c>
      <c r="O10" s="71" t="s">
        <v>69</v>
      </c>
    </row>
    <row r="11" spans="1:26" ht="18" x14ac:dyDescent="0.25">
      <c r="A11" s="51"/>
      <c r="B11" s="51"/>
      <c r="C11" s="58"/>
      <c r="D11" s="51"/>
      <c r="F11" s="53"/>
      <c r="G11" s="76" t="s">
        <v>82</v>
      </c>
      <c r="H11" s="52">
        <v>0.5</v>
      </c>
      <c r="I11" s="71" t="s">
        <v>69</v>
      </c>
      <c r="J11" s="76" t="s">
        <v>82</v>
      </c>
      <c r="K11" s="52">
        <v>0.5</v>
      </c>
      <c r="L11" s="71" t="s">
        <v>69</v>
      </c>
      <c r="M11" s="76"/>
      <c r="N11" s="51"/>
      <c r="O11" s="53"/>
    </row>
    <row r="12" spans="1:26" x14ac:dyDescent="0.2">
      <c r="B12" s="51"/>
      <c r="C12" s="58"/>
      <c r="D12" s="51"/>
      <c r="F12" s="53"/>
      <c r="G12" s="51"/>
      <c r="H12" s="51"/>
      <c r="I12" s="58"/>
      <c r="K12" s="51"/>
      <c r="L12" s="53"/>
      <c r="N12" s="51"/>
      <c r="O12" s="53"/>
    </row>
    <row r="13" spans="1:26" x14ac:dyDescent="0.2">
      <c r="A13" s="51"/>
      <c r="B13" s="51"/>
      <c r="C13" s="58"/>
      <c r="D13" s="51"/>
      <c r="F13" s="53"/>
      <c r="G13" s="51"/>
      <c r="H13" s="51"/>
      <c r="I13" s="58"/>
      <c r="J13" s="7"/>
      <c r="K13" s="51"/>
      <c r="L13" s="53"/>
      <c r="M13" s="7"/>
      <c r="N13" s="51"/>
      <c r="O13" s="53"/>
    </row>
    <row r="14" spans="1:26" ht="16" thickBot="1" x14ac:dyDescent="0.25">
      <c r="A14" s="61" t="s">
        <v>88</v>
      </c>
      <c r="B14" s="63" t="s">
        <v>17</v>
      </c>
      <c r="C14" s="69"/>
      <c r="D14" s="61" t="s">
        <v>88</v>
      </c>
      <c r="E14" s="63" t="s">
        <v>17</v>
      </c>
      <c r="F14" s="70"/>
      <c r="G14" s="61" t="s">
        <v>88</v>
      </c>
      <c r="H14" s="63" t="s">
        <v>17</v>
      </c>
      <c r="I14" s="62"/>
      <c r="J14" s="61" t="s">
        <v>88</v>
      </c>
      <c r="K14" s="63" t="s">
        <v>17</v>
      </c>
      <c r="L14" s="70"/>
      <c r="M14" s="61" t="s">
        <v>88</v>
      </c>
      <c r="N14" s="63" t="s">
        <v>17</v>
      </c>
      <c r="O14" s="96" t="s">
        <v>23</v>
      </c>
    </row>
    <row r="15" spans="1:26" x14ac:dyDescent="0.2">
      <c r="A15">
        <v>1E-3</v>
      </c>
      <c r="B15" s="74">
        <f>$B$9+($B$10-$B$9)/(1+(A15/$B$7)^$B$8)</f>
        <v>0.49999999999555556</v>
      </c>
      <c r="C15" s="58"/>
      <c r="D15">
        <v>1E-3</v>
      </c>
      <c r="E15" s="74">
        <f t="shared" ref="E15:E78" si="0">IF(D15&lt;$E$7,$E$10,$E$9+($E$10-$E$9)*($E$7/D15)^$E$8)</f>
        <v>0.5</v>
      </c>
      <c r="F15" s="53"/>
      <c r="G15">
        <v>1E-3</v>
      </c>
      <c r="H15" s="57">
        <f t="shared" ref="H15:H78" si="1">H$10+((H$11-H$10)/(1+((G15/H$7)^H$8))^(1-1/$H$8))</f>
        <v>0.49999999998</v>
      </c>
      <c r="I15" s="59"/>
      <c r="J15">
        <v>1E-3</v>
      </c>
      <c r="K15" s="57">
        <f>$K$10+($K$11-$K$10)/((LN(EXP(1)+(J15/$K$7)^$K$8))^$K$9)</f>
        <v>0.49999999998528488</v>
      </c>
      <c r="L15" s="53"/>
      <c r="M15">
        <v>1E-3</v>
      </c>
      <c r="N15" s="57">
        <f t="shared" ref="N15:N46" si="2">O15*($N$10/((LN(EXP(1)+(M15/$N$7)^$N$8))^$N$9))</f>
        <v>0.4999998684270644</v>
      </c>
      <c r="O15" s="97">
        <f t="shared" ref="O15:O46" si="3">1-((LN(1+(M15/IF($N$7&lt;=10,100,500)))/(LN(1+(1000000/IF($N$7&lt;=10,100,500))))))</f>
        <v>0.9999997368909167</v>
      </c>
    </row>
    <row r="16" spans="1:26" x14ac:dyDescent="0.2">
      <c r="A16">
        <v>0.01</v>
      </c>
      <c r="B16" s="74">
        <f t="shared" ref="B16:B34" si="4">$B$9+($B$10-$B$9)/(1+(A16/$B$7)^$B$8)</f>
        <v>0.49999999955555552</v>
      </c>
      <c r="C16" s="55"/>
      <c r="D16">
        <v>0.01</v>
      </c>
      <c r="E16" s="74">
        <f t="shared" si="0"/>
        <v>0.5</v>
      </c>
      <c r="F16" s="53"/>
      <c r="G16">
        <v>0.01</v>
      </c>
      <c r="H16" s="57">
        <f t="shared" si="1"/>
        <v>0.49999999800000006</v>
      </c>
      <c r="I16" s="53"/>
      <c r="J16">
        <v>0.01</v>
      </c>
      <c r="K16" s="57">
        <f t="shared" ref="K16:K79" si="5">$K$10+($K$11-$K$10)/((LN(EXP(1)+(J16/$K$7)^$K$8))^$K$9)</f>
        <v>0.49999999852848231</v>
      </c>
      <c r="L16" s="53"/>
      <c r="M16">
        <v>0.01</v>
      </c>
      <c r="N16" s="57">
        <f t="shared" si="2"/>
        <v>0.4999986826270309</v>
      </c>
      <c r="O16" s="97">
        <f t="shared" si="3"/>
        <v>0.99999736893284652</v>
      </c>
    </row>
    <row r="17" spans="1:31" x14ac:dyDescent="0.2">
      <c r="A17">
        <v>0.1</v>
      </c>
      <c r="B17" s="74">
        <f t="shared" si="4"/>
        <v>0.49999995555556054</v>
      </c>
      <c r="C17" s="53"/>
      <c r="D17">
        <v>0.1</v>
      </c>
      <c r="E17" s="74">
        <f t="shared" si="0"/>
        <v>0.5</v>
      </c>
      <c r="F17" s="53"/>
      <c r="G17">
        <v>0.1</v>
      </c>
      <c r="H17" s="57">
        <f t="shared" si="1"/>
        <v>0.49999980000014999</v>
      </c>
      <c r="I17" s="60"/>
      <c r="J17">
        <v>0.1</v>
      </c>
      <c r="K17" s="57">
        <f t="shared" si="5"/>
        <v>0.49999985284830484</v>
      </c>
      <c r="L17" s="53"/>
      <c r="M17">
        <v>0.1</v>
      </c>
      <c r="N17" s="57">
        <f t="shared" si="2"/>
        <v>0.49998666191327129</v>
      </c>
      <c r="O17" s="97">
        <f t="shared" si="3"/>
        <v>0.9999736916961024</v>
      </c>
    </row>
    <row r="18" spans="1:31" ht="15" hidden="1" customHeight="1" x14ac:dyDescent="0.2">
      <c r="A18" s="83">
        <f>A17+0.05</f>
        <v>0.15000000000000002</v>
      </c>
      <c r="B18" s="74">
        <f t="shared" si="4"/>
        <v>0.49999990000002503</v>
      </c>
      <c r="D18" s="83">
        <f>D17+0.05</f>
        <v>0.15000000000000002</v>
      </c>
      <c r="E18" s="74">
        <f t="shared" si="0"/>
        <v>0.5</v>
      </c>
      <c r="G18" s="83">
        <f>G17+0.05</f>
        <v>0.15000000000000002</v>
      </c>
      <c r="H18" s="57">
        <f t="shared" si="1"/>
        <v>0.49999955000075935</v>
      </c>
      <c r="J18" s="83">
        <f>J17+0.05</f>
        <v>0.15000000000000002</v>
      </c>
      <c r="K18" s="57">
        <f t="shared" si="5"/>
        <v>0.49999966890891412</v>
      </c>
      <c r="M18" s="83">
        <f>M17+0.05</f>
        <v>0.15000000000000002</v>
      </c>
      <c r="N18" s="57">
        <f t="shared" si="2"/>
        <v>0.49997985591088184</v>
      </c>
      <c r="O18" s="97">
        <f t="shared" si="3"/>
        <v>0.99996053951681607</v>
      </c>
    </row>
    <row r="19" spans="1:31" ht="15" hidden="1" customHeight="1" x14ac:dyDescent="0.2">
      <c r="A19" s="83">
        <f t="shared" ref="A19:A33" si="6">A18+0.05</f>
        <v>0.2</v>
      </c>
      <c r="B19" s="74">
        <f t="shared" si="4"/>
        <v>0.49999982222230133</v>
      </c>
      <c r="D19" s="83">
        <f t="shared" ref="D19:D33" si="7">D18+0.05</f>
        <v>0.2</v>
      </c>
      <c r="E19" s="74">
        <f t="shared" si="0"/>
        <v>0.5</v>
      </c>
      <c r="G19" s="83">
        <f t="shared" ref="G19:G33" si="8">G18+0.05</f>
        <v>0.2</v>
      </c>
      <c r="H19" s="57">
        <f t="shared" si="1"/>
        <v>0.49999920000240006</v>
      </c>
      <c r="J19" s="83">
        <f t="shared" ref="J19:J33" si="9">J18+0.05</f>
        <v>0.2</v>
      </c>
      <c r="K19" s="57">
        <f t="shared" si="5"/>
        <v>0.49999941139419335</v>
      </c>
      <c r="M19" s="83">
        <f t="shared" ref="M19:M33" si="10">M18+0.05</f>
        <v>0.2</v>
      </c>
      <c r="N19" s="57">
        <f t="shared" si="2"/>
        <v>0.49997295860759466</v>
      </c>
      <c r="O19" s="97">
        <f t="shared" si="3"/>
        <v>0.99994738865228761</v>
      </c>
    </row>
    <row r="20" spans="1:31" ht="15" hidden="1" customHeight="1" x14ac:dyDescent="0.2">
      <c r="A20" s="83">
        <f t="shared" si="6"/>
        <v>0.25</v>
      </c>
      <c r="B20" s="74">
        <f t="shared" si="4"/>
        <v>0.49999972222241518</v>
      </c>
      <c r="D20" s="83">
        <f t="shared" si="7"/>
        <v>0.25</v>
      </c>
      <c r="E20" s="74">
        <f t="shared" si="0"/>
        <v>0.5</v>
      </c>
      <c r="G20" s="83">
        <f t="shared" si="8"/>
        <v>0.25</v>
      </c>
      <c r="H20" s="57">
        <f t="shared" si="1"/>
        <v>0.49999875000585936</v>
      </c>
      <c r="J20" s="83">
        <f t="shared" si="9"/>
        <v>0.25</v>
      </c>
      <c r="K20" s="57">
        <f t="shared" si="5"/>
        <v>0.49999908030456897</v>
      </c>
      <c r="M20" s="83">
        <f t="shared" si="10"/>
        <v>0.25</v>
      </c>
      <c r="N20" s="57">
        <f t="shared" si="2"/>
        <v>0.49996597000743814</v>
      </c>
      <c r="O20" s="97">
        <f t="shared" si="3"/>
        <v>0.99993423910225399</v>
      </c>
    </row>
    <row r="21" spans="1:31" ht="15" hidden="1" customHeight="1" x14ac:dyDescent="0.2">
      <c r="A21" s="83">
        <f t="shared" si="6"/>
        <v>0.3</v>
      </c>
      <c r="B21" s="74">
        <f t="shared" si="4"/>
        <v>0.49999960000040011</v>
      </c>
      <c r="D21" s="83">
        <f t="shared" si="7"/>
        <v>0.3</v>
      </c>
      <c r="E21" s="74">
        <f t="shared" si="0"/>
        <v>0.5</v>
      </c>
      <c r="G21" s="83">
        <f t="shared" si="8"/>
        <v>0.3</v>
      </c>
      <c r="H21" s="57">
        <f t="shared" si="1"/>
        <v>0.49999820001215001</v>
      </c>
      <c r="J21" s="83">
        <f t="shared" si="9"/>
        <v>0.3</v>
      </c>
      <c r="K21" s="57">
        <f t="shared" si="5"/>
        <v>0.49999867564058909</v>
      </c>
      <c r="M21" s="83">
        <f t="shared" si="10"/>
        <v>0.3</v>
      </c>
      <c r="N21" s="57">
        <f t="shared" si="2"/>
        <v>0.49995889011459266</v>
      </c>
      <c r="O21" s="97">
        <f t="shared" si="3"/>
        <v>0.99992109086645253</v>
      </c>
    </row>
    <row r="22" spans="1:31" ht="15" hidden="1" customHeight="1" x14ac:dyDescent="0.2">
      <c r="A22" s="83">
        <f t="shared" si="6"/>
        <v>0.35</v>
      </c>
      <c r="B22" s="74">
        <f t="shared" si="4"/>
        <v>0.49999945555629666</v>
      </c>
      <c r="D22" s="83">
        <f t="shared" si="7"/>
        <v>0.35</v>
      </c>
      <c r="E22" s="74">
        <f t="shared" si="0"/>
        <v>0.5</v>
      </c>
      <c r="G22" s="83">
        <f t="shared" si="8"/>
        <v>0.35</v>
      </c>
      <c r="H22" s="57">
        <f t="shared" si="1"/>
        <v>0.49999755002250923</v>
      </c>
      <c r="J22" s="83">
        <f t="shared" si="9"/>
        <v>0.35</v>
      </c>
      <c r="K22" s="57">
        <f t="shared" si="5"/>
        <v>0.49999819740292339</v>
      </c>
      <c r="M22" s="83">
        <f t="shared" si="10"/>
        <v>0.35</v>
      </c>
      <c r="N22" s="57">
        <f t="shared" si="2"/>
        <v>0.49995171893338952</v>
      </c>
      <c r="O22" s="97">
        <f t="shared" si="3"/>
        <v>0.99990794394462068</v>
      </c>
    </row>
    <row r="23" spans="1:31" ht="15" hidden="1" customHeight="1" x14ac:dyDescent="0.2">
      <c r="A23" s="83">
        <f t="shared" si="6"/>
        <v>0.39999999999999997</v>
      </c>
      <c r="B23" s="74">
        <f t="shared" si="4"/>
        <v>0.4999992888901531</v>
      </c>
      <c r="D23" s="83">
        <f t="shared" si="7"/>
        <v>0.39999999999999997</v>
      </c>
      <c r="E23" s="74">
        <f t="shared" si="0"/>
        <v>0.5</v>
      </c>
      <c r="G23" s="83">
        <f t="shared" si="8"/>
        <v>0.39999999999999997</v>
      </c>
      <c r="H23" s="57">
        <f t="shared" si="1"/>
        <v>0.49999680003839952</v>
      </c>
      <c r="J23" s="83">
        <f t="shared" si="9"/>
        <v>0.39999999999999997</v>
      </c>
      <c r="K23" s="57">
        <f t="shared" si="5"/>
        <v>0.49999764559236393</v>
      </c>
      <c r="M23" s="83">
        <f t="shared" si="10"/>
        <v>0.39999999999999997</v>
      </c>
      <c r="N23" s="57">
        <f t="shared" si="2"/>
        <v>0.49994445646831215</v>
      </c>
      <c r="O23" s="97">
        <f t="shared" si="3"/>
        <v>0.99989479833649564</v>
      </c>
    </row>
    <row r="24" spans="1:31" ht="15" hidden="1" customHeight="1" x14ac:dyDescent="0.2">
      <c r="A24" s="83">
        <f t="shared" si="6"/>
        <v>0.44999999999999996</v>
      </c>
      <c r="B24" s="74">
        <f t="shared" si="4"/>
        <v>0.49999910000202497</v>
      </c>
      <c r="D24" s="83">
        <f t="shared" si="7"/>
        <v>0.44999999999999996</v>
      </c>
      <c r="E24" s="74">
        <f t="shared" si="0"/>
        <v>0.5</v>
      </c>
      <c r="G24" s="83">
        <f t="shared" si="8"/>
        <v>0.44999999999999996</v>
      </c>
      <c r="H24" s="57">
        <f t="shared" si="1"/>
        <v>0.49999595006150832</v>
      </c>
      <c r="J24" s="83">
        <f t="shared" si="9"/>
        <v>0.44999999999999996</v>
      </c>
      <c r="K24" s="57">
        <f t="shared" si="5"/>
        <v>0.49999702020982373</v>
      </c>
      <c r="M24" s="83">
        <f t="shared" si="10"/>
        <v>0.44999999999999996</v>
      </c>
      <c r="N24" s="57">
        <f t="shared" si="2"/>
        <v>0.49993710272399472</v>
      </c>
      <c r="O24" s="97">
        <f t="shared" si="3"/>
        <v>0.99988165404181495</v>
      </c>
    </row>
    <row r="25" spans="1:31" ht="15" hidden="1" customHeight="1" x14ac:dyDescent="0.2">
      <c r="A25" s="83">
        <f t="shared" si="6"/>
        <v>0.49999999999999994</v>
      </c>
      <c r="B25" s="74">
        <f t="shared" si="4"/>
        <v>0.4999988888919753</v>
      </c>
      <c r="D25" s="83">
        <f t="shared" si="7"/>
        <v>0.49999999999999994</v>
      </c>
      <c r="E25" s="74">
        <f t="shared" si="0"/>
        <v>0.5</v>
      </c>
      <c r="G25" s="83">
        <f t="shared" si="8"/>
        <v>0.49999999999999994</v>
      </c>
      <c r="H25" s="57">
        <f t="shared" si="1"/>
        <v>0.49999500009374809</v>
      </c>
      <c r="J25" s="83">
        <f t="shared" si="9"/>
        <v>0.49999999999999994</v>
      </c>
      <c r="K25" s="57">
        <f t="shared" si="5"/>
        <v>0.49999632125633831</v>
      </c>
      <c r="M25" s="83">
        <f t="shared" si="10"/>
        <v>0.49999999999999994</v>
      </c>
      <c r="N25" s="57">
        <f t="shared" si="2"/>
        <v>0.49992965770522368</v>
      </c>
      <c r="O25" s="97">
        <f t="shared" si="3"/>
        <v>0.99986851106031638</v>
      </c>
    </row>
    <row r="26" spans="1:31" ht="15" hidden="1" customHeight="1" x14ac:dyDescent="0.2">
      <c r="A26" s="83">
        <f t="shared" si="6"/>
        <v>0.54999999999999993</v>
      </c>
      <c r="B26" s="74">
        <f t="shared" si="4"/>
        <v>0.49999865556007439</v>
      </c>
      <c r="D26" s="83">
        <f t="shared" si="7"/>
        <v>0.54999999999999993</v>
      </c>
      <c r="E26" s="74">
        <f t="shared" si="0"/>
        <v>0.5</v>
      </c>
      <c r="G26" s="83">
        <f t="shared" si="8"/>
        <v>0.54999999999999993</v>
      </c>
      <c r="H26" s="57">
        <f t="shared" si="1"/>
        <v>0.499993950137256</v>
      </c>
      <c r="J26" s="83">
        <f t="shared" si="9"/>
        <v>0.54999999999999993</v>
      </c>
      <c r="K26" s="57">
        <f t="shared" si="5"/>
        <v>0.49999554873306473</v>
      </c>
      <c r="M26" s="83">
        <f t="shared" si="10"/>
        <v>0.54999999999999993</v>
      </c>
      <c r="N26" s="57">
        <f t="shared" si="2"/>
        <v>0.49992212141693637</v>
      </c>
      <c r="O26" s="97">
        <f t="shared" si="3"/>
        <v>0.99985536939173725</v>
      </c>
    </row>
    <row r="27" spans="1:31" ht="15" hidden="1" customHeight="1" x14ac:dyDescent="0.2">
      <c r="A27" s="83">
        <f t="shared" si="6"/>
        <v>0.6</v>
      </c>
      <c r="B27" s="74">
        <f t="shared" si="4"/>
        <v>0.49999840000640006</v>
      </c>
      <c r="D27" s="83">
        <f t="shared" si="7"/>
        <v>0.6</v>
      </c>
      <c r="E27" s="74">
        <f t="shared" si="0"/>
        <v>0.5</v>
      </c>
      <c r="G27" s="83">
        <f t="shared" si="8"/>
        <v>0.6</v>
      </c>
      <c r="H27" s="57">
        <f t="shared" si="1"/>
        <v>0.49999280019439429</v>
      </c>
      <c r="J27" s="83">
        <f t="shared" si="9"/>
        <v>0.6</v>
      </c>
      <c r="K27" s="57">
        <f t="shared" si="5"/>
        <v>0.49999470264128176</v>
      </c>
      <c r="M27" s="83">
        <f t="shared" si="10"/>
        <v>0.6</v>
      </c>
      <c r="N27" s="57">
        <f t="shared" si="2"/>
        <v>0.49991449386422165</v>
      </c>
      <c r="O27" s="97">
        <f t="shared" si="3"/>
        <v>0.99984222903581543</v>
      </c>
    </row>
    <row r="28" spans="1:31" ht="18.75" hidden="1" customHeight="1" x14ac:dyDescent="0.25">
      <c r="A28" s="83">
        <f t="shared" si="6"/>
        <v>0.65</v>
      </c>
      <c r="B28" s="74">
        <f t="shared" si="4"/>
        <v>0.49999812223103735</v>
      </c>
      <c r="D28" s="83">
        <f t="shared" si="7"/>
        <v>0.65</v>
      </c>
      <c r="E28" s="74">
        <f t="shared" si="0"/>
        <v>0.5</v>
      </c>
      <c r="G28" s="83">
        <f t="shared" si="8"/>
        <v>0.65</v>
      </c>
      <c r="H28" s="57">
        <f t="shared" si="1"/>
        <v>0.49999155026775</v>
      </c>
      <c r="J28" s="83">
        <f t="shared" si="9"/>
        <v>0.65</v>
      </c>
      <c r="K28" s="57">
        <f t="shared" si="5"/>
        <v>0.49999378298238994</v>
      </c>
      <c r="M28" s="83">
        <f t="shared" si="10"/>
        <v>0.65</v>
      </c>
      <c r="N28" s="57">
        <f t="shared" si="2"/>
        <v>0.4999067750523199</v>
      </c>
      <c r="O28" s="97">
        <f t="shared" si="3"/>
        <v>0.9998290899922887</v>
      </c>
      <c r="AA28" s="116"/>
      <c r="AB28" s="116"/>
      <c r="AC28" s="116"/>
      <c r="AD28" s="116"/>
      <c r="AE28" s="116"/>
    </row>
    <row r="29" spans="1:31" ht="18.75" hidden="1" customHeight="1" x14ac:dyDescent="0.25">
      <c r="A29" s="83">
        <f t="shared" si="6"/>
        <v>0.70000000000000007</v>
      </c>
      <c r="B29" s="74">
        <f t="shared" si="4"/>
        <v>0.49999782223407896</v>
      </c>
      <c r="D29" s="83">
        <f t="shared" si="7"/>
        <v>0.70000000000000007</v>
      </c>
      <c r="E29" s="74">
        <f t="shared" si="0"/>
        <v>0.5</v>
      </c>
      <c r="G29" s="83">
        <f t="shared" si="8"/>
        <v>0.70000000000000007</v>
      </c>
      <c r="H29" s="57">
        <f t="shared" si="1"/>
        <v>0.49999020036013531</v>
      </c>
      <c r="J29" s="83">
        <f t="shared" si="9"/>
        <v>0.70000000000000007</v>
      </c>
      <c r="K29" s="57">
        <f t="shared" si="5"/>
        <v>0.49999278975791162</v>
      </c>
      <c r="M29" s="83">
        <f t="shared" si="10"/>
        <v>0.70000000000000007</v>
      </c>
      <c r="N29" s="57">
        <f t="shared" si="2"/>
        <v>0.4998989649866229</v>
      </c>
      <c r="O29" s="97">
        <f t="shared" si="3"/>
        <v>0.99981595226089504</v>
      </c>
      <c r="AA29" s="116" t="s">
        <v>70</v>
      </c>
      <c r="AB29" s="116"/>
      <c r="AC29" s="116"/>
      <c r="AD29" s="116"/>
      <c r="AE29" s="116"/>
    </row>
    <row r="30" spans="1:31" ht="15" hidden="1" customHeight="1" x14ac:dyDescent="0.2">
      <c r="A30" s="83">
        <f t="shared" si="6"/>
        <v>0.75000000000000011</v>
      </c>
      <c r="B30" s="74">
        <f t="shared" si="4"/>
        <v>0.49999750001562493</v>
      </c>
      <c r="D30" s="83">
        <f t="shared" si="7"/>
        <v>0.75000000000000011</v>
      </c>
      <c r="E30" s="74">
        <f t="shared" si="0"/>
        <v>0.5</v>
      </c>
      <c r="G30" s="83">
        <f t="shared" si="8"/>
        <v>0.75000000000000011</v>
      </c>
      <c r="H30" s="57">
        <f t="shared" si="1"/>
        <v>0.49998875047458713</v>
      </c>
      <c r="J30" s="83">
        <f t="shared" si="9"/>
        <v>0.75000000000000011</v>
      </c>
      <c r="K30" s="57">
        <f t="shared" si="5"/>
        <v>0.49999172296949101</v>
      </c>
      <c r="M30" s="83">
        <f t="shared" si="10"/>
        <v>0.75000000000000011</v>
      </c>
      <c r="N30" s="57">
        <f t="shared" si="2"/>
        <v>0.49989106367267394</v>
      </c>
      <c r="O30" s="97">
        <f t="shared" si="3"/>
        <v>0.99980281584137221</v>
      </c>
      <c r="Q30" s="7"/>
      <c r="R30" s="7"/>
      <c r="S30" s="7"/>
      <c r="T30" s="7"/>
      <c r="U30" s="7"/>
      <c r="V30" s="7"/>
      <c r="W30" s="7"/>
      <c r="X30" s="7"/>
      <c r="Y30" s="7"/>
      <c r="AA30" s="84"/>
      <c r="AB30" s="117" t="s">
        <v>20</v>
      </c>
      <c r="AC30" s="117"/>
      <c r="AD30" s="117"/>
      <c r="AE30" s="117"/>
    </row>
    <row r="31" spans="1:31" ht="15" hidden="1" customHeight="1" x14ac:dyDescent="0.2">
      <c r="A31" s="83">
        <f>A30+0.05</f>
        <v>0.80000000000000016</v>
      </c>
      <c r="B31" s="74">
        <f t="shared" si="4"/>
        <v>0.49999715557578261</v>
      </c>
      <c r="D31" s="83">
        <f>D30+0.05</f>
        <v>0.80000000000000016</v>
      </c>
      <c r="E31" s="74">
        <f t="shared" si="0"/>
        <v>0.5</v>
      </c>
      <c r="G31" s="83">
        <f>G30+0.05</f>
        <v>0.80000000000000016</v>
      </c>
      <c r="H31" s="57">
        <f t="shared" si="1"/>
        <v>0.49998720061436719</v>
      </c>
      <c r="J31" s="83">
        <f>J30+0.05</f>
        <v>0.80000000000000016</v>
      </c>
      <c r="K31" s="57">
        <f t="shared" si="5"/>
        <v>0.49999058261889384</v>
      </c>
      <c r="M31" s="83">
        <f>M30+0.05</f>
        <v>0.80000000000000016</v>
      </c>
      <c r="N31" s="57">
        <f t="shared" si="2"/>
        <v>0.49988307111616742</v>
      </c>
      <c r="O31" s="97">
        <f t="shared" si="3"/>
        <v>0.99978968073345842</v>
      </c>
      <c r="Q31" s="7"/>
      <c r="R31" s="7"/>
      <c r="S31" s="7"/>
      <c r="T31" s="7"/>
      <c r="U31" s="7"/>
      <c r="V31" s="7"/>
      <c r="W31" s="7"/>
      <c r="X31" s="7"/>
      <c r="Y31" s="7"/>
      <c r="AA31" s="84"/>
      <c r="AB31" s="117"/>
      <c r="AC31" s="117"/>
      <c r="AD31" s="117"/>
      <c r="AE31" s="117"/>
    </row>
    <row r="32" spans="1:31" ht="15" hidden="1" customHeight="1" x14ac:dyDescent="0.2">
      <c r="A32" s="83">
        <f t="shared" si="6"/>
        <v>0.8500000000000002</v>
      </c>
      <c r="B32" s="74">
        <f t="shared" si="4"/>
        <v>0.49999678891466681</v>
      </c>
      <c r="D32" s="83">
        <f t="shared" si="7"/>
        <v>0.8500000000000002</v>
      </c>
      <c r="E32" s="74">
        <f t="shared" si="0"/>
        <v>0.5</v>
      </c>
      <c r="G32" s="83">
        <f t="shared" si="8"/>
        <v>0.8500000000000002</v>
      </c>
      <c r="H32" s="57">
        <f t="shared" si="1"/>
        <v>0.49998555078296225</v>
      </c>
      <c r="J32" s="83">
        <f t="shared" si="9"/>
        <v>0.8500000000000002</v>
      </c>
      <c r="K32" s="57">
        <f t="shared" si="5"/>
        <v>0.49998936870800781</v>
      </c>
      <c r="M32" s="83">
        <f t="shared" si="10"/>
        <v>0.8500000000000002</v>
      </c>
      <c r="N32" s="57">
        <f t="shared" si="2"/>
        <v>0.49987498732294899</v>
      </c>
      <c r="O32" s="97">
        <f t="shared" si="3"/>
        <v>0.99977654693689166</v>
      </c>
      <c r="Q32" s="7"/>
      <c r="R32" s="7"/>
      <c r="S32" s="7"/>
      <c r="T32" s="7"/>
      <c r="U32" s="7"/>
      <c r="V32" s="7"/>
      <c r="W32" s="7"/>
      <c r="X32" s="7"/>
      <c r="Y32" s="7"/>
      <c r="AA32" s="124"/>
      <c r="AB32" s="124"/>
      <c r="AC32" s="124"/>
      <c r="AD32" s="124"/>
      <c r="AE32" s="124"/>
    </row>
    <row r="33" spans="1:31" ht="15.75" hidden="1" customHeight="1" x14ac:dyDescent="0.2">
      <c r="A33" s="83">
        <f t="shared" si="6"/>
        <v>0.90000000000000024</v>
      </c>
      <c r="B33" s="74">
        <f t="shared" si="4"/>
        <v>0.49999640003239976</v>
      </c>
      <c r="D33" s="83">
        <f t="shared" si="7"/>
        <v>0.90000000000000024</v>
      </c>
      <c r="E33" s="74">
        <f t="shared" si="0"/>
        <v>0.5</v>
      </c>
      <c r="G33" s="83">
        <f t="shared" si="8"/>
        <v>0.90000000000000024</v>
      </c>
      <c r="H33" s="57">
        <f t="shared" si="1"/>
        <v>0.49998380098408368</v>
      </c>
      <c r="J33" s="83">
        <f t="shared" si="9"/>
        <v>0.90000000000000024</v>
      </c>
      <c r="K33" s="57">
        <f t="shared" si="5"/>
        <v>0.4999880812388422</v>
      </c>
      <c r="M33" s="83">
        <f t="shared" si="10"/>
        <v>0.90000000000000024</v>
      </c>
      <c r="N33" s="57">
        <f t="shared" si="2"/>
        <v>0.49986681229901614</v>
      </c>
      <c r="O33" s="97">
        <f t="shared" si="3"/>
        <v>0.99976341445141015</v>
      </c>
      <c r="Q33" s="7"/>
      <c r="R33" s="7"/>
      <c r="S33" s="7"/>
      <c r="T33" s="7"/>
      <c r="U33" s="7"/>
      <c r="V33" s="7"/>
      <c r="W33" s="7"/>
      <c r="X33" s="7"/>
      <c r="Y33" s="7"/>
      <c r="AA33" s="124"/>
      <c r="AB33" s="125"/>
      <c r="AC33" s="125"/>
      <c r="AD33" s="125"/>
      <c r="AE33" s="125"/>
    </row>
    <row r="34" spans="1:31" ht="15.75" hidden="1" customHeight="1" x14ac:dyDescent="0.2">
      <c r="A34" s="83">
        <f>A33+0.05</f>
        <v>0.95000000000000029</v>
      </c>
      <c r="B34" s="74">
        <f t="shared" si="4"/>
        <v>0.49999598892911112</v>
      </c>
      <c r="D34" s="83">
        <f>D33+0.05</f>
        <v>0.95000000000000029</v>
      </c>
      <c r="E34" s="74">
        <f t="shared" si="0"/>
        <v>0.5</v>
      </c>
      <c r="G34" s="83">
        <f>G33+0.05</f>
        <v>0.95000000000000029</v>
      </c>
      <c r="H34" s="57">
        <f t="shared" si="1"/>
        <v>0.49998195122166755</v>
      </c>
      <c r="J34" s="83">
        <f>J33+0.05</f>
        <v>0.95000000000000029</v>
      </c>
      <c r="K34" s="57">
        <f t="shared" si="5"/>
        <v>0.49998672021352819</v>
      </c>
      <c r="M34" s="83">
        <f>M33+0.05</f>
        <v>0.95000000000000029</v>
      </c>
      <c r="N34" s="57">
        <f t="shared" si="2"/>
        <v>0.49985854605051727</v>
      </c>
      <c r="O34" s="97">
        <f t="shared" si="3"/>
        <v>0.99975028327675219</v>
      </c>
      <c r="S34" s="7"/>
      <c r="T34" s="7"/>
      <c r="U34" s="7"/>
      <c r="V34" s="7"/>
      <c r="W34" s="7"/>
      <c r="X34" s="7"/>
      <c r="Y34" s="7"/>
      <c r="AA34" s="124"/>
      <c r="AB34" s="125"/>
      <c r="AC34" s="125"/>
      <c r="AD34" s="125"/>
      <c r="AE34" s="125"/>
    </row>
    <row r="35" spans="1:31" x14ac:dyDescent="0.2">
      <c r="A35">
        <v>1</v>
      </c>
      <c r="B35" s="74">
        <f>$B$9+($B$10-$B$9)/(1+(A35/$B$7)^$B$8)</f>
        <v>0.49999555560493769</v>
      </c>
      <c r="C35" s="53"/>
      <c r="D35">
        <v>1</v>
      </c>
      <c r="E35" s="74">
        <f t="shared" si="0"/>
        <v>0.5</v>
      </c>
      <c r="F35" s="53"/>
      <c r="G35">
        <v>1</v>
      </c>
      <c r="H35" s="57">
        <f t="shared" si="1"/>
        <v>0.49998000149987509</v>
      </c>
      <c r="I35" s="53"/>
      <c r="J35">
        <v>1</v>
      </c>
      <c r="K35" s="57">
        <f t="shared" si="5"/>
        <v>0.49998528563431843</v>
      </c>
      <c r="L35" s="53"/>
      <c r="M35">
        <v>1</v>
      </c>
      <c r="N35" s="57">
        <f t="shared" si="2"/>
        <v>0.49985018858375202</v>
      </c>
      <c r="O35" s="97">
        <f t="shared" si="3"/>
        <v>0.99973715341265612</v>
      </c>
    </row>
    <row r="36" spans="1:31" hidden="1" x14ac:dyDescent="0.2">
      <c r="A36" s="83">
        <f>A35+0.5</f>
        <v>1.5</v>
      </c>
      <c r="B36" s="74">
        <f t="shared" ref="B36:B99" si="11">$B$9+($B$10-$B$9)/(1+(A36/$B$7)^$B$8)</f>
        <v>0.49999000024999385</v>
      </c>
      <c r="D36" s="83">
        <f>D35+0.5</f>
        <v>1.5</v>
      </c>
      <c r="E36" s="74">
        <f t="shared" si="0"/>
        <v>0.5</v>
      </c>
      <c r="G36" s="83">
        <f>G35+0.5</f>
        <v>1.5</v>
      </c>
      <c r="H36" s="57">
        <f t="shared" si="1"/>
        <v>0.49995500759232647</v>
      </c>
      <c r="J36" s="83">
        <f>J35+0.5</f>
        <v>1.5</v>
      </c>
      <c r="K36" s="57">
        <f t="shared" si="5"/>
        <v>0.49996689496057467</v>
      </c>
      <c r="M36" s="83">
        <f>M35+0.5</f>
        <v>1.5</v>
      </c>
      <c r="N36" s="57">
        <f t="shared" si="2"/>
        <v>0.49976159840552453</v>
      </c>
      <c r="O36" s="97">
        <f t="shared" si="3"/>
        <v>0.99960592679509019</v>
      </c>
    </row>
    <row r="37" spans="1:31" hidden="1" x14ac:dyDescent="0.2">
      <c r="A37" s="83">
        <f t="shared" ref="A37:A52" si="12">A36+0.5</f>
        <v>2</v>
      </c>
      <c r="B37" s="74">
        <f t="shared" si="11"/>
        <v>0.49998222301231054</v>
      </c>
      <c r="D37" s="83">
        <f t="shared" ref="D37:D52" si="13">D36+0.5</f>
        <v>2</v>
      </c>
      <c r="E37" s="74">
        <f t="shared" si="0"/>
        <v>0.5</v>
      </c>
      <c r="G37" s="83">
        <f t="shared" ref="G37:G52" si="14">G36+0.5</f>
        <v>2</v>
      </c>
      <c r="H37" s="57">
        <f t="shared" si="1"/>
        <v>0.49992002399200286</v>
      </c>
      <c r="J37" s="83">
        <f t="shared" ref="J37:J52" si="15">J36+0.5</f>
        <v>2</v>
      </c>
      <c r="K37" s="57">
        <f t="shared" si="5"/>
        <v>0.49994115227862657</v>
      </c>
      <c r="M37" s="83">
        <f t="shared" ref="M37:M52" si="16">M36+0.5</f>
        <v>2</v>
      </c>
      <c r="N37" s="57">
        <f t="shared" si="2"/>
        <v>0.49966389445277193</v>
      </c>
      <c r="O37" s="97">
        <f t="shared" si="3"/>
        <v>0.99947483094647216</v>
      </c>
    </row>
    <row r="38" spans="1:31" hidden="1" x14ac:dyDescent="0.2">
      <c r="A38" s="83">
        <f t="shared" si="12"/>
        <v>2.5</v>
      </c>
      <c r="B38" s="74">
        <f t="shared" si="11"/>
        <v>0.49997222415110065</v>
      </c>
      <c r="D38" s="83">
        <f t="shared" si="13"/>
        <v>2.5</v>
      </c>
      <c r="E38" s="74">
        <f t="shared" si="0"/>
        <v>0.5</v>
      </c>
      <c r="G38" s="83">
        <f t="shared" si="14"/>
        <v>2.5</v>
      </c>
      <c r="H38" s="57">
        <f t="shared" si="1"/>
        <v>0.4998750585632491</v>
      </c>
      <c r="J38" s="83">
        <f t="shared" si="15"/>
        <v>2.5</v>
      </c>
      <c r="K38" s="57">
        <f t="shared" si="5"/>
        <v>0.49990806184757364</v>
      </c>
      <c r="M38" s="83">
        <f t="shared" si="16"/>
        <v>2.5</v>
      </c>
      <c r="N38" s="57">
        <f t="shared" si="2"/>
        <v>0.49955708551741473</v>
      </c>
      <c r="O38" s="97">
        <f t="shared" si="3"/>
        <v>0.99934386560643584</v>
      </c>
    </row>
    <row r="39" spans="1:31" hidden="1" x14ac:dyDescent="0.2">
      <c r="A39" s="83">
        <f t="shared" si="12"/>
        <v>3</v>
      </c>
      <c r="B39" s="74">
        <f t="shared" si="11"/>
        <v>0.49996000399960006</v>
      </c>
      <c r="D39" s="83">
        <f t="shared" si="13"/>
        <v>3</v>
      </c>
      <c r="E39" s="74">
        <f t="shared" si="0"/>
        <v>0.5</v>
      </c>
      <c r="G39" s="83">
        <f t="shared" si="14"/>
        <v>3</v>
      </c>
      <c r="H39" s="57">
        <f t="shared" si="1"/>
        <v>0.49982012140894672</v>
      </c>
      <c r="J39" s="83">
        <f t="shared" si="15"/>
        <v>3</v>
      </c>
      <c r="K39" s="57">
        <f t="shared" si="5"/>
        <v>0.4998676291402685</v>
      </c>
      <c r="M39" s="83">
        <f t="shared" si="16"/>
        <v>3</v>
      </c>
      <c r="N39" s="57">
        <f t="shared" si="2"/>
        <v>0.4994411818978155</v>
      </c>
      <c r="O39" s="97">
        <f t="shared" si="3"/>
        <v>0.99921303051539168</v>
      </c>
    </row>
    <row r="40" spans="1:31" hidden="1" x14ac:dyDescent="0.2">
      <c r="A40" s="83">
        <f t="shared" si="12"/>
        <v>3.5</v>
      </c>
      <c r="B40" s="74">
        <f t="shared" si="11"/>
        <v>0.49994556296504089</v>
      </c>
      <c r="D40" s="83">
        <f t="shared" si="13"/>
        <v>3.5</v>
      </c>
      <c r="E40" s="74">
        <f t="shared" si="0"/>
        <v>0.5</v>
      </c>
      <c r="G40" s="83">
        <f t="shared" si="14"/>
        <v>3.5</v>
      </c>
      <c r="H40" s="57">
        <f t="shared" si="1"/>
        <v>0.49975522486421287</v>
      </c>
      <c r="J40" s="83">
        <f t="shared" si="15"/>
        <v>3.5</v>
      </c>
      <c r="K40" s="57">
        <f t="shared" si="5"/>
        <v>0.49981986084097174</v>
      </c>
      <c r="M40" s="83">
        <f t="shared" si="16"/>
        <v>3.5</v>
      </c>
      <c r="N40" s="57">
        <f t="shared" si="2"/>
        <v>0.49931619539488675</v>
      </c>
      <c r="O40" s="97">
        <f t="shared" si="3"/>
        <v>0.99908232541452402</v>
      </c>
    </row>
    <row r="41" spans="1:31" hidden="1" x14ac:dyDescent="0.2">
      <c r="A41" s="83">
        <f t="shared" si="12"/>
        <v>4</v>
      </c>
      <c r="B41" s="74">
        <f t="shared" si="11"/>
        <v>0.49992890152861713</v>
      </c>
      <c r="D41" s="83">
        <f t="shared" si="13"/>
        <v>4</v>
      </c>
      <c r="E41" s="74">
        <f t="shared" si="0"/>
        <v>0.5</v>
      </c>
      <c r="G41" s="83">
        <f t="shared" si="14"/>
        <v>4</v>
      </c>
      <c r="H41" s="57">
        <f t="shared" si="1"/>
        <v>0.4996803834887158</v>
      </c>
      <c r="J41" s="83">
        <f t="shared" si="15"/>
        <v>4</v>
      </c>
      <c r="K41" s="57">
        <f t="shared" si="5"/>
        <v>0.49976476484248866</v>
      </c>
      <c r="M41" s="83">
        <f t="shared" si="16"/>
        <v>4</v>
      </c>
      <c r="N41" s="57">
        <f t="shared" si="2"/>
        <v>0.49918213930755845</v>
      </c>
      <c r="O41" s="97">
        <f t="shared" si="3"/>
        <v>0.99895175004578762</v>
      </c>
    </row>
    <row r="42" spans="1:31" hidden="1" x14ac:dyDescent="0.2">
      <c r="A42" s="83">
        <f t="shared" si="12"/>
        <v>4.5</v>
      </c>
      <c r="B42" s="74">
        <f t="shared" si="11"/>
        <v>0.49991002024544484</v>
      </c>
      <c r="D42" s="83">
        <f t="shared" si="13"/>
        <v>4.5</v>
      </c>
      <c r="E42" s="74">
        <f t="shared" si="0"/>
        <v>0.5</v>
      </c>
      <c r="G42" s="83">
        <f t="shared" si="14"/>
        <v>4.5</v>
      </c>
      <c r="H42" s="57">
        <f t="shared" si="1"/>
        <v>0.4995956140576151</v>
      </c>
      <c r="J42" s="83">
        <f t="shared" si="15"/>
        <v>4.5</v>
      </c>
      <c r="K42" s="57">
        <f t="shared" si="5"/>
        <v>0.49970235024279097</v>
      </c>
      <c r="M42" s="83">
        <f t="shared" si="16"/>
        <v>4.5</v>
      </c>
      <c r="N42" s="57">
        <f t="shared" si="2"/>
        <v>0.49903902842760761</v>
      </c>
      <c r="O42" s="97">
        <f t="shared" si="3"/>
        <v>0.99882130415190518</v>
      </c>
    </row>
    <row r="43" spans="1:31" hidden="1" x14ac:dyDescent="0.2">
      <c r="A43" s="83">
        <f t="shared" si="12"/>
        <v>5</v>
      </c>
      <c r="B43" s="74">
        <f t="shared" si="11"/>
        <v>0.49988891974451544</v>
      </c>
      <c r="D43" s="83">
        <f t="shared" si="13"/>
        <v>5</v>
      </c>
      <c r="E43" s="74">
        <f t="shared" si="0"/>
        <v>0.5</v>
      </c>
      <c r="G43" s="83">
        <f t="shared" si="14"/>
        <v>5</v>
      </c>
      <c r="H43" s="57">
        <f t="shared" si="1"/>
        <v>0.49950093555113784</v>
      </c>
      <c r="J43" s="83">
        <f t="shared" si="15"/>
        <v>5</v>
      </c>
      <c r="K43" s="57">
        <f t="shared" si="5"/>
        <v>0.49963262734112712</v>
      </c>
      <c r="M43" s="83">
        <f t="shared" si="16"/>
        <v>5</v>
      </c>
      <c r="N43" s="57">
        <f t="shared" si="2"/>
        <v>0.49888687903385492</v>
      </c>
      <c r="O43" s="97">
        <f t="shared" si="3"/>
        <v>0.99869098747636376</v>
      </c>
    </row>
    <row r="44" spans="1:31" hidden="1" x14ac:dyDescent="0.2">
      <c r="A44" s="83">
        <f t="shared" si="12"/>
        <v>5.5</v>
      </c>
      <c r="B44" s="74">
        <f t="shared" si="11"/>
        <v>0.49986560072864406</v>
      </c>
      <c r="D44" s="83">
        <f t="shared" si="13"/>
        <v>5.5</v>
      </c>
      <c r="E44" s="74">
        <f t="shared" si="0"/>
        <v>0.5</v>
      </c>
      <c r="G44" s="83">
        <f t="shared" si="14"/>
        <v>5.5</v>
      </c>
      <c r="H44" s="57">
        <f t="shared" si="1"/>
        <v>0.49939636914280339</v>
      </c>
      <c r="J44" s="83">
        <f t="shared" si="15"/>
        <v>5.5</v>
      </c>
      <c r="K44" s="57">
        <f t="shared" si="5"/>
        <v>0.49955560763362161</v>
      </c>
      <c r="M44" s="83">
        <f t="shared" si="16"/>
        <v>5.5</v>
      </c>
      <c r="N44" s="57">
        <f t="shared" si="2"/>
        <v>0.49872570888573148</v>
      </c>
      <c r="O44" s="97">
        <f t="shared" si="3"/>
        <v>0.99856079976341194</v>
      </c>
    </row>
    <row r="45" spans="1:31" hidden="1" x14ac:dyDescent="0.2">
      <c r="A45" s="83">
        <f t="shared" si="12"/>
        <v>6</v>
      </c>
      <c r="B45" s="74">
        <f t="shared" si="11"/>
        <v>0.49984006397441028</v>
      </c>
      <c r="D45" s="83">
        <f t="shared" si="13"/>
        <v>6</v>
      </c>
      <c r="E45" s="74">
        <f t="shared" si="0"/>
        <v>0.5</v>
      </c>
      <c r="G45" s="83">
        <f t="shared" si="14"/>
        <v>6</v>
      </c>
      <c r="H45" s="57">
        <f t="shared" si="1"/>
        <v>0.4992819381863115</v>
      </c>
      <c r="J45" s="83">
        <f t="shared" si="15"/>
        <v>6</v>
      </c>
      <c r="K45" s="57">
        <f t="shared" si="5"/>
        <v>0.49947130380837046</v>
      </c>
      <c r="M45" s="83">
        <f t="shared" si="16"/>
        <v>6</v>
      </c>
      <c r="N45" s="57">
        <f t="shared" si="2"/>
        <v>0.49855553721622253</v>
      </c>
      <c r="O45" s="97">
        <f t="shared" si="3"/>
        <v>0.99843074075805682</v>
      </c>
    </row>
    <row r="46" spans="1:31" hidden="1" x14ac:dyDescent="0.2">
      <c r="A46" s="83">
        <f t="shared" si="12"/>
        <v>6.5</v>
      </c>
      <c r="B46" s="74">
        <f t="shared" si="11"/>
        <v>0.49981231033209417</v>
      </c>
      <c r="D46" s="83">
        <f t="shared" si="13"/>
        <v>6.5</v>
      </c>
      <c r="E46" s="74">
        <f t="shared" si="0"/>
        <v>0.5</v>
      </c>
      <c r="G46" s="83">
        <f t="shared" si="14"/>
        <v>6.5</v>
      </c>
      <c r="H46" s="57">
        <f t="shared" si="1"/>
        <v>0.49915766820110852</v>
      </c>
      <c r="J46" s="83">
        <f t="shared" si="15"/>
        <v>6.5</v>
      </c>
      <c r="K46" s="57">
        <f t="shared" si="5"/>
        <v>0.49937972974003353</v>
      </c>
      <c r="M46" s="83">
        <f t="shared" si="16"/>
        <v>6.5</v>
      </c>
      <c r="N46" s="57">
        <f t="shared" si="2"/>
        <v>0.4983763847241916</v>
      </c>
      <c r="O46" s="97">
        <f t="shared" si="3"/>
        <v>0.99830081020606132</v>
      </c>
    </row>
    <row r="47" spans="1:31" hidden="1" x14ac:dyDescent="0.2">
      <c r="A47" s="83">
        <f t="shared" si="12"/>
        <v>7</v>
      </c>
      <c r="B47" s="74">
        <f t="shared" si="11"/>
        <v>0.49978234072560501</v>
      </c>
      <c r="D47" s="83">
        <f t="shared" si="13"/>
        <v>7</v>
      </c>
      <c r="E47" s="74">
        <f t="shared" si="0"/>
        <v>0.5</v>
      </c>
      <c r="G47" s="83">
        <f t="shared" si="14"/>
        <v>7</v>
      </c>
      <c r="H47" s="57">
        <f t="shared" si="1"/>
        <v>0.49902358685665071</v>
      </c>
      <c r="J47" s="83">
        <f t="shared" si="15"/>
        <v>7</v>
      </c>
      <c r="K47" s="57">
        <f t="shared" si="5"/>
        <v>0.49928090048393081</v>
      </c>
      <c r="M47" s="83">
        <f t="shared" si="16"/>
        <v>7</v>
      </c>
      <c r="N47" s="57">
        <f t="shared" ref="N47:N78" si="17">O47*($N$10/((LN(EXP(1)+(M47/$N$7)^$N$8))^$N$9))</f>
        <v>0.49818827356609263</v>
      </c>
      <c r="O47" s="97">
        <f t="shared" ref="O47:O78" si="18">1-((LN(1+(M47/IF($N$7&lt;=10,100,500)))/(LN(1+(1000000/IF($N$7&lt;=10,100,500))))))</f>
        <v>0.99817100785394053</v>
      </c>
    </row>
    <row r="48" spans="1:31" hidden="1" x14ac:dyDescent="0.2">
      <c r="A48" s="83">
        <f t="shared" si="12"/>
        <v>7.5</v>
      </c>
      <c r="B48" s="74">
        <f t="shared" si="11"/>
        <v>0.4997501561524047</v>
      </c>
      <c r="D48" s="83">
        <f t="shared" si="13"/>
        <v>7.5</v>
      </c>
      <c r="E48" s="74">
        <f t="shared" si="0"/>
        <v>0.5</v>
      </c>
      <c r="G48" s="83">
        <f t="shared" si="14"/>
        <v>7.5</v>
      </c>
      <c r="H48" s="57">
        <f t="shared" si="1"/>
        <v>0.4988797239553826</v>
      </c>
      <c r="J48" s="83">
        <f t="shared" si="15"/>
        <v>7.5</v>
      </c>
      <c r="K48" s="57">
        <f t="shared" si="5"/>
        <v>0.49917483226964454</v>
      </c>
      <c r="M48" s="83">
        <f t="shared" si="16"/>
        <v>7.5</v>
      </c>
      <c r="N48" s="57">
        <f t="shared" si="17"/>
        <v>0.4979912273470759</v>
      </c>
      <c r="O48" s="97">
        <f t="shared" si="18"/>
        <v>0.99804133344895951</v>
      </c>
    </row>
    <row r="49" spans="1:15" hidden="1" x14ac:dyDescent="0.2">
      <c r="A49" s="83">
        <f t="shared" si="12"/>
        <v>8</v>
      </c>
      <c r="B49" s="74">
        <f t="shared" si="11"/>
        <v>0.49971575768342513</v>
      </c>
      <c r="D49" s="83">
        <f t="shared" si="13"/>
        <v>8</v>
      </c>
      <c r="E49" s="74">
        <f t="shared" si="0"/>
        <v>0.5</v>
      </c>
      <c r="G49" s="83">
        <f t="shared" si="14"/>
        <v>8</v>
      </c>
      <c r="H49" s="57">
        <f t="shared" si="1"/>
        <v>0.49872611141445</v>
      </c>
      <c r="J49" s="83">
        <f t="shared" si="15"/>
        <v>8</v>
      </c>
      <c r="K49" s="57">
        <f t="shared" si="5"/>
        <v>0.49906154249413459</v>
      </c>
      <c r="M49" s="83">
        <f t="shared" si="16"/>
        <v>8</v>
      </c>
      <c r="N49" s="57">
        <f t="shared" si="17"/>
        <v>0.49778527111149357</v>
      </c>
      <c r="O49" s="97">
        <f t="shared" si="18"/>
        <v>0.99791178673912939</v>
      </c>
    </row>
    <row r="50" spans="1:15" hidden="1" x14ac:dyDescent="0.2">
      <c r="A50" s="83">
        <f t="shared" si="12"/>
        <v>8.5</v>
      </c>
      <c r="B50" s="74">
        <f t="shared" si="11"/>
        <v>0.4996791464629784</v>
      </c>
      <c r="D50" s="83">
        <f t="shared" si="13"/>
        <v>8.5</v>
      </c>
      <c r="E50" s="74">
        <f t="shared" si="0"/>
        <v>0.5</v>
      </c>
      <c r="G50" s="83">
        <f t="shared" si="14"/>
        <v>8.5</v>
      </c>
      <c r="H50" s="57">
        <f t="shared" si="1"/>
        <v>0.49856278324617187</v>
      </c>
      <c r="J50" s="83">
        <f t="shared" si="15"/>
        <v>8.5</v>
      </c>
      <c r="K50" s="57">
        <f t="shared" si="5"/>
        <v>0.49894104971437214</v>
      </c>
      <c r="M50" s="83">
        <f t="shared" si="16"/>
        <v>8.5</v>
      </c>
      <c r="N50" s="57">
        <f t="shared" si="17"/>
        <v>0.49757043133281509</v>
      </c>
      <c r="O50" s="97">
        <f t="shared" si="18"/>
        <v>0.9977823674732057</v>
      </c>
    </row>
    <row r="51" spans="1:15" hidden="1" x14ac:dyDescent="0.2">
      <c r="A51" s="83">
        <f t="shared" si="12"/>
        <v>9</v>
      </c>
      <c r="B51" s="74">
        <f t="shared" si="11"/>
        <v>0.49964032370866229</v>
      </c>
      <c r="D51" s="83">
        <f t="shared" si="13"/>
        <v>9</v>
      </c>
      <c r="E51" s="74">
        <f t="shared" si="0"/>
        <v>0.5</v>
      </c>
      <c r="G51" s="83">
        <f t="shared" si="14"/>
        <v>9</v>
      </c>
      <c r="H51" s="57">
        <f t="shared" si="1"/>
        <v>0.49838977553729147</v>
      </c>
      <c r="J51" s="83">
        <f t="shared" si="15"/>
        <v>9</v>
      </c>
      <c r="K51" s="57">
        <f t="shared" si="5"/>
        <v>0.49881337363949618</v>
      </c>
      <c r="M51" s="83">
        <f t="shared" si="16"/>
        <v>9</v>
      </c>
      <c r="N51" s="57">
        <f t="shared" si="17"/>
        <v>0.49734673590295686</v>
      </c>
      <c r="O51" s="97">
        <f t="shared" si="18"/>
        <v>0.99765307540068426</v>
      </c>
    </row>
    <row r="52" spans="1:15" hidden="1" x14ac:dyDescent="0.2">
      <c r="A52" s="83">
        <f t="shared" si="12"/>
        <v>9.5</v>
      </c>
      <c r="B52" s="74">
        <f t="shared" si="11"/>
        <v>0.49959929071125908</v>
      </c>
      <c r="D52" s="83">
        <f t="shared" si="13"/>
        <v>9.5</v>
      </c>
      <c r="E52" s="74">
        <f t="shared" si="0"/>
        <v>0.5</v>
      </c>
      <c r="G52" s="83">
        <f t="shared" si="14"/>
        <v>9.5</v>
      </c>
      <c r="H52" s="57">
        <f t="shared" si="1"/>
        <v>0.49820712642703435</v>
      </c>
      <c r="J52" s="83">
        <f t="shared" si="15"/>
        <v>9.5</v>
      </c>
      <c r="K52" s="57">
        <f t="shared" si="5"/>
        <v>0.4986785351225006</v>
      </c>
      <c r="M52" s="83">
        <f t="shared" si="16"/>
        <v>9.5</v>
      </c>
      <c r="N52" s="57">
        <f t="shared" si="17"/>
        <v>0.49711421412103685</v>
      </c>
      <c r="O52" s="97">
        <f t="shared" si="18"/>
        <v>0.99752391027179876</v>
      </c>
    </row>
    <row r="53" spans="1:15" x14ac:dyDescent="0.2">
      <c r="A53">
        <v>10</v>
      </c>
      <c r="B53" s="74">
        <f t="shared" si="11"/>
        <v>0.49955604883462823</v>
      </c>
      <c r="C53" s="53"/>
      <c r="D53">
        <v>10</v>
      </c>
      <c r="E53" s="74">
        <f t="shared" si="0"/>
        <v>0.5</v>
      </c>
      <c r="F53" s="53"/>
      <c r="G53">
        <v>10</v>
      </c>
      <c r="H53" s="57">
        <f t="shared" si="1"/>
        <v>0.49801487608399575</v>
      </c>
      <c r="I53" s="53"/>
      <c r="J53">
        <v>10</v>
      </c>
      <c r="K53" s="57">
        <f t="shared" si="5"/>
        <v>0.49853655615145764</v>
      </c>
      <c r="L53" s="53"/>
      <c r="M53">
        <v>10</v>
      </c>
      <c r="N53" s="57">
        <f t="shared" si="17"/>
        <v>0.49687289668156115</v>
      </c>
      <c r="O53" s="97">
        <f t="shared" si="18"/>
        <v>0.99739487183751807</v>
      </c>
    </row>
    <row r="54" spans="1:15" hidden="1" x14ac:dyDescent="0.2">
      <c r="A54" s="83">
        <f>A53+5</f>
        <v>15</v>
      </c>
      <c r="B54" s="74">
        <f t="shared" si="11"/>
        <v>0.49900249376558603</v>
      </c>
      <c r="D54" s="83">
        <f>D53+5</f>
        <v>15</v>
      </c>
      <c r="E54" s="74">
        <f t="shared" si="0"/>
        <v>0.5</v>
      </c>
      <c r="G54" s="83">
        <f>G53+5</f>
        <v>15</v>
      </c>
      <c r="H54" s="57">
        <f t="shared" si="1"/>
        <v>0.49557454114731903</v>
      </c>
      <c r="J54" s="83">
        <f>J53+5</f>
        <v>15</v>
      </c>
      <c r="K54" s="57">
        <f t="shared" si="5"/>
        <v>0.49672967061892348</v>
      </c>
      <c r="M54" s="83">
        <f>M53+5</f>
        <v>15</v>
      </c>
      <c r="N54" s="57">
        <f t="shared" si="17"/>
        <v>0.4939836852367856</v>
      </c>
      <c r="O54" s="97">
        <f t="shared" si="18"/>
        <v>0.99611140143088306</v>
      </c>
    </row>
    <row r="55" spans="1:15" hidden="1" x14ac:dyDescent="0.2">
      <c r="A55" s="83">
        <f t="shared" ref="A55:A70" si="19">A54+5</f>
        <v>20</v>
      </c>
      <c r="B55" s="74">
        <f t="shared" si="11"/>
        <v>0.49823008849557526</v>
      </c>
      <c r="D55" s="83">
        <f t="shared" ref="D55:D70" si="20">D54+5</f>
        <v>20</v>
      </c>
      <c r="E55" s="74">
        <f t="shared" si="0"/>
        <v>0.5</v>
      </c>
      <c r="G55" s="83">
        <f t="shared" ref="G55:G70" si="21">G54+5</f>
        <v>20</v>
      </c>
      <c r="H55" s="57">
        <f t="shared" si="1"/>
        <v>0.49223227027636807</v>
      </c>
      <c r="J55" s="83">
        <f t="shared" ref="J55:J70" si="22">J54+5</f>
        <v>20</v>
      </c>
      <c r="K55" s="57">
        <f t="shared" si="5"/>
        <v>0.49424094407487151</v>
      </c>
      <c r="M55" s="83">
        <f t="shared" ref="M55:M70" si="23">M54+5</f>
        <v>20</v>
      </c>
      <c r="N55" s="57">
        <f t="shared" si="17"/>
        <v>0.49025848956422308</v>
      </c>
      <c r="O55" s="97">
        <f t="shared" si="18"/>
        <v>0.99484033189838661</v>
      </c>
    </row>
    <row r="56" spans="1:15" hidden="1" x14ac:dyDescent="0.2">
      <c r="A56" s="83">
        <f t="shared" si="19"/>
        <v>25</v>
      </c>
      <c r="B56" s="74">
        <f t="shared" si="11"/>
        <v>0.49724137931034484</v>
      </c>
      <c r="D56" s="83">
        <f t="shared" si="20"/>
        <v>25</v>
      </c>
      <c r="E56" s="74">
        <f t="shared" si="0"/>
        <v>0.5</v>
      </c>
      <c r="G56" s="83">
        <f t="shared" si="21"/>
        <v>25</v>
      </c>
      <c r="H56" s="57">
        <f t="shared" si="1"/>
        <v>0.48805700005813279</v>
      </c>
      <c r="J56" s="83">
        <f t="shared" si="22"/>
        <v>25</v>
      </c>
      <c r="K56" s="57">
        <f t="shared" si="5"/>
        <v>0.49110925688305695</v>
      </c>
      <c r="M56" s="83">
        <f t="shared" si="23"/>
        <v>25</v>
      </c>
      <c r="N56" s="57">
        <f t="shared" si="17"/>
        <v>0.48574861641934608</v>
      </c>
      <c r="O56" s="97">
        <f t="shared" si="18"/>
        <v>0.99358142589723819</v>
      </c>
    </row>
    <row r="57" spans="1:15" hidden="1" x14ac:dyDescent="0.2">
      <c r="A57" s="83">
        <f t="shared" si="19"/>
        <v>30</v>
      </c>
      <c r="B57" s="74">
        <f t="shared" si="11"/>
        <v>0.49603960396039604</v>
      </c>
      <c r="D57" s="83">
        <f t="shared" si="20"/>
        <v>30</v>
      </c>
      <c r="E57" s="74">
        <f t="shared" si="0"/>
        <v>0.5</v>
      </c>
      <c r="G57" s="83">
        <f t="shared" si="21"/>
        <v>30</v>
      </c>
      <c r="H57" s="57">
        <f t="shared" si="1"/>
        <v>0.48313051408846053</v>
      </c>
      <c r="J57" s="83">
        <f t="shared" si="22"/>
        <v>30</v>
      </c>
      <c r="K57" s="57">
        <f t="shared" si="5"/>
        <v>0.48738186948457429</v>
      </c>
      <c r="M57" s="83">
        <f t="shared" si="23"/>
        <v>30</v>
      </c>
      <c r="N57" s="57">
        <f t="shared" si="17"/>
        <v>0.48051546936595313</v>
      </c>
      <c r="O57" s="97">
        <f t="shared" si="18"/>
        <v>0.99233445283393662</v>
      </c>
    </row>
    <row r="58" spans="1:15" hidden="1" x14ac:dyDescent="0.2">
      <c r="A58" s="83">
        <f t="shared" si="19"/>
        <v>35</v>
      </c>
      <c r="B58" s="74">
        <f t="shared" si="11"/>
        <v>0.4946286653877775</v>
      </c>
      <c r="D58" s="83">
        <f t="shared" si="20"/>
        <v>35</v>
      </c>
      <c r="E58" s="74">
        <f t="shared" si="0"/>
        <v>0.5</v>
      </c>
      <c r="G58" s="83">
        <f t="shared" si="21"/>
        <v>35</v>
      </c>
      <c r="H58" s="57">
        <f t="shared" si="1"/>
        <v>0.47754334254640696</v>
      </c>
      <c r="J58" s="83">
        <f t="shared" si="22"/>
        <v>35</v>
      </c>
      <c r="K58" s="57">
        <f t="shared" si="5"/>
        <v>0.48311265983532092</v>
      </c>
      <c r="M58" s="83">
        <f t="shared" si="23"/>
        <v>35</v>
      </c>
      <c r="N58" s="57">
        <f t="shared" si="17"/>
        <v>0.47462830788662352</v>
      </c>
      <c r="O58" s="97">
        <f t="shared" si="18"/>
        <v>0.99109918861076574</v>
      </c>
    </row>
    <row r="59" spans="1:15" hidden="1" x14ac:dyDescent="0.2">
      <c r="A59" s="83">
        <f t="shared" si="19"/>
        <v>40</v>
      </c>
      <c r="B59" s="74">
        <f t="shared" si="11"/>
        <v>0.49301310043668134</v>
      </c>
      <c r="D59" s="83">
        <f t="shared" si="20"/>
        <v>40</v>
      </c>
      <c r="E59" s="74">
        <f t="shared" si="0"/>
        <v>0.5</v>
      </c>
      <c r="G59" s="83">
        <f t="shared" si="21"/>
        <v>40</v>
      </c>
      <c r="H59" s="57">
        <f t="shared" si="1"/>
        <v>0.4713906763541037</v>
      </c>
      <c r="J59" s="83">
        <f t="shared" si="22"/>
        <v>40</v>
      </c>
      <c r="K59" s="57">
        <f t="shared" si="5"/>
        <v>0.47836024257760801</v>
      </c>
      <c r="M59" s="83">
        <f t="shared" si="23"/>
        <v>40</v>
      </c>
      <c r="N59" s="57">
        <f t="shared" si="17"/>
        <v>0.46816187785791469</v>
      </c>
      <c r="O59" s="97">
        <f t="shared" si="18"/>
        <v>0.98987541538408219</v>
      </c>
    </row>
    <row r="60" spans="1:15" hidden="1" x14ac:dyDescent="0.2">
      <c r="A60" s="83">
        <f t="shared" si="19"/>
        <v>45</v>
      </c>
      <c r="B60" s="74">
        <f t="shared" si="11"/>
        <v>0.49119804400977995</v>
      </c>
      <c r="D60" s="83">
        <f t="shared" si="20"/>
        <v>45</v>
      </c>
      <c r="E60" s="74">
        <f t="shared" si="0"/>
        <v>0.5</v>
      </c>
      <c r="G60" s="83">
        <f t="shared" si="21"/>
        <v>45</v>
      </c>
      <c r="H60" s="57">
        <f t="shared" si="1"/>
        <v>0.46476860207004256</v>
      </c>
      <c r="J60" s="83">
        <f t="shared" si="22"/>
        <v>45</v>
      </c>
      <c r="K60" s="57">
        <f t="shared" si="5"/>
        <v>0.47318608358876046</v>
      </c>
      <c r="M60" s="83">
        <f t="shared" si="23"/>
        <v>45</v>
      </c>
      <c r="N60" s="57">
        <f t="shared" si="17"/>
        <v>0.46119405450245243</v>
      </c>
      <c r="O60" s="97">
        <f t="shared" si="18"/>
        <v>0.98866292133374212</v>
      </c>
    </row>
    <row r="61" spans="1:15" hidden="1" x14ac:dyDescent="0.2">
      <c r="A61" s="83">
        <f t="shared" si="19"/>
        <v>50</v>
      </c>
      <c r="B61" s="74">
        <f t="shared" si="11"/>
        <v>0.4891891891891893</v>
      </c>
      <c r="D61" s="83">
        <f t="shared" si="20"/>
        <v>50</v>
      </c>
      <c r="E61" s="74">
        <f t="shared" si="0"/>
        <v>0.5</v>
      </c>
      <c r="G61" s="83">
        <f t="shared" si="21"/>
        <v>50</v>
      </c>
      <c r="H61" s="57">
        <f t="shared" si="1"/>
        <v>0.45777087639996639</v>
      </c>
      <c r="J61" s="83">
        <f t="shared" si="22"/>
        <v>50</v>
      </c>
      <c r="K61" s="57">
        <f t="shared" si="5"/>
        <v>0.46765270997095976</v>
      </c>
      <c r="M61" s="83">
        <f t="shared" si="23"/>
        <v>50</v>
      </c>
      <c r="N61" s="57">
        <f t="shared" si="17"/>
        <v>0.45380362078734982</v>
      </c>
      <c r="O61" s="97">
        <f t="shared" si="18"/>
        <v>0.98746150044305681</v>
      </c>
    </row>
    <row r="62" spans="1:15" hidden="1" x14ac:dyDescent="0.2">
      <c r="A62" s="83">
        <f t="shared" si="19"/>
        <v>55</v>
      </c>
      <c r="B62" s="74">
        <f t="shared" si="11"/>
        <v>0.48699274388605218</v>
      </c>
      <c r="D62" s="83">
        <f t="shared" si="20"/>
        <v>55</v>
      </c>
      <c r="E62" s="74">
        <f t="shared" si="0"/>
        <v>0.5</v>
      </c>
      <c r="G62" s="83">
        <f t="shared" si="21"/>
        <v>55</v>
      </c>
      <c r="H62" s="57">
        <f t="shared" si="1"/>
        <v>0.45048636347065885</v>
      </c>
      <c r="J62" s="83">
        <f t="shared" si="22"/>
        <v>55</v>
      </c>
      <c r="K62" s="57">
        <f t="shared" si="5"/>
        <v>0.46182209506540739</v>
      </c>
      <c r="M62" s="83">
        <f t="shared" si="23"/>
        <v>55</v>
      </c>
      <c r="N62" s="57">
        <f t="shared" si="17"/>
        <v>0.44606827782406744</v>
      </c>
      <c r="O62" s="97">
        <f t="shared" si="18"/>
        <v>0.98627095228870587</v>
      </c>
    </row>
    <row r="63" spans="1:15" hidden="1" x14ac:dyDescent="0.2">
      <c r="A63" s="83">
        <f t="shared" si="19"/>
        <v>60</v>
      </c>
      <c r="B63" s="74">
        <f t="shared" si="11"/>
        <v>0.48461538461538467</v>
      </c>
      <c r="D63" s="83">
        <f t="shared" si="20"/>
        <v>60</v>
      </c>
      <c r="E63" s="74">
        <f t="shared" si="0"/>
        <v>0.5</v>
      </c>
      <c r="G63" s="83">
        <f t="shared" si="21"/>
        <v>60</v>
      </c>
      <c r="H63" s="57">
        <f t="shared" si="1"/>
        <v>0.44299717028501773</v>
      </c>
      <c r="J63" s="83">
        <f t="shared" si="22"/>
        <v>60</v>
      </c>
      <c r="K63" s="57">
        <f t="shared" si="5"/>
        <v>0.45575427406577995</v>
      </c>
      <c r="M63" s="83">
        <f t="shared" si="23"/>
        <v>60</v>
      </c>
      <c r="N63" s="57">
        <f t="shared" si="17"/>
        <v>0.43806295338586027</v>
      </c>
      <c r="O63" s="97">
        <f t="shared" si="18"/>
        <v>0.98509108184007088</v>
      </c>
    </row>
    <row r="64" spans="1:15" hidden="1" x14ac:dyDescent="0.2">
      <c r="A64" s="83">
        <f t="shared" si="19"/>
        <v>65</v>
      </c>
      <c r="B64" s="74">
        <f t="shared" si="11"/>
        <v>0.48206420801273553</v>
      </c>
      <c r="D64" s="83">
        <f t="shared" si="20"/>
        <v>65</v>
      </c>
      <c r="E64" s="74">
        <f t="shared" si="0"/>
        <v>0.5</v>
      </c>
      <c r="G64" s="83">
        <f t="shared" si="21"/>
        <v>65</v>
      </c>
      <c r="H64" s="57">
        <f t="shared" si="1"/>
        <v>0.4353774465202549</v>
      </c>
      <c r="J64" s="83">
        <f t="shared" si="22"/>
        <v>65</v>
      </c>
      <c r="K64" s="57">
        <f t="shared" si="5"/>
        <v>0.44950622144717844</v>
      </c>
      <c r="M64" s="83">
        <f t="shared" si="23"/>
        <v>65</v>
      </c>
      <c r="N64" s="57">
        <f t="shared" si="17"/>
        <v>0.42985844413858382</v>
      </c>
      <c r="O64" s="97">
        <f t="shared" si="18"/>
        <v>0.98392169926748896</v>
      </c>
    </row>
    <row r="65" spans="1:15" hidden="1" x14ac:dyDescent="0.2">
      <c r="A65" s="83">
        <f t="shared" si="19"/>
        <v>70</v>
      </c>
      <c r="B65" s="74">
        <f t="shared" si="11"/>
        <v>0.47934668071654374</v>
      </c>
      <c r="D65" s="83">
        <f t="shared" si="20"/>
        <v>70</v>
      </c>
      <c r="E65" s="74">
        <f t="shared" si="0"/>
        <v>0.5</v>
      </c>
      <c r="G65" s="83">
        <f t="shared" si="21"/>
        <v>70</v>
      </c>
      <c r="H65" s="57">
        <f t="shared" si="1"/>
        <v>0.42769276820761626</v>
      </c>
      <c r="J65" s="83">
        <f t="shared" si="22"/>
        <v>70</v>
      </c>
      <c r="K65" s="57">
        <f t="shared" si="5"/>
        <v>0.44313099926359933</v>
      </c>
      <c r="M65" s="83">
        <f t="shared" si="23"/>
        <v>70</v>
      </c>
      <c r="N65" s="57">
        <f t="shared" si="17"/>
        <v>0.42152039969600275</v>
      </c>
      <c r="O65" s="97">
        <f t="shared" si="18"/>
        <v>0.98276261975895274</v>
      </c>
    </row>
    <row r="66" spans="1:15" hidden="1" x14ac:dyDescent="0.2">
      <c r="A66" s="83">
        <f t="shared" si="19"/>
        <v>75</v>
      </c>
      <c r="B66" s="74">
        <f t="shared" si="11"/>
        <v>0.47647058823529409</v>
      </c>
      <c r="D66" s="83">
        <f t="shared" si="20"/>
        <v>75</v>
      </c>
      <c r="E66" s="74">
        <f t="shared" si="0"/>
        <v>0.5</v>
      </c>
      <c r="G66" s="83">
        <f t="shared" si="21"/>
        <v>75</v>
      </c>
      <c r="H66" s="57">
        <f t="shared" si="1"/>
        <v>0.42000000000000004</v>
      </c>
      <c r="J66" s="83">
        <f t="shared" si="22"/>
        <v>75</v>
      </c>
      <c r="K66" s="57">
        <f t="shared" si="5"/>
        <v>0.43667716709707005</v>
      </c>
      <c r="M66" s="83">
        <f t="shared" si="23"/>
        <v>75</v>
      </c>
      <c r="N66" s="57">
        <f t="shared" si="17"/>
        <v>0.41310863419838706</v>
      </c>
      <c r="O66" s="97">
        <f t="shared" si="18"/>
        <v>0.98161366334481592</v>
      </c>
    </row>
    <row r="67" spans="1:15" hidden="1" x14ac:dyDescent="0.2">
      <c r="A67" s="83">
        <f t="shared" si="19"/>
        <v>80</v>
      </c>
      <c r="B67" s="74">
        <f t="shared" si="11"/>
        <v>0.47344398340248961</v>
      </c>
      <c r="D67" s="83">
        <f t="shared" si="20"/>
        <v>80</v>
      </c>
      <c r="E67" s="74">
        <f t="shared" si="0"/>
        <v>0.5</v>
      </c>
      <c r="G67" s="83">
        <f t="shared" si="21"/>
        <v>80</v>
      </c>
      <c r="H67" s="57">
        <f t="shared" si="1"/>
        <v>0.41234752377721218</v>
      </c>
      <c r="J67" s="83">
        <f t="shared" si="22"/>
        <v>80</v>
      </c>
      <c r="K67" s="57">
        <f t="shared" si="5"/>
        <v>0.43018843089310965</v>
      </c>
      <c r="M67" s="83">
        <f t="shared" si="23"/>
        <v>80</v>
      </c>
      <c r="N67" s="57">
        <f t="shared" si="17"/>
        <v>0.40467673471973842</v>
      </c>
      <c r="O67" s="97">
        <f t="shared" si="18"/>
        <v>0.98047465473008655</v>
      </c>
    </row>
    <row r="68" spans="1:15" hidden="1" x14ac:dyDescent="0.2">
      <c r="A68" s="83">
        <f t="shared" si="19"/>
        <v>85</v>
      </c>
      <c r="B68" s="74">
        <f t="shared" si="11"/>
        <v>0.47027513499614304</v>
      </c>
      <c r="D68" s="83">
        <f t="shared" si="20"/>
        <v>85</v>
      </c>
      <c r="E68" s="74">
        <f t="shared" si="0"/>
        <v>0.5</v>
      </c>
      <c r="G68" s="83">
        <f t="shared" si="21"/>
        <v>85</v>
      </c>
      <c r="H68" s="57">
        <f t="shared" si="1"/>
        <v>0.40477572710378373</v>
      </c>
      <c r="J68" s="83">
        <f t="shared" si="22"/>
        <v>85</v>
      </c>
      <c r="K68" s="57">
        <f t="shared" si="5"/>
        <v>0.42370349917223549</v>
      </c>
      <c r="M68" s="83">
        <f t="shared" si="23"/>
        <v>85</v>
      </c>
      <c r="N68" s="57">
        <f t="shared" si="17"/>
        <v>0.39627192545845402</v>
      </c>
      <c r="O68" s="97">
        <f t="shared" si="18"/>
        <v>0.97934542313391937</v>
      </c>
    </row>
    <row r="69" spans="1:15" hidden="1" x14ac:dyDescent="0.2">
      <c r="A69" s="83">
        <f t="shared" si="19"/>
        <v>90</v>
      </c>
      <c r="B69" s="74">
        <f t="shared" si="11"/>
        <v>0.46697247706422018</v>
      </c>
      <c r="D69" s="83">
        <f t="shared" si="20"/>
        <v>90</v>
      </c>
      <c r="E69" s="74">
        <f t="shared" si="0"/>
        <v>0.5</v>
      </c>
      <c r="G69" s="83">
        <f t="shared" si="21"/>
        <v>90</v>
      </c>
      <c r="H69" s="57">
        <f t="shared" si="1"/>
        <v>0.39731765849886658</v>
      </c>
      <c r="J69" s="83">
        <f t="shared" si="22"/>
        <v>90</v>
      </c>
      <c r="K69" s="57">
        <f t="shared" si="5"/>
        <v>0.4172561107040702</v>
      </c>
      <c r="M69" s="83">
        <f t="shared" si="23"/>
        <v>90</v>
      </c>
      <c r="N69" s="57">
        <f t="shared" si="17"/>
        <v>0.38793514172002103</v>
      </c>
      <c r="O69" s="97">
        <f t="shared" si="18"/>
        <v>0.97822580213593746</v>
      </c>
    </row>
    <row r="70" spans="1:15" hidden="1" x14ac:dyDescent="0.2">
      <c r="A70" s="83">
        <f t="shared" si="19"/>
        <v>95</v>
      </c>
      <c r="B70" s="74">
        <f t="shared" si="11"/>
        <v>0.4635445594546832</v>
      </c>
      <c r="D70" s="83">
        <f t="shared" si="20"/>
        <v>95</v>
      </c>
      <c r="E70" s="74">
        <f t="shared" si="0"/>
        <v>0.5</v>
      </c>
      <c r="G70" s="83">
        <f t="shared" si="21"/>
        <v>95</v>
      </c>
      <c r="H70" s="57">
        <f t="shared" si="1"/>
        <v>0.3899997734377656</v>
      </c>
      <c r="J70" s="83">
        <f t="shared" si="22"/>
        <v>95</v>
      </c>
      <c r="K70" s="57">
        <f t="shared" si="5"/>
        <v>0.41087519688373675</v>
      </c>
      <c r="M70" s="83">
        <f t="shared" si="23"/>
        <v>95</v>
      </c>
      <c r="N70" s="57">
        <f t="shared" si="17"/>
        <v>0.37970126713502073</v>
      </c>
      <c r="O70" s="97">
        <f t="shared" si="18"/>
        <v>0.97711562952903952</v>
      </c>
    </row>
    <row r="71" spans="1:15" x14ac:dyDescent="0.2">
      <c r="A71">
        <v>100</v>
      </c>
      <c r="B71" s="74">
        <f t="shared" si="11"/>
        <v>0.45999999999999996</v>
      </c>
      <c r="C71" s="56"/>
      <c r="D71">
        <v>100</v>
      </c>
      <c r="E71" s="74">
        <f t="shared" si="0"/>
        <v>0.5</v>
      </c>
      <c r="F71" s="53"/>
      <c r="G71">
        <v>100</v>
      </c>
      <c r="H71" s="57">
        <f t="shared" si="1"/>
        <v>0.38284271247461898</v>
      </c>
      <c r="I71" s="53"/>
      <c r="J71">
        <v>100</v>
      </c>
      <c r="K71" s="57">
        <f t="shared" si="5"/>
        <v>0.40458514384586408</v>
      </c>
      <c r="L71" s="53"/>
      <c r="M71">
        <v>100</v>
      </c>
      <c r="N71" s="57">
        <f t="shared" si="17"/>
        <v>0.37159949020625871</v>
      </c>
      <c r="O71" s="97">
        <f t="shared" si="18"/>
        <v>0.97601474717836534</v>
      </c>
    </row>
    <row r="72" spans="1:15" hidden="1" x14ac:dyDescent="0.2">
      <c r="A72" s="83">
        <f>A71+50</f>
        <v>150</v>
      </c>
      <c r="B72" s="74">
        <f t="shared" si="11"/>
        <v>0.42000000000000004</v>
      </c>
      <c r="D72" s="83">
        <f>D71+50</f>
        <v>150</v>
      </c>
      <c r="E72" s="74">
        <f t="shared" si="0"/>
        <v>0.27777777777777779</v>
      </c>
      <c r="G72" s="83">
        <f>G71+50</f>
        <v>150</v>
      </c>
      <c r="H72" s="57">
        <f t="shared" si="1"/>
        <v>0.3218800784900917</v>
      </c>
      <c r="J72" s="83">
        <f>J71+50</f>
        <v>150</v>
      </c>
      <c r="K72" s="57">
        <f t="shared" si="5"/>
        <v>0.3495205973585177</v>
      </c>
      <c r="M72" s="83">
        <f>M71+50</f>
        <v>150</v>
      </c>
      <c r="N72" s="57">
        <f t="shared" si="17"/>
        <v>0.30113541598778387</v>
      </c>
      <c r="O72" s="97">
        <f t="shared" si="18"/>
        <v>0.96548475492820252</v>
      </c>
    </row>
    <row r="73" spans="1:15" hidden="1" x14ac:dyDescent="0.2">
      <c r="A73" s="83">
        <f t="shared" ref="A73:A88" si="24">A72+50</f>
        <v>200</v>
      </c>
      <c r="B73" s="74">
        <f t="shared" si="11"/>
        <v>0.37692307692307692</v>
      </c>
      <c r="D73" s="83">
        <f t="shared" ref="D73:D88" si="25">D72+50</f>
        <v>200</v>
      </c>
      <c r="E73" s="74">
        <f t="shared" si="0"/>
        <v>0.2</v>
      </c>
      <c r="G73" s="83">
        <f t="shared" ref="G73:G88" si="26">G72+50</f>
        <v>200</v>
      </c>
      <c r="H73" s="57">
        <f t="shared" si="1"/>
        <v>0.27888543819998318</v>
      </c>
      <c r="J73" s="83">
        <f t="shared" ref="J73:J88" si="27">J72+50</f>
        <v>200</v>
      </c>
      <c r="K73" s="57">
        <f t="shared" si="5"/>
        <v>0.30999222360659606</v>
      </c>
      <c r="M73" s="83">
        <f t="shared" ref="M73:M88" si="28">M72+50</f>
        <v>200</v>
      </c>
      <c r="N73" s="57">
        <f t="shared" si="17"/>
        <v>0.25087127980925034</v>
      </c>
      <c r="O73" s="97">
        <f t="shared" si="18"/>
        <v>0.95573550486988679</v>
      </c>
    </row>
    <row r="74" spans="1:15" hidden="1" x14ac:dyDescent="0.2">
      <c r="A74" s="83">
        <f t="shared" si="24"/>
        <v>250</v>
      </c>
      <c r="B74" s="74">
        <f t="shared" si="11"/>
        <v>0.33606557377049179</v>
      </c>
      <c r="D74" s="83">
        <f t="shared" si="25"/>
        <v>250</v>
      </c>
      <c r="E74" s="74">
        <f t="shared" si="0"/>
        <v>0.16400000000000003</v>
      </c>
      <c r="G74" s="83">
        <f t="shared" si="26"/>
        <v>250</v>
      </c>
      <c r="H74" s="57">
        <f t="shared" si="1"/>
        <v>0.24855627054164151</v>
      </c>
      <c r="J74" s="83">
        <f t="shared" si="27"/>
        <v>250</v>
      </c>
      <c r="K74" s="57">
        <f t="shared" si="5"/>
        <v>0.28234082771251501</v>
      </c>
      <c r="M74" s="83">
        <f t="shared" si="28"/>
        <v>250</v>
      </c>
      <c r="N74" s="57">
        <f t="shared" si="17"/>
        <v>0.21576827082175296</v>
      </c>
      <c r="O74" s="97">
        <f t="shared" si="18"/>
        <v>0.94665917020818124</v>
      </c>
    </row>
    <row r="75" spans="1:15" hidden="1" x14ac:dyDescent="0.2">
      <c r="A75" s="83">
        <f t="shared" si="24"/>
        <v>300</v>
      </c>
      <c r="B75" s="74">
        <f t="shared" si="11"/>
        <v>0.30000000000000004</v>
      </c>
      <c r="D75" s="83">
        <f t="shared" si="25"/>
        <v>300</v>
      </c>
      <c r="E75" s="74">
        <f t="shared" si="0"/>
        <v>0.14444444444444446</v>
      </c>
      <c r="G75" s="83">
        <f t="shared" si="26"/>
        <v>300</v>
      </c>
      <c r="H75" s="57">
        <f t="shared" si="1"/>
        <v>0.22649110640673517</v>
      </c>
      <c r="J75" s="83">
        <f t="shared" si="27"/>
        <v>300</v>
      </c>
      <c r="K75" s="57">
        <f t="shared" si="5"/>
        <v>0.26252563723817934</v>
      </c>
      <c r="M75" s="83">
        <f t="shared" si="28"/>
        <v>300</v>
      </c>
      <c r="N75" s="57">
        <f t="shared" si="17"/>
        <v>0.1905956078839853</v>
      </c>
      <c r="O75" s="97">
        <f t="shared" si="18"/>
        <v>0.93816882615101393</v>
      </c>
    </row>
    <row r="76" spans="1:15" hidden="1" x14ac:dyDescent="0.2">
      <c r="A76" s="83">
        <f t="shared" si="24"/>
        <v>350</v>
      </c>
      <c r="B76" s="74">
        <f t="shared" si="11"/>
        <v>0.26941176470588235</v>
      </c>
      <c r="D76" s="83">
        <f t="shared" si="25"/>
        <v>350</v>
      </c>
      <c r="E76" s="74">
        <f t="shared" si="0"/>
        <v>0.1326530612244898</v>
      </c>
      <c r="G76" s="83">
        <f t="shared" si="26"/>
        <v>350</v>
      </c>
      <c r="H76" s="57">
        <f t="shared" si="1"/>
        <v>0.20988845115895122</v>
      </c>
      <c r="J76" s="83">
        <f t="shared" si="27"/>
        <v>350</v>
      </c>
      <c r="K76" s="57">
        <f t="shared" si="5"/>
        <v>0.24782329728040817</v>
      </c>
      <c r="M76" s="83">
        <f t="shared" si="28"/>
        <v>350</v>
      </c>
      <c r="N76" s="57">
        <f t="shared" si="17"/>
        <v>0.171880314536767</v>
      </c>
      <c r="O76" s="97">
        <f t="shared" si="18"/>
        <v>0.93019337383998257</v>
      </c>
    </row>
    <row r="77" spans="1:15" hidden="1" x14ac:dyDescent="0.2">
      <c r="A77" s="83">
        <f t="shared" si="24"/>
        <v>400</v>
      </c>
      <c r="B77" s="74">
        <f t="shared" si="11"/>
        <v>0.24400000000000002</v>
      </c>
      <c r="D77" s="83">
        <f t="shared" si="25"/>
        <v>400</v>
      </c>
      <c r="E77" s="74">
        <f t="shared" si="0"/>
        <v>0.125</v>
      </c>
      <c r="G77" s="83">
        <f t="shared" si="26"/>
        <v>400</v>
      </c>
      <c r="H77" s="57">
        <f t="shared" si="1"/>
        <v>0.19701425001453321</v>
      </c>
      <c r="J77" s="83">
        <f t="shared" si="27"/>
        <v>400</v>
      </c>
      <c r="K77" s="57">
        <f t="shared" si="5"/>
        <v>0.23654204013726507</v>
      </c>
      <c r="M77" s="83">
        <f t="shared" si="28"/>
        <v>400</v>
      </c>
      <c r="N77" s="57">
        <f t="shared" si="17"/>
        <v>0.15747972382675177</v>
      </c>
      <c r="O77" s="97">
        <f t="shared" si="18"/>
        <v>0.92267391738654658</v>
      </c>
    </row>
    <row r="78" spans="1:15" hidden="1" x14ac:dyDescent="0.2">
      <c r="A78" s="83">
        <f t="shared" si="24"/>
        <v>450</v>
      </c>
      <c r="B78" s="74">
        <f t="shared" si="11"/>
        <v>0.22307692307692309</v>
      </c>
      <c r="D78" s="83">
        <f t="shared" si="25"/>
        <v>450</v>
      </c>
      <c r="E78" s="74">
        <f t="shared" si="0"/>
        <v>0.11975308641975309</v>
      </c>
      <c r="G78" s="83">
        <f t="shared" si="26"/>
        <v>450</v>
      </c>
      <c r="H78" s="57">
        <f t="shared" si="1"/>
        <v>0.18677218312746247</v>
      </c>
      <c r="J78" s="83">
        <f t="shared" si="27"/>
        <v>450</v>
      </c>
      <c r="K78" s="57">
        <f t="shared" si="5"/>
        <v>0.22762776746038904</v>
      </c>
      <c r="M78" s="83">
        <f t="shared" si="28"/>
        <v>450</v>
      </c>
      <c r="N78" s="57">
        <f t="shared" si="17"/>
        <v>0.14606377742992385</v>
      </c>
      <c r="O78" s="97">
        <f t="shared" si="18"/>
        <v>0.91556112176141724</v>
      </c>
    </row>
    <row r="79" spans="1:15" hidden="1" x14ac:dyDescent="0.2">
      <c r="A79" s="83">
        <f t="shared" si="24"/>
        <v>500</v>
      </c>
      <c r="B79" s="74">
        <f t="shared" si="11"/>
        <v>0.20588235294117646</v>
      </c>
      <c r="D79" s="83">
        <f t="shared" si="25"/>
        <v>500</v>
      </c>
      <c r="E79" s="74">
        <f t="shared" ref="E79:E106" si="29">IF(D79&lt;$E$7,$E$10,$E$9+($E$10-$E$9)*($E$7/D79)^$E$8)</f>
        <v>0.11600000000000001</v>
      </c>
      <c r="G79" s="83">
        <f t="shared" si="26"/>
        <v>500</v>
      </c>
      <c r="H79" s="57">
        <f t="shared" ref="H79:H106" si="30">H$10+((H$11-H$10)/(1+((G79/H$7)^H$8))^(1-1/$H$8))</f>
        <v>0.17844645405527362</v>
      </c>
      <c r="J79" s="83">
        <f t="shared" si="27"/>
        <v>500</v>
      </c>
      <c r="K79" s="57">
        <f t="shared" si="5"/>
        <v>0.22040605052692486</v>
      </c>
      <c r="M79" s="83">
        <f t="shared" si="28"/>
        <v>500</v>
      </c>
      <c r="N79" s="57">
        <f t="shared" ref="N79:N109" si="31">O79*($N$10/((LN(EXP(1)+(M79/$N$7)^$N$8))^$N$9))</f>
        <v>0.13678326750050715</v>
      </c>
      <c r="O79" s="97">
        <f t="shared" ref="O79:O109" si="32">1-((LN(1+(M79/IF($N$7&lt;=10,100,500)))/(LN(1+(1000000/IF($N$7&lt;=10,100,500))))))</f>
        <v>0.90881324918082984</v>
      </c>
    </row>
    <row r="80" spans="1:15" hidden="1" x14ac:dyDescent="0.2">
      <c r="A80" s="83">
        <f t="shared" si="24"/>
        <v>550</v>
      </c>
      <c r="B80" s="74">
        <f t="shared" si="11"/>
        <v>0.19171974522292995</v>
      </c>
      <c r="D80" s="83">
        <f t="shared" si="25"/>
        <v>550</v>
      </c>
      <c r="E80" s="74">
        <f t="shared" si="29"/>
        <v>0.11322314049586778</v>
      </c>
      <c r="G80" s="83">
        <f t="shared" si="26"/>
        <v>550</v>
      </c>
      <c r="H80" s="57">
        <f t="shared" si="30"/>
        <v>0.17155417527999328</v>
      </c>
      <c r="J80" s="83">
        <f t="shared" si="27"/>
        <v>550</v>
      </c>
      <c r="K80" s="57">
        <f t="shared" ref="K80:K106" si="33">$K$10+($K$11-$K$10)/((LN(EXP(1)+(J80/$K$7)^$K$8))^$K$9)</f>
        <v>0.21443133821570642</v>
      </c>
      <c r="M80" s="83">
        <f t="shared" si="28"/>
        <v>550</v>
      </c>
      <c r="N80" s="57">
        <f t="shared" si="31"/>
        <v>0.12907778783488863</v>
      </c>
      <c r="O80" s="97">
        <f t="shared" si="32"/>
        <v>0.90239467507806803</v>
      </c>
    </row>
    <row r="81" spans="1:15" hidden="1" x14ac:dyDescent="0.2">
      <c r="A81" s="83">
        <f t="shared" si="24"/>
        <v>600</v>
      </c>
      <c r="B81" s="74">
        <f t="shared" si="11"/>
        <v>0.18</v>
      </c>
      <c r="D81" s="83">
        <f t="shared" si="25"/>
        <v>600</v>
      </c>
      <c r="E81" s="74">
        <f t="shared" si="29"/>
        <v>0.11111111111111112</v>
      </c>
      <c r="G81" s="83">
        <f t="shared" si="26"/>
        <v>600</v>
      </c>
      <c r="H81" s="57">
        <f t="shared" si="30"/>
        <v>0.16575959492214293</v>
      </c>
      <c r="J81" s="83">
        <f t="shared" si="27"/>
        <v>600</v>
      </c>
      <c r="K81" s="57">
        <f t="shared" si="33"/>
        <v>0.2093998576556953</v>
      </c>
      <c r="M81" s="83">
        <f t="shared" si="28"/>
        <v>600</v>
      </c>
      <c r="N81" s="57">
        <f t="shared" si="31"/>
        <v>0.12256541253655893</v>
      </c>
      <c r="O81" s="97">
        <f t="shared" si="32"/>
        <v>0.89627474962388665</v>
      </c>
    </row>
    <row r="82" spans="1:15" hidden="1" x14ac:dyDescent="0.2">
      <c r="A82" s="83">
        <f t="shared" si="24"/>
        <v>650</v>
      </c>
      <c r="B82" s="74">
        <f t="shared" si="11"/>
        <v>0.1702439024390244</v>
      </c>
      <c r="D82" s="83">
        <f t="shared" si="25"/>
        <v>650</v>
      </c>
      <c r="E82" s="74">
        <f t="shared" si="29"/>
        <v>0.10946745562130178</v>
      </c>
      <c r="G82" s="83">
        <f t="shared" si="26"/>
        <v>650</v>
      </c>
      <c r="H82" s="57">
        <f t="shared" si="30"/>
        <v>0.16082287370157644</v>
      </c>
      <c r="J82" s="83">
        <f t="shared" si="27"/>
        <v>650</v>
      </c>
      <c r="K82" s="57">
        <f t="shared" si="33"/>
        <v>0.20509839146822256</v>
      </c>
      <c r="M82" s="83">
        <f t="shared" si="28"/>
        <v>650</v>
      </c>
      <c r="N82" s="57">
        <f t="shared" si="31"/>
        <v>0.11697804528307632</v>
      </c>
      <c r="O82" s="97">
        <f t="shared" si="32"/>
        <v>0.89042691252564576</v>
      </c>
    </row>
    <row r="83" spans="1:15" hidden="1" x14ac:dyDescent="0.2">
      <c r="A83" s="83">
        <f t="shared" si="24"/>
        <v>700</v>
      </c>
      <c r="B83" s="74">
        <f t="shared" si="11"/>
        <v>0.16206896551724137</v>
      </c>
      <c r="D83" s="83">
        <f t="shared" si="25"/>
        <v>700</v>
      </c>
      <c r="E83" s="74">
        <f t="shared" si="29"/>
        <v>0.10816326530612246</v>
      </c>
      <c r="G83" s="83">
        <f t="shared" si="26"/>
        <v>700</v>
      </c>
      <c r="H83" s="57">
        <f t="shared" si="30"/>
        <v>0.1565685424949238</v>
      </c>
      <c r="J83" s="83">
        <f t="shared" si="27"/>
        <v>700</v>
      </c>
      <c r="K83" s="57">
        <f t="shared" si="33"/>
        <v>0.20137332129490607</v>
      </c>
      <c r="M83" s="83">
        <f t="shared" si="28"/>
        <v>700</v>
      </c>
      <c r="N83" s="57">
        <f t="shared" si="31"/>
        <v>0.11212244095706082</v>
      </c>
      <c r="O83" s="97">
        <f t="shared" si="32"/>
        <v>0.88482799635919518</v>
      </c>
    </row>
    <row r="84" spans="1:15" hidden="1" x14ac:dyDescent="0.2">
      <c r="A84" s="83">
        <f t="shared" si="24"/>
        <v>750</v>
      </c>
      <c r="B84" s="74">
        <f t="shared" si="11"/>
        <v>0.15517241379310345</v>
      </c>
      <c r="D84" s="83">
        <f t="shared" si="25"/>
        <v>750</v>
      </c>
      <c r="E84" s="74">
        <f t="shared" si="29"/>
        <v>0.10711111111111112</v>
      </c>
      <c r="G84" s="83">
        <f t="shared" si="26"/>
        <v>750</v>
      </c>
      <c r="H84" s="57">
        <f t="shared" si="30"/>
        <v>0.1528654880364072</v>
      </c>
      <c r="J84" s="83">
        <f t="shared" si="27"/>
        <v>750</v>
      </c>
      <c r="K84" s="57">
        <f t="shared" si="33"/>
        <v>0.19811136353136211</v>
      </c>
      <c r="M84" s="83">
        <f t="shared" si="28"/>
        <v>750</v>
      </c>
      <c r="N84" s="57">
        <f t="shared" si="31"/>
        <v>0.10785598923588018</v>
      </c>
      <c r="O84" s="97">
        <f t="shared" si="32"/>
        <v>0.87945767221064575</v>
      </c>
    </row>
    <row r="85" spans="1:15" hidden="1" x14ac:dyDescent="0.2">
      <c r="A85" s="83">
        <f t="shared" si="24"/>
        <v>800</v>
      </c>
      <c r="B85" s="74">
        <f t="shared" si="11"/>
        <v>0.14931506849315068</v>
      </c>
      <c r="D85" s="83">
        <f t="shared" si="25"/>
        <v>800</v>
      </c>
      <c r="E85" s="74">
        <f t="shared" si="29"/>
        <v>0.10625000000000001</v>
      </c>
      <c r="G85" s="83">
        <f t="shared" si="26"/>
        <v>800</v>
      </c>
      <c r="H85" s="57">
        <f t="shared" si="30"/>
        <v>0.14961389383568341</v>
      </c>
      <c r="J85" s="83">
        <f t="shared" si="27"/>
        <v>800</v>
      </c>
      <c r="K85" s="57">
        <f t="shared" si="33"/>
        <v>0.19522723466840192</v>
      </c>
      <c r="M85" s="83">
        <f t="shared" si="28"/>
        <v>800</v>
      </c>
      <c r="N85" s="57">
        <f t="shared" si="31"/>
        <v>0.10407122650925779</v>
      </c>
      <c r="O85" s="97">
        <f t="shared" si="32"/>
        <v>0.87429800410903236</v>
      </c>
    </row>
    <row r="86" spans="1:15" hidden="1" x14ac:dyDescent="0.2">
      <c r="A86" s="83">
        <f t="shared" si="24"/>
        <v>850</v>
      </c>
      <c r="B86" s="74">
        <f t="shared" si="11"/>
        <v>0.1443076923076923</v>
      </c>
      <c r="D86" s="83">
        <f t="shared" si="25"/>
        <v>850</v>
      </c>
      <c r="E86" s="74">
        <f t="shared" si="29"/>
        <v>0.1055363321799308</v>
      </c>
      <c r="G86" s="83">
        <f t="shared" si="26"/>
        <v>850</v>
      </c>
      <c r="H86" s="57">
        <f t="shared" si="30"/>
        <v>0.1467364990269589</v>
      </c>
      <c r="J86" s="83">
        <f t="shared" si="27"/>
        <v>850</v>
      </c>
      <c r="K86" s="57">
        <f t="shared" si="33"/>
        <v>0.19265554012563044</v>
      </c>
      <c r="M86" s="83">
        <f t="shared" si="28"/>
        <v>850</v>
      </c>
      <c r="N86" s="57">
        <f t="shared" si="31"/>
        <v>0.10068565847521439</v>
      </c>
      <c r="O86" s="97">
        <f t="shared" si="32"/>
        <v>0.86933308759472794</v>
      </c>
    </row>
    <row r="87" spans="1:15" hidden="1" x14ac:dyDescent="0.2">
      <c r="A87" s="83">
        <f t="shared" si="24"/>
        <v>900</v>
      </c>
      <c r="B87" s="74">
        <f t="shared" si="11"/>
        <v>0.14000000000000001</v>
      </c>
      <c r="D87" s="83">
        <f t="shared" si="25"/>
        <v>900</v>
      </c>
      <c r="E87" s="74">
        <f t="shared" si="29"/>
        <v>0.10493827160493828</v>
      </c>
      <c r="G87" s="83">
        <f t="shared" si="26"/>
        <v>900</v>
      </c>
      <c r="H87" s="57">
        <f t="shared" si="30"/>
        <v>0.14417261042993862</v>
      </c>
      <c r="J87" s="83">
        <f t="shared" si="27"/>
        <v>900</v>
      </c>
      <c r="K87" s="57">
        <f t="shared" si="33"/>
        <v>0.19034530796404153</v>
      </c>
      <c r="M87" s="83">
        <f t="shared" si="28"/>
        <v>900</v>
      </c>
      <c r="N87" s="57">
        <f t="shared" si="31"/>
        <v>9.7634904293300462E-2</v>
      </c>
      <c r="O87" s="97">
        <f t="shared" si="32"/>
        <v>0.86454875405071663</v>
      </c>
    </row>
    <row r="88" spans="1:15" hidden="1" x14ac:dyDescent="0.2">
      <c r="A88" s="83">
        <f t="shared" si="24"/>
        <v>950</v>
      </c>
      <c r="B88" s="74">
        <f t="shared" si="11"/>
        <v>0.13627204030226703</v>
      </c>
      <c r="D88" s="83">
        <f t="shared" si="25"/>
        <v>950</v>
      </c>
      <c r="E88" s="74">
        <f t="shared" si="29"/>
        <v>0.10443213296398893</v>
      </c>
      <c r="G88" s="83">
        <f t="shared" si="26"/>
        <v>950</v>
      </c>
      <c r="H88" s="57">
        <f t="shared" si="30"/>
        <v>0.14187391380721712</v>
      </c>
      <c r="J88" s="83">
        <f t="shared" si="27"/>
        <v>950</v>
      </c>
      <c r="K88" s="57">
        <f t="shared" si="33"/>
        <v>0.18825622162683764</v>
      </c>
      <c r="M88" s="83">
        <f t="shared" si="28"/>
        <v>950</v>
      </c>
      <c r="N88" s="57">
        <f t="shared" si="31"/>
        <v>9.4867972538204351E-2</v>
      </c>
      <c r="O88" s="97">
        <f t="shared" si="32"/>
        <v>0.85993232694073241</v>
      </c>
    </row>
    <row r="89" spans="1:15" x14ac:dyDescent="0.2">
      <c r="A89">
        <v>1000</v>
      </c>
      <c r="B89" s="74">
        <f t="shared" si="11"/>
        <v>0.13302752293577982</v>
      </c>
      <c r="C89" s="56"/>
      <c r="D89">
        <v>1000</v>
      </c>
      <c r="E89" s="74">
        <f t="shared" si="29"/>
        <v>0.10400000000000001</v>
      </c>
      <c r="F89" s="53"/>
      <c r="G89">
        <v>1000</v>
      </c>
      <c r="H89" s="57">
        <f t="shared" si="30"/>
        <v>0.13980148760839958</v>
      </c>
      <c r="I89" s="53"/>
      <c r="J89">
        <v>1000</v>
      </c>
      <c r="K89" s="57">
        <f t="shared" si="33"/>
        <v>0.18635597016339017</v>
      </c>
      <c r="L89" s="53"/>
      <c r="M89">
        <v>1000</v>
      </c>
      <c r="N89" s="57">
        <f t="shared" si="31"/>
        <v>9.2343938405450812E-2</v>
      </c>
      <c r="O89" s="97">
        <f t="shared" si="32"/>
        <v>0.85547241938901109</v>
      </c>
    </row>
    <row r="90" spans="1:15" hidden="1" x14ac:dyDescent="0.2">
      <c r="A90" s="83">
        <f>A89+500</f>
        <v>1500</v>
      </c>
      <c r="B90" s="74">
        <f t="shared" si="11"/>
        <v>0.11538461538461539</v>
      </c>
      <c r="D90" s="83">
        <f>D89+500</f>
        <v>1500</v>
      </c>
      <c r="E90" s="74">
        <f t="shared" si="29"/>
        <v>0.10177777777777779</v>
      </c>
      <c r="G90" s="83">
        <f>G89+500</f>
        <v>1500</v>
      </c>
      <c r="H90" s="57">
        <f t="shared" si="30"/>
        <v>0.12660760420950959</v>
      </c>
      <c r="J90" s="83">
        <f>J89+500</f>
        <v>1500</v>
      </c>
      <c r="K90" s="57">
        <f t="shared" si="33"/>
        <v>0.17369048427693082</v>
      </c>
      <c r="M90" s="83">
        <f>M89+500</f>
        <v>1500</v>
      </c>
      <c r="N90" s="57">
        <f t="shared" si="31"/>
        <v>7.5314115777402352E-2</v>
      </c>
      <c r="O90" s="97">
        <f t="shared" si="32"/>
        <v>0.81762649836165968</v>
      </c>
    </row>
    <row r="91" spans="1:15" hidden="1" x14ac:dyDescent="0.2">
      <c r="A91" s="83">
        <f t="shared" ref="A91:A106" si="34">A90+500</f>
        <v>2000</v>
      </c>
      <c r="B91" s="74">
        <f t="shared" si="11"/>
        <v>0.10880195599022005</v>
      </c>
      <c r="D91" s="83">
        <f t="shared" ref="D91:D106" si="35">D90+500</f>
        <v>2000</v>
      </c>
      <c r="E91" s="74">
        <f t="shared" si="29"/>
        <v>0.10100000000000001</v>
      </c>
      <c r="G91" s="83">
        <f t="shared" ref="G91:G106" si="36">G90+500</f>
        <v>2000</v>
      </c>
      <c r="H91" s="57">
        <f t="shared" si="30"/>
        <v>0.1199750467775569</v>
      </c>
      <c r="J91" s="83">
        <f t="shared" ref="J91:J106" si="37">J90+500</f>
        <v>2000</v>
      </c>
      <c r="K91" s="57">
        <f t="shared" si="33"/>
        <v>0.16668625836737744</v>
      </c>
      <c r="M91" s="83">
        <f t="shared" ref="M91:M106" si="38">M90+500</f>
        <v>2000</v>
      </c>
      <c r="N91" s="57">
        <f t="shared" si="31"/>
        <v>6.5708547909253276E-2</v>
      </c>
      <c r="O91" s="97">
        <f t="shared" si="32"/>
        <v>0.78827092139147559</v>
      </c>
    </row>
    <row r="92" spans="1:15" hidden="1" x14ac:dyDescent="0.2">
      <c r="A92" s="83">
        <f t="shared" si="34"/>
        <v>2500</v>
      </c>
      <c r="B92" s="74">
        <f t="shared" si="11"/>
        <v>0.10567823343848581</v>
      </c>
      <c r="D92" s="83">
        <f t="shared" si="35"/>
        <v>2500</v>
      </c>
      <c r="E92" s="74">
        <f t="shared" si="29"/>
        <v>0.10064000000000001</v>
      </c>
      <c r="G92" s="83">
        <f t="shared" si="36"/>
        <v>2500</v>
      </c>
      <c r="H92" s="57">
        <f t="shared" si="30"/>
        <v>0.11598721533954864</v>
      </c>
      <c r="J92" s="83">
        <f t="shared" si="37"/>
        <v>2500</v>
      </c>
      <c r="K92" s="57">
        <f t="shared" si="33"/>
        <v>0.16209163621200873</v>
      </c>
      <c r="M92" s="83">
        <f t="shared" si="38"/>
        <v>2500</v>
      </c>
      <c r="N92" s="57">
        <f t="shared" si="31"/>
        <v>5.9319684618613019E-2</v>
      </c>
      <c r="O92" s="97">
        <f t="shared" si="32"/>
        <v>0.76428566856984093</v>
      </c>
    </row>
    <row r="93" spans="1:15" hidden="1" x14ac:dyDescent="0.2">
      <c r="A93" s="83">
        <f t="shared" si="34"/>
        <v>3000</v>
      </c>
      <c r="B93" s="74">
        <f t="shared" si="11"/>
        <v>0.10396039603960397</v>
      </c>
      <c r="D93" s="83">
        <f t="shared" si="35"/>
        <v>3000</v>
      </c>
      <c r="E93" s="74">
        <f t="shared" si="29"/>
        <v>0.10044444444444445</v>
      </c>
      <c r="G93" s="83">
        <f t="shared" si="36"/>
        <v>3000</v>
      </c>
      <c r="H93" s="57">
        <f t="shared" si="30"/>
        <v>0.1133259320930554</v>
      </c>
      <c r="J93" s="83">
        <f t="shared" si="37"/>
        <v>3000</v>
      </c>
      <c r="K93" s="57">
        <f t="shared" si="33"/>
        <v>0.15877676277733344</v>
      </c>
      <c r="M93" s="83">
        <f t="shared" si="38"/>
        <v>3000</v>
      </c>
      <c r="N93" s="57">
        <f t="shared" si="31"/>
        <v>5.4662861526469625E-2</v>
      </c>
      <c r="O93" s="97">
        <f t="shared" si="32"/>
        <v>0.74400642626136237</v>
      </c>
    </row>
    <row r="94" spans="1:15" hidden="1" x14ac:dyDescent="0.2">
      <c r="A94" s="83">
        <f t="shared" si="34"/>
        <v>3500</v>
      </c>
      <c r="B94" s="74">
        <f t="shared" si="11"/>
        <v>0.10291734197730956</v>
      </c>
      <c r="D94" s="83">
        <f t="shared" si="35"/>
        <v>3500</v>
      </c>
      <c r="E94" s="74">
        <f t="shared" si="29"/>
        <v>0.1003265306122449</v>
      </c>
      <c r="G94" s="83">
        <f t="shared" si="36"/>
        <v>3500</v>
      </c>
      <c r="H94" s="57">
        <f t="shared" si="30"/>
        <v>0.11142390955955081</v>
      </c>
      <c r="J94" s="83">
        <f t="shared" si="37"/>
        <v>3500</v>
      </c>
      <c r="K94" s="57">
        <f t="shared" si="33"/>
        <v>0.15623575299553935</v>
      </c>
      <c r="M94" s="83">
        <f t="shared" si="38"/>
        <v>3500</v>
      </c>
      <c r="N94" s="57">
        <f t="shared" si="31"/>
        <v>5.1064857761176752E-2</v>
      </c>
      <c r="O94" s="97">
        <f t="shared" si="32"/>
        <v>0.72643974754248952</v>
      </c>
    </row>
    <row r="95" spans="1:15" hidden="1" x14ac:dyDescent="0.2">
      <c r="A95" s="83">
        <f t="shared" si="34"/>
        <v>4000</v>
      </c>
      <c r="B95" s="74">
        <f t="shared" si="11"/>
        <v>0.10223741454319453</v>
      </c>
      <c r="D95" s="83">
        <f t="shared" si="35"/>
        <v>4000</v>
      </c>
      <c r="E95" s="74">
        <f t="shared" si="29"/>
        <v>0.10025000000000001</v>
      </c>
      <c r="G95" s="83">
        <f t="shared" si="36"/>
        <v>4000</v>
      </c>
      <c r="H95" s="57">
        <f t="shared" si="30"/>
        <v>0.10999687646408124</v>
      </c>
      <c r="J95" s="83">
        <f t="shared" si="37"/>
        <v>4000</v>
      </c>
      <c r="K95" s="57">
        <f t="shared" si="33"/>
        <v>0.15420453468479714</v>
      </c>
      <c r="M95" s="83">
        <f t="shared" si="38"/>
        <v>4000</v>
      </c>
      <c r="N95" s="57">
        <f t="shared" si="31"/>
        <v>4.8170542715651E-2</v>
      </c>
      <c r="O95" s="97">
        <f t="shared" si="32"/>
        <v>0.71094483877802217</v>
      </c>
    </row>
    <row r="96" spans="1:15" hidden="1" x14ac:dyDescent="0.2">
      <c r="A96" s="83">
        <f t="shared" si="34"/>
        <v>4500</v>
      </c>
      <c r="B96" s="74">
        <f t="shared" si="11"/>
        <v>0.10176991150442478</v>
      </c>
      <c r="D96" s="83">
        <f t="shared" si="35"/>
        <v>4500</v>
      </c>
      <c r="E96" s="74">
        <f t="shared" si="29"/>
        <v>0.10019753086419754</v>
      </c>
      <c r="G96" s="83">
        <f t="shared" si="36"/>
        <v>4500</v>
      </c>
      <c r="H96" s="57">
        <f t="shared" si="30"/>
        <v>0.10888669491405877</v>
      </c>
      <c r="J96" s="83">
        <f t="shared" si="37"/>
        <v>4500</v>
      </c>
      <c r="K96" s="57">
        <f t="shared" si="33"/>
        <v>0.1525302064261197</v>
      </c>
      <c r="M96" s="83">
        <f t="shared" si="38"/>
        <v>4500</v>
      </c>
      <c r="N96" s="57">
        <f t="shared" si="31"/>
        <v>4.5772469220679547E-2</v>
      </c>
      <c r="O96" s="97">
        <f t="shared" si="32"/>
        <v>0.69708417057230543</v>
      </c>
    </row>
    <row r="97" spans="1:16" hidden="1" x14ac:dyDescent="0.2">
      <c r="A97" s="83">
        <f t="shared" si="34"/>
        <v>5000</v>
      </c>
      <c r="B97" s="74">
        <f t="shared" si="11"/>
        <v>0.10143483459545637</v>
      </c>
      <c r="D97" s="83">
        <f t="shared" si="35"/>
        <v>5000</v>
      </c>
      <c r="E97" s="74">
        <f t="shared" si="29"/>
        <v>0.10016</v>
      </c>
      <c r="G97" s="83">
        <f t="shared" si="36"/>
        <v>5000</v>
      </c>
      <c r="H97" s="57">
        <f t="shared" si="30"/>
        <v>0.10799840047984006</v>
      </c>
      <c r="J97" s="83">
        <f t="shared" si="37"/>
        <v>5000</v>
      </c>
      <c r="K97" s="57">
        <f t="shared" si="33"/>
        <v>0.15111734377599534</v>
      </c>
      <c r="M97" s="83">
        <f t="shared" si="38"/>
        <v>5000</v>
      </c>
      <c r="N97" s="57">
        <f t="shared" si="31"/>
        <v>4.3740195494577097E-2</v>
      </c>
      <c r="O97" s="97">
        <f t="shared" si="32"/>
        <v>0.68454567101536223</v>
      </c>
    </row>
    <row r="98" spans="1:16" hidden="1" x14ac:dyDescent="0.2">
      <c r="A98" s="83">
        <f t="shared" si="34"/>
        <v>5500</v>
      </c>
      <c r="B98" s="74">
        <f t="shared" si="11"/>
        <v>0.10118655240606461</v>
      </c>
      <c r="D98" s="83">
        <f t="shared" si="35"/>
        <v>5500</v>
      </c>
      <c r="E98" s="74">
        <f t="shared" si="29"/>
        <v>0.10013223140495868</v>
      </c>
      <c r="G98" s="83">
        <f t="shared" si="36"/>
        <v>5500</v>
      </c>
      <c r="H98" s="57">
        <f t="shared" si="30"/>
        <v>0.107271525467006</v>
      </c>
      <c r="J98" s="83">
        <f t="shared" si="37"/>
        <v>5500</v>
      </c>
      <c r="K98" s="57">
        <f t="shared" si="33"/>
        <v>0.14990291031665348</v>
      </c>
      <c r="M98" s="83">
        <f t="shared" si="38"/>
        <v>5500</v>
      </c>
      <c r="N98" s="57">
        <f t="shared" si="31"/>
        <v>4.19869936584353E-2</v>
      </c>
      <c r="O98" s="97">
        <f t="shared" si="32"/>
        <v>0.67309891775067077</v>
      </c>
    </row>
    <row r="99" spans="1:16" hidden="1" x14ac:dyDescent="0.2">
      <c r="A99" s="83">
        <f t="shared" si="34"/>
        <v>6000</v>
      </c>
      <c r="B99" s="74">
        <f t="shared" si="11"/>
        <v>0.10099750623441398</v>
      </c>
      <c r="D99" s="83">
        <f t="shared" si="35"/>
        <v>6000</v>
      </c>
      <c r="E99" s="74">
        <f t="shared" si="29"/>
        <v>0.10011111111111112</v>
      </c>
      <c r="G99" s="83">
        <f t="shared" si="36"/>
        <v>6000</v>
      </c>
      <c r="H99" s="57">
        <f t="shared" si="30"/>
        <v>0.10666574093359733</v>
      </c>
      <c r="J99" s="83">
        <f t="shared" si="37"/>
        <v>6000</v>
      </c>
      <c r="K99" s="57">
        <f t="shared" si="33"/>
        <v>0.14884336519241623</v>
      </c>
      <c r="M99" s="83">
        <f t="shared" si="38"/>
        <v>6000</v>
      </c>
      <c r="N99" s="57">
        <f t="shared" si="31"/>
        <v>4.0452619991710154E-2</v>
      </c>
      <c r="O99" s="97">
        <f t="shared" si="32"/>
        <v>0.66256892550050794</v>
      </c>
    </row>
    <row r="100" spans="1:16" hidden="1" x14ac:dyDescent="0.2">
      <c r="A100" s="83">
        <f t="shared" si="34"/>
        <v>6500</v>
      </c>
      <c r="B100" s="74">
        <f t="shared" ref="B100:B106" si="39">$B$9+($B$10-$B$9)/(1+(A100/$B$7)^$B$8)</f>
        <v>0.10085025980160606</v>
      </c>
      <c r="D100" s="83">
        <f t="shared" si="35"/>
        <v>6500</v>
      </c>
      <c r="E100" s="74">
        <f t="shared" si="29"/>
        <v>0.10009467455621303</v>
      </c>
      <c r="G100" s="83">
        <f t="shared" si="36"/>
        <v>6500</v>
      </c>
      <c r="H100" s="57">
        <f t="shared" si="30"/>
        <v>0.1061531180172816</v>
      </c>
      <c r="J100" s="83">
        <f t="shared" si="37"/>
        <v>6500</v>
      </c>
      <c r="K100" s="57">
        <f t="shared" si="33"/>
        <v>0.14790753244581448</v>
      </c>
      <c r="M100" s="83">
        <f t="shared" si="38"/>
        <v>6500</v>
      </c>
      <c r="N100" s="57">
        <f t="shared" si="31"/>
        <v>3.909372472814112E-2</v>
      </c>
      <c r="O100" s="97">
        <f t="shared" si="32"/>
        <v>0.65281967544219222</v>
      </c>
    </row>
    <row r="101" spans="1:16" hidden="1" x14ac:dyDescent="0.2">
      <c r="A101" s="83">
        <f t="shared" si="34"/>
        <v>7000</v>
      </c>
      <c r="B101" s="74">
        <f t="shared" si="39"/>
        <v>0.10073334691383175</v>
      </c>
      <c r="D101" s="83">
        <f t="shared" si="35"/>
        <v>7000</v>
      </c>
      <c r="E101" s="74">
        <f t="shared" si="29"/>
        <v>0.10008163265306123</v>
      </c>
      <c r="G101" s="83">
        <f t="shared" si="36"/>
        <v>7000</v>
      </c>
      <c r="H101" s="57">
        <f t="shared" si="30"/>
        <v>0.10571370271314007</v>
      </c>
      <c r="J101" s="83">
        <f t="shared" si="37"/>
        <v>7000</v>
      </c>
      <c r="K101" s="57">
        <f t="shared" si="33"/>
        <v>0.14707241869921001</v>
      </c>
      <c r="M101" s="83">
        <f t="shared" si="38"/>
        <v>7000</v>
      </c>
      <c r="N101" s="57">
        <f t="shared" si="31"/>
        <v>3.787819509005913E-2</v>
      </c>
      <c r="O101" s="97">
        <f t="shared" si="32"/>
        <v>0.64374334078048667</v>
      </c>
    </row>
    <row r="102" spans="1:16" hidden="1" x14ac:dyDescent="0.2">
      <c r="A102" s="83">
        <f t="shared" si="34"/>
        <v>7500</v>
      </c>
      <c r="B102" s="74">
        <f t="shared" si="39"/>
        <v>0.10063897763578275</v>
      </c>
      <c r="D102" s="83">
        <f t="shared" si="35"/>
        <v>7500</v>
      </c>
      <c r="E102" s="74">
        <f t="shared" si="29"/>
        <v>0.10007111111111111</v>
      </c>
      <c r="G102" s="83">
        <f t="shared" si="36"/>
        <v>7500</v>
      </c>
      <c r="H102" s="57">
        <f t="shared" si="30"/>
        <v>0.10533285932245978</v>
      </c>
      <c r="J102" s="83">
        <f t="shared" si="37"/>
        <v>7500</v>
      </c>
      <c r="K102" s="57">
        <f t="shared" si="33"/>
        <v>0.14632063950553534</v>
      </c>
      <c r="M102" s="83">
        <f t="shared" si="38"/>
        <v>7500</v>
      </c>
      <c r="N102" s="57">
        <f t="shared" si="31"/>
        <v>3.6781656320039866E-2</v>
      </c>
      <c r="O102" s="97">
        <f t="shared" si="32"/>
        <v>0.63525299672331936</v>
      </c>
    </row>
    <row r="103" spans="1:16" hidden="1" x14ac:dyDescent="0.2">
      <c r="A103" s="83">
        <f t="shared" si="34"/>
        <v>8000</v>
      </c>
      <c r="B103" s="74">
        <f t="shared" si="39"/>
        <v>0.10056171009517866</v>
      </c>
      <c r="D103" s="83">
        <f t="shared" si="35"/>
        <v>8000</v>
      </c>
      <c r="E103" s="74">
        <f t="shared" si="29"/>
        <v>0.1000625</v>
      </c>
      <c r="G103" s="83">
        <f t="shared" si="36"/>
        <v>8000</v>
      </c>
      <c r="H103" s="57">
        <f t="shared" si="30"/>
        <v>0.10499960942077041</v>
      </c>
      <c r="J103" s="83">
        <f t="shared" si="37"/>
        <v>8000</v>
      </c>
      <c r="K103" s="57">
        <f t="shared" si="33"/>
        <v>0.14563877096560235</v>
      </c>
      <c r="M103" s="83">
        <f t="shared" si="38"/>
        <v>8000</v>
      </c>
      <c r="N103" s="57">
        <f t="shared" si="31"/>
        <v>3.5785220226622338E-2</v>
      </c>
      <c r="O103" s="97">
        <f t="shared" si="32"/>
        <v>0.627277544412288</v>
      </c>
    </row>
    <row r="104" spans="1:16" hidden="1" x14ac:dyDescent="0.2">
      <c r="A104" s="83">
        <f t="shared" si="34"/>
        <v>8500</v>
      </c>
      <c r="B104" s="74">
        <f t="shared" si="39"/>
        <v>0.1004976499861764</v>
      </c>
      <c r="D104" s="83">
        <f t="shared" si="35"/>
        <v>8500</v>
      </c>
      <c r="E104" s="74">
        <f t="shared" si="29"/>
        <v>0.10005536332179932</v>
      </c>
      <c r="G104" s="83">
        <f t="shared" si="36"/>
        <v>8500</v>
      </c>
      <c r="H104" s="57">
        <f t="shared" si="30"/>
        <v>0.10470555672014469</v>
      </c>
      <c r="J104" s="83">
        <f t="shared" si="37"/>
        <v>8500</v>
      </c>
      <c r="K104" s="57">
        <f t="shared" si="33"/>
        <v>0.1450162575792126</v>
      </c>
      <c r="M104" s="83">
        <f t="shared" si="38"/>
        <v>8500</v>
      </c>
      <c r="N104" s="57">
        <f t="shared" si="31"/>
        <v>3.4873987155444978E-2</v>
      </c>
      <c r="O104" s="97">
        <f t="shared" si="32"/>
        <v>0.61975808795885201</v>
      </c>
    </row>
    <row r="105" spans="1:16" hidden="1" x14ac:dyDescent="0.2">
      <c r="A105" s="83">
        <f t="shared" si="34"/>
        <v>9000</v>
      </c>
      <c r="B105" s="74">
        <f t="shared" si="39"/>
        <v>0.10044395116537182</v>
      </c>
      <c r="D105" s="83">
        <f t="shared" si="35"/>
        <v>9000</v>
      </c>
      <c r="E105" s="74">
        <f t="shared" si="29"/>
        <v>0.10004938271604939</v>
      </c>
      <c r="G105" s="83">
        <f t="shared" si="36"/>
        <v>9000</v>
      </c>
      <c r="H105" s="57">
        <f t="shared" si="30"/>
        <v>0.10444417012142197</v>
      </c>
      <c r="J105" s="83">
        <f t="shared" si="37"/>
        <v>9000</v>
      </c>
      <c r="K105" s="57">
        <f t="shared" si="33"/>
        <v>0.14444466728649077</v>
      </c>
      <c r="M105" s="83">
        <f t="shared" si="38"/>
        <v>9000</v>
      </c>
      <c r="N105" s="57">
        <f t="shared" si="31"/>
        <v>3.4036020228008966E-2</v>
      </c>
      <c r="O105" s="97">
        <f t="shared" si="32"/>
        <v>0.61264529233372267</v>
      </c>
    </row>
    <row r="106" spans="1:16" hidden="1" x14ac:dyDescent="0.2">
      <c r="A106" s="83">
        <f t="shared" si="34"/>
        <v>9500</v>
      </c>
      <c r="B106" s="74">
        <f t="shared" si="39"/>
        <v>0.10039849457604605</v>
      </c>
      <c r="D106" s="83">
        <f t="shared" si="35"/>
        <v>9500</v>
      </c>
      <c r="E106" s="74">
        <f t="shared" si="29"/>
        <v>0.10004432132963989</v>
      </c>
      <c r="G106" s="83">
        <f t="shared" si="36"/>
        <v>9500</v>
      </c>
      <c r="H106" s="57">
        <f t="shared" si="30"/>
        <v>0.10421029306501703</v>
      </c>
      <c r="J106" s="83">
        <f t="shared" si="37"/>
        <v>9500</v>
      </c>
      <c r="K106" s="57">
        <f t="shared" si="33"/>
        <v>0.143917170346887</v>
      </c>
      <c r="M106" s="83">
        <f t="shared" si="38"/>
        <v>9500</v>
      </c>
      <c r="N106" s="57">
        <f t="shared" si="31"/>
        <v>3.3261625245047166E-2</v>
      </c>
      <c r="O106" s="97">
        <f t="shared" si="32"/>
        <v>0.60589741975313527</v>
      </c>
    </row>
    <row r="107" spans="1:16" x14ac:dyDescent="0.2">
      <c r="A107">
        <v>10000</v>
      </c>
      <c r="B107" s="74">
        <f>$B$9+($B$10-$B$9)/(1+(A107/$B$7)^$B$8)</f>
        <v>0.1003596762913378</v>
      </c>
      <c r="C107" s="53"/>
      <c r="D107">
        <v>10000</v>
      </c>
      <c r="E107" s="74">
        <f>IF(D107&lt;$E$7,$E$10,$E$9+($E$10-$E$9)*($E$7/D107)^$E$8)</f>
        <v>0.10004</v>
      </c>
      <c r="F107" s="53"/>
      <c r="G107">
        <v>10000</v>
      </c>
      <c r="H107" s="57">
        <f>H$10+((H$11-H$10)/(1+((G107/H$7)^H$8))^(1-1/$H$8))</f>
        <v>0.10399980001499876</v>
      </c>
      <c r="I107" s="53"/>
      <c r="J107">
        <v>10000</v>
      </c>
      <c r="K107" s="57">
        <f>$K$10+($K$11-$K$10)/((LN(EXP(1)+(J107/$K$7)^$K$8))^$K$9)</f>
        <v>0.14342816665294722</v>
      </c>
      <c r="L107" s="53"/>
      <c r="M107">
        <v>10000</v>
      </c>
      <c r="N107" s="57">
        <f t="shared" si="31"/>
        <v>3.2542834017276041E-2</v>
      </c>
      <c r="O107" s="97">
        <f t="shared" si="32"/>
        <v>0.59947884565037346</v>
      </c>
    </row>
    <row r="108" spans="1:16" x14ac:dyDescent="0.2">
      <c r="A108">
        <v>100000</v>
      </c>
      <c r="B108" s="74">
        <f>$B$9+($B$10-$B$9)/(1+(A108/$B$7)^$B$8)</f>
        <v>0.1000035999676003</v>
      </c>
      <c r="C108" s="53"/>
      <c r="D108">
        <v>100000</v>
      </c>
      <c r="E108" s="74">
        <f>IF(D108&lt;$E$7,$E$10,$E$9+($E$10-$E$9)*($E$7/D108)^$E$8)</f>
        <v>0.1000004</v>
      </c>
      <c r="F108" s="53"/>
      <c r="G108">
        <v>100000</v>
      </c>
      <c r="H108" s="57">
        <f>H$10+((H$11-H$10)/(1+((G108/H$7)^H$8))^(1-1/$H$8))</f>
        <v>0.10039999980000015</v>
      </c>
      <c r="I108" s="53"/>
      <c r="J108">
        <v>100000</v>
      </c>
      <c r="K108" s="57">
        <f>$K$10+($K$11-$K$10)/((LN(EXP(1)+(J108/$K$7)^$K$8))^$K$9)</f>
        <v>0.12895295976356178</v>
      </c>
      <c r="L108" s="53"/>
      <c r="M108">
        <v>100000</v>
      </c>
      <c r="N108" s="57">
        <f t="shared" si="31"/>
        <v>1.0941520951370114E-2</v>
      </c>
      <c r="O108" s="97">
        <f t="shared" si="32"/>
        <v>0.30232545593187654</v>
      </c>
    </row>
    <row r="109" spans="1:16" x14ac:dyDescent="0.2">
      <c r="A109">
        <v>1000000</v>
      </c>
      <c r="B109" s="74">
        <f>$B$9+($B$10-$B$9)/(1+(A109/$B$7)^$B$8)</f>
        <v>0.10000003599999677</v>
      </c>
      <c r="C109" s="53"/>
      <c r="D109">
        <v>1000000</v>
      </c>
      <c r="E109" s="74">
        <f>IF(D109&lt;$E$7,$E$10,$E$9+($E$10-$E$9)*($E$7/D109)^$E$8)</f>
        <v>0.100000004</v>
      </c>
      <c r="F109" s="53"/>
      <c r="G109">
        <v>1000000</v>
      </c>
      <c r="H109" s="57">
        <f>H$10+((H$11-H$10)/(1+((G109/H$7)^H$8))^(1-1/$H$8))</f>
        <v>0.10003999999980001</v>
      </c>
      <c r="I109" s="53"/>
      <c r="J109">
        <v>1000000</v>
      </c>
      <c r="K109" s="57">
        <f>$K$10+($K$11-$K$10)/((LN(EXP(1)+(J109/$K$7)^$K$8))^$K$9)</f>
        <v>0.12171472406311887</v>
      </c>
      <c r="L109" s="53"/>
      <c r="M109">
        <v>1000000</v>
      </c>
      <c r="N109" s="57">
        <f t="shared" si="31"/>
        <v>0</v>
      </c>
      <c r="O109" s="97">
        <f t="shared" si="32"/>
        <v>0</v>
      </c>
    </row>
    <row r="110" spans="1:16" x14ac:dyDescent="0.2">
      <c r="B110" s="74"/>
      <c r="C110" s="53"/>
      <c r="E110" s="74"/>
      <c r="F110" s="53"/>
      <c r="H110" s="57"/>
      <c r="I110" s="53"/>
      <c r="K110" s="57"/>
      <c r="L110" s="53"/>
      <c r="N110" s="57"/>
      <c r="O110" s="53"/>
      <c r="P110" s="82"/>
    </row>
    <row r="112" spans="1:16" ht="16" thickBot="1" x14ac:dyDescent="0.25"/>
    <row r="113" spans="2:14" x14ac:dyDescent="0.2">
      <c r="B113" s="11"/>
      <c r="C113" s="12"/>
      <c r="D113" s="12"/>
      <c r="E113" s="12"/>
      <c r="F113" s="12"/>
      <c r="G113" s="12"/>
      <c r="H113" s="12"/>
      <c r="I113" s="12"/>
      <c r="J113" s="12"/>
      <c r="K113" s="12"/>
      <c r="L113" s="12"/>
      <c r="M113" s="12"/>
      <c r="N113" s="13"/>
    </row>
    <row r="114" spans="2:14" x14ac:dyDescent="0.2">
      <c r="B114" s="6"/>
      <c r="N114" s="14"/>
    </row>
    <row r="115" spans="2:14" x14ac:dyDescent="0.2">
      <c r="B115" s="6"/>
      <c r="N115" s="14"/>
    </row>
    <row r="116" spans="2:14" x14ac:dyDescent="0.2">
      <c r="B116" s="6"/>
      <c r="N116" s="14"/>
    </row>
    <row r="117" spans="2:14" x14ac:dyDescent="0.2">
      <c r="B117" s="6"/>
      <c r="N117" s="14"/>
    </row>
    <row r="118" spans="2:14" x14ac:dyDescent="0.2">
      <c r="B118" s="6"/>
      <c r="N118" s="14"/>
    </row>
    <row r="119" spans="2:14" x14ac:dyDescent="0.2">
      <c r="B119" s="6"/>
      <c r="N119" s="14"/>
    </row>
    <row r="120" spans="2:14" x14ac:dyDescent="0.2">
      <c r="B120" s="6"/>
      <c r="N120" s="14"/>
    </row>
    <row r="121" spans="2:14" x14ac:dyDescent="0.2">
      <c r="B121" s="6"/>
      <c r="N121" s="14"/>
    </row>
    <row r="122" spans="2:14" x14ac:dyDescent="0.2">
      <c r="B122" s="6"/>
      <c r="N122" s="14"/>
    </row>
    <row r="123" spans="2:14" x14ac:dyDescent="0.2">
      <c r="B123" s="6"/>
      <c r="N123" s="14"/>
    </row>
    <row r="124" spans="2:14" x14ac:dyDescent="0.2">
      <c r="B124" s="6"/>
      <c r="N124" s="14"/>
    </row>
    <row r="125" spans="2:14" x14ac:dyDescent="0.2">
      <c r="B125" s="6"/>
      <c r="N125" s="14"/>
    </row>
    <row r="126" spans="2:14" x14ac:dyDescent="0.2">
      <c r="B126" s="6"/>
      <c r="N126" s="14"/>
    </row>
    <row r="127" spans="2:14" x14ac:dyDescent="0.2">
      <c r="B127" s="6"/>
      <c r="N127" s="14"/>
    </row>
    <row r="128" spans="2:14" x14ac:dyDescent="0.2">
      <c r="B128" s="6"/>
      <c r="N128" s="14"/>
    </row>
    <row r="129" spans="1:16" x14ac:dyDescent="0.2">
      <c r="B129" s="6"/>
      <c r="N129" s="14"/>
    </row>
    <row r="130" spans="1:16" x14ac:dyDescent="0.2">
      <c r="B130" s="6"/>
      <c r="N130" s="14"/>
    </row>
    <row r="131" spans="1:16" x14ac:dyDescent="0.2">
      <c r="B131" s="6"/>
      <c r="N131" s="14"/>
    </row>
    <row r="132" spans="1:16" x14ac:dyDescent="0.2">
      <c r="B132" s="6"/>
      <c r="N132" s="14"/>
    </row>
    <row r="133" spans="1:16" ht="16" thickBot="1" x14ac:dyDescent="0.25">
      <c r="B133" s="6"/>
      <c r="N133" s="95"/>
    </row>
    <row r="134" spans="1:16" ht="20" thickBot="1" x14ac:dyDescent="0.3">
      <c r="B134" s="6"/>
      <c r="J134" s="11"/>
      <c r="K134" s="12"/>
      <c r="L134" s="77" t="s">
        <v>70</v>
      </c>
      <c r="M134" s="78"/>
      <c r="N134" s="79"/>
      <c r="O134" s="81"/>
      <c r="P134" s="81"/>
    </row>
    <row r="135" spans="1:16" ht="15.75" customHeight="1" x14ac:dyDescent="0.2">
      <c r="B135" s="17"/>
      <c r="C135" s="7"/>
      <c r="D135" s="7"/>
      <c r="E135" s="7"/>
      <c r="F135" s="7"/>
      <c r="G135" s="7"/>
      <c r="H135" s="7"/>
      <c r="I135" s="7"/>
      <c r="J135" s="93"/>
      <c r="K135" s="118" t="s">
        <v>20</v>
      </c>
      <c r="L135" s="119"/>
      <c r="M135" s="119"/>
      <c r="N135" s="120"/>
      <c r="O135" s="92"/>
      <c r="P135" s="92"/>
    </row>
    <row r="136" spans="1:16" ht="17" thickBot="1" x14ac:dyDescent="0.25">
      <c r="B136" s="18"/>
      <c r="C136" s="19"/>
      <c r="D136" s="19"/>
      <c r="E136" s="19"/>
      <c r="F136" s="19"/>
      <c r="G136" s="19"/>
      <c r="H136" s="19"/>
      <c r="I136" s="19"/>
      <c r="J136" s="94"/>
      <c r="K136" s="121"/>
      <c r="L136" s="122"/>
      <c r="M136" s="122"/>
      <c r="N136" s="123"/>
      <c r="O136" s="92"/>
      <c r="P136" s="92"/>
    </row>
    <row r="137" spans="1:16" x14ac:dyDescent="0.2">
      <c r="B137" s="7"/>
      <c r="C137" s="7"/>
      <c r="D137" s="7"/>
      <c r="E137" s="7"/>
      <c r="F137" s="7"/>
      <c r="G137" s="7"/>
      <c r="H137" s="7"/>
      <c r="I137" s="7"/>
      <c r="J137" s="7"/>
      <c r="L137" s="2"/>
      <c r="M137" s="2"/>
      <c r="N137" s="2"/>
      <c r="O137" s="2"/>
      <c r="P137" s="2"/>
    </row>
    <row r="138" spans="1:16" ht="15" customHeight="1" x14ac:dyDescent="0.2">
      <c r="A138" s="7" t="s">
        <v>87</v>
      </c>
      <c r="G138" s="85"/>
      <c r="O138" s="80"/>
      <c r="P138" s="80"/>
    </row>
    <row r="139" spans="1:16" ht="15" customHeight="1" x14ac:dyDescent="0.25">
      <c r="A139" s="86" t="s">
        <v>84</v>
      </c>
      <c r="B139" s="87"/>
      <c r="C139" s="87"/>
      <c r="D139" s="87"/>
      <c r="G139" s="85"/>
      <c r="I139" s="87"/>
      <c r="J139" s="88"/>
      <c r="K139" s="87"/>
      <c r="O139" s="80"/>
    </row>
    <row r="140" spans="1:16" x14ac:dyDescent="0.2">
      <c r="A140" s="29"/>
      <c r="B140" s="89"/>
      <c r="C140" s="89"/>
      <c r="D140" s="87"/>
      <c r="G140" s="85"/>
      <c r="I140" s="87"/>
      <c r="J140" s="88"/>
      <c r="K140" s="87"/>
    </row>
    <row r="141" spans="1:16" ht="16" x14ac:dyDescent="0.2">
      <c r="A141" s="90" t="s">
        <v>85</v>
      </c>
      <c r="B141" s="89"/>
      <c r="C141" s="89"/>
      <c r="D141" s="87"/>
      <c r="G141" s="85"/>
      <c r="I141" s="87"/>
      <c r="J141" s="88"/>
      <c r="K141" s="87"/>
    </row>
    <row r="142" spans="1:16" x14ac:dyDescent="0.2">
      <c r="A142" s="89"/>
      <c r="B142" s="89"/>
      <c r="C142" s="89"/>
      <c r="G142" s="85"/>
    </row>
    <row r="143" spans="1:16" ht="17" x14ac:dyDescent="0.2">
      <c r="A143" s="91" t="s">
        <v>86</v>
      </c>
      <c r="G143" s="85"/>
    </row>
  </sheetData>
  <sheetProtection sheet="1" objects="1" scenarios="1"/>
  <mergeCells count="7">
    <mergeCell ref="AA28:AE28"/>
    <mergeCell ref="AB30:AE31"/>
    <mergeCell ref="K135:N136"/>
    <mergeCell ref="AA29:AE29"/>
    <mergeCell ref="AA32:AE32"/>
    <mergeCell ref="AA33:AA34"/>
    <mergeCell ref="AB33:AE34"/>
  </mergeCells>
  <pageMargins left="0.7" right="0.7" top="0.75" bottom="0.75" header="0.3" footer="0.3"/>
  <pageSetup scale="63"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pageSetUpPr fitToPage="1"/>
  </sheetPr>
  <dimension ref="A2:U33"/>
  <sheetViews>
    <sheetView zoomScale="87" zoomScaleNormal="87" workbookViewId="0">
      <selection activeCell="B12" sqref="B12"/>
    </sheetView>
  </sheetViews>
  <sheetFormatPr baseColWidth="10" defaultColWidth="8.83203125" defaultRowHeight="15" x14ac:dyDescent="0.2"/>
  <cols>
    <col min="1" max="1" width="35.6640625" customWidth="1"/>
    <col min="5" max="16" width="6.6640625" customWidth="1"/>
    <col min="17" max="21" width="9.6640625" customWidth="1"/>
  </cols>
  <sheetData>
    <row r="2" spans="1:21" ht="22" thickBot="1" x14ac:dyDescent="0.3">
      <c r="A2" s="21" t="s">
        <v>25</v>
      </c>
    </row>
    <row r="3" spans="1:21" x14ac:dyDescent="0.2">
      <c r="E3" s="11"/>
      <c r="F3" s="12"/>
      <c r="G3" s="12"/>
      <c r="H3" s="12"/>
      <c r="I3" s="12"/>
      <c r="J3" s="12"/>
      <c r="K3" s="12"/>
      <c r="L3" s="12"/>
      <c r="M3" s="12"/>
      <c r="N3" s="12"/>
      <c r="O3" s="12"/>
      <c r="P3" s="12"/>
      <c r="Q3" s="12"/>
      <c r="R3" s="12"/>
      <c r="S3" s="12"/>
      <c r="T3" s="12"/>
      <c r="U3" s="13"/>
    </row>
    <row r="4" spans="1:21" x14ac:dyDescent="0.2">
      <c r="E4" s="6"/>
      <c r="U4" s="14"/>
    </row>
    <row r="5" spans="1:21" ht="17" x14ac:dyDescent="0.2">
      <c r="A5" s="31" t="s">
        <v>27</v>
      </c>
      <c r="E5" s="6"/>
      <c r="U5" s="14"/>
    </row>
    <row r="6" spans="1:21" x14ac:dyDescent="0.2">
      <c r="A6" s="7" t="s">
        <v>89</v>
      </c>
      <c r="B6" s="30">
        <v>1.5</v>
      </c>
      <c r="C6" s="20"/>
      <c r="E6" s="6"/>
      <c r="U6" s="14"/>
    </row>
    <row r="7" spans="1:21" x14ac:dyDescent="0.2">
      <c r="A7" s="7" t="s">
        <v>98</v>
      </c>
      <c r="B7" s="30">
        <v>75</v>
      </c>
      <c r="C7" s="20" t="s">
        <v>18</v>
      </c>
      <c r="E7" s="6"/>
      <c r="U7" s="14"/>
    </row>
    <row r="8" spans="1:21" x14ac:dyDescent="0.2">
      <c r="A8" s="7" t="s">
        <v>90</v>
      </c>
      <c r="B8" s="30">
        <v>25</v>
      </c>
      <c r="C8" t="s">
        <v>18</v>
      </c>
      <c r="E8" s="6"/>
      <c r="U8" s="14"/>
    </row>
    <row r="9" spans="1:21" x14ac:dyDescent="0.2">
      <c r="A9" s="7" t="s">
        <v>55</v>
      </c>
      <c r="B9" s="30">
        <v>20</v>
      </c>
      <c r="C9" t="s">
        <v>18</v>
      </c>
      <c r="E9" s="6"/>
      <c r="U9" s="14"/>
    </row>
    <row r="10" spans="1:21" x14ac:dyDescent="0.2">
      <c r="A10" s="7" t="s">
        <v>54</v>
      </c>
      <c r="B10" s="30">
        <v>90</v>
      </c>
      <c r="C10" t="s">
        <v>18</v>
      </c>
      <c r="E10" s="6"/>
      <c r="U10" s="14"/>
    </row>
    <row r="11" spans="1:21" x14ac:dyDescent="0.2">
      <c r="A11" s="7" t="s">
        <v>53</v>
      </c>
      <c r="B11" s="30">
        <v>70</v>
      </c>
      <c r="C11" t="s">
        <v>18</v>
      </c>
      <c r="E11" s="6"/>
      <c r="U11" s="14"/>
    </row>
    <row r="12" spans="1:21" ht="17" x14ac:dyDescent="0.25">
      <c r="A12" s="7" t="s">
        <v>91</v>
      </c>
      <c r="B12" s="32">
        <v>9.9999999999999995E-8</v>
      </c>
      <c r="C12" t="s">
        <v>56</v>
      </c>
      <c r="E12" s="6"/>
      <c r="U12" s="14"/>
    </row>
    <row r="13" spans="1:21" x14ac:dyDescent="0.2">
      <c r="A13" s="33" t="s">
        <v>61</v>
      </c>
      <c r="E13" s="6"/>
      <c r="U13" s="14"/>
    </row>
    <row r="14" spans="1:21" x14ac:dyDescent="0.2">
      <c r="C14" s="50"/>
      <c r="E14" s="6"/>
      <c r="U14" s="14"/>
    </row>
    <row r="15" spans="1:21" ht="17" x14ac:dyDescent="0.2">
      <c r="A15" s="24" t="s">
        <v>38</v>
      </c>
      <c r="E15" s="6"/>
      <c r="U15" s="14"/>
    </row>
    <row r="16" spans="1:21" x14ac:dyDescent="0.2">
      <c r="E16" s="6"/>
      <c r="U16" s="14"/>
    </row>
    <row r="17" spans="1:21" x14ac:dyDescent="0.2">
      <c r="E17" s="6"/>
      <c r="U17" s="14"/>
    </row>
    <row r="18" spans="1:21" x14ac:dyDescent="0.2">
      <c r="E18" s="6"/>
      <c r="U18" s="14"/>
    </row>
    <row r="19" spans="1:21" x14ac:dyDescent="0.2">
      <c r="E19" s="6"/>
      <c r="U19" s="14"/>
    </row>
    <row r="20" spans="1:21" x14ac:dyDescent="0.2">
      <c r="A20" s="76" t="s">
        <v>3</v>
      </c>
      <c r="B20" s="25">
        <f>AVERAGE('Perera et al 2005  v1.4'!N4,'Zapata et al 2000 v1.4'!N4)</f>
        <v>802.75544286069851</v>
      </c>
      <c r="C20" t="s">
        <v>35</v>
      </c>
      <c r="E20" s="6"/>
      <c r="U20" s="14"/>
    </row>
    <row r="21" spans="1:21" x14ac:dyDescent="0.2">
      <c r="A21" s="76" t="s">
        <v>16</v>
      </c>
      <c r="B21" s="25">
        <f>AVERAGE('Perera et al 2005  v1.4'!P4,'Zapata et al 2000 v1.4'!P4)</f>
        <v>0.63583627571151669</v>
      </c>
      <c r="E21" s="6"/>
      <c r="U21" s="14"/>
    </row>
    <row r="22" spans="1:21" x14ac:dyDescent="0.2">
      <c r="A22" s="76" t="s">
        <v>4</v>
      </c>
      <c r="B22" s="25">
        <f>AVERAGE('Perera et al 2005  v1.4'!N5,'Zapata et al 2000 v1.4'!N5)</f>
        <v>0.34816817700830099</v>
      </c>
      <c r="E22" s="6"/>
      <c r="U22" s="14"/>
    </row>
    <row r="23" spans="1:21" x14ac:dyDescent="0.2">
      <c r="E23" s="6"/>
      <c r="U23" s="14"/>
    </row>
    <row r="24" spans="1:21" ht="17" x14ac:dyDescent="0.2">
      <c r="A24" s="24" t="s">
        <v>34</v>
      </c>
      <c r="E24" s="6"/>
      <c r="U24" s="14"/>
    </row>
    <row r="25" spans="1:21" x14ac:dyDescent="0.2">
      <c r="E25" s="6"/>
      <c r="U25" s="14"/>
    </row>
    <row r="26" spans="1:21" x14ac:dyDescent="0.2">
      <c r="E26" s="6"/>
      <c r="U26" s="14"/>
    </row>
    <row r="27" spans="1:21" x14ac:dyDescent="0.2">
      <c r="A27" s="22"/>
      <c r="E27" s="6"/>
      <c r="U27" s="14"/>
    </row>
    <row r="28" spans="1:21" ht="17" thickBot="1" x14ac:dyDescent="0.25">
      <c r="E28" s="6"/>
      <c r="Q28" s="125"/>
      <c r="R28" s="125"/>
      <c r="S28" s="125"/>
      <c r="T28" s="125"/>
      <c r="U28" s="126"/>
    </row>
    <row r="29" spans="1:21" x14ac:dyDescent="0.2">
      <c r="E29" s="16"/>
      <c r="F29" s="7"/>
      <c r="G29" s="7"/>
      <c r="H29" s="7"/>
      <c r="I29" s="7"/>
      <c r="J29" s="7"/>
      <c r="K29" s="7"/>
      <c r="L29" s="7"/>
      <c r="M29" s="7"/>
      <c r="N29" s="7"/>
      <c r="O29" s="7"/>
      <c r="Q29" s="127" t="s">
        <v>50</v>
      </c>
      <c r="R29" s="128"/>
      <c r="S29" s="128"/>
      <c r="T29" s="128"/>
      <c r="U29" s="129"/>
    </row>
    <row r="30" spans="1:21" x14ac:dyDescent="0.2">
      <c r="A30" s="76" t="s">
        <v>3</v>
      </c>
      <c r="B30" s="25">
        <f>1/'Ghanbarian et al 2010  v1.4'!O5</f>
        <v>200</v>
      </c>
      <c r="C30" t="s">
        <v>35</v>
      </c>
      <c r="E30" s="17"/>
      <c r="F30" s="7"/>
      <c r="G30" s="7"/>
      <c r="H30" s="7"/>
      <c r="I30" s="7"/>
      <c r="J30" s="7"/>
      <c r="K30" s="7"/>
      <c r="L30" s="7"/>
      <c r="M30" s="7"/>
      <c r="N30" s="7"/>
      <c r="O30" s="7"/>
      <c r="Q30" s="130"/>
      <c r="R30" s="131"/>
      <c r="S30" s="131"/>
      <c r="T30" s="131"/>
      <c r="U30" s="132"/>
    </row>
    <row r="31" spans="1:21" ht="16" thickBot="1" x14ac:dyDescent="0.25">
      <c r="A31" s="76" t="s">
        <v>16</v>
      </c>
      <c r="B31" s="25">
        <f>'Ghanbarian et al 2010  v1.4'!M6</f>
        <v>1.0746793268491412</v>
      </c>
      <c r="E31" s="17"/>
      <c r="F31" s="7"/>
      <c r="G31" s="7"/>
      <c r="H31" s="7"/>
      <c r="I31" s="7"/>
      <c r="J31" s="7"/>
      <c r="K31" s="7"/>
      <c r="L31" s="7"/>
      <c r="M31" s="7"/>
      <c r="N31" s="7"/>
      <c r="O31" s="7"/>
      <c r="Q31" s="135" t="str">
        <f>CONCATENATE("Ks=",B12,"cm/sec",",      PI=",B7-B8,"%")</f>
        <v>Ks=0.0000001cm/sec,      PI=50%</v>
      </c>
      <c r="R31" s="136"/>
      <c r="S31" s="136"/>
      <c r="T31" s="136"/>
      <c r="U31" s="137"/>
    </row>
    <row r="32" spans="1:21" ht="15.75" customHeight="1" x14ac:dyDescent="0.25">
      <c r="A32" s="76" t="s">
        <v>83</v>
      </c>
      <c r="B32" s="25">
        <f>'Ghanbarian et al 2010  v1.4'!O6</f>
        <v>7.0000000000000007E-2</v>
      </c>
      <c r="C32" t="s">
        <v>37</v>
      </c>
      <c r="E32" s="17"/>
      <c r="F32" s="7"/>
      <c r="G32" s="7"/>
      <c r="H32" s="7"/>
      <c r="I32" s="7"/>
      <c r="J32" s="7"/>
      <c r="K32" s="7"/>
      <c r="L32" s="7"/>
      <c r="M32" s="7"/>
      <c r="N32" s="7"/>
      <c r="O32" s="7"/>
      <c r="Q32" s="133"/>
      <c r="R32" s="118" t="s">
        <v>20</v>
      </c>
      <c r="S32" s="119"/>
      <c r="T32" s="119"/>
      <c r="U32" s="120"/>
    </row>
    <row r="33" spans="5:21" ht="16" thickBot="1" x14ac:dyDescent="0.25">
      <c r="E33" s="18"/>
      <c r="F33" s="19"/>
      <c r="G33" s="19"/>
      <c r="H33" s="19"/>
      <c r="I33" s="19"/>
      <c r="J33" s="19"/>
      <c r="K33" s="19"/>
      <c r="L33" s="19"/>
      <c r="M33" s="19"/>
      <c r="N33" s="19"/>
      <c r="O33" s="19"/>
      <c r="P33" s="15"/>
      <c r="Q33" s="134"/>
      <c r="R33" s="121"/>
      <c r="S33" s="122"/>
      <c r="T33" s="122"/>
      <c r="U33" s="123"/>
    </row>
  </sheetData>
  <sheetProtection sheet="1" objects="1" scenarios="1"/>
  <mergeCells count="5">
    <mergeCell ref="Q28:U28"/>
    <mergeCell ref="Q29:U30"/>
    <mergeCell ref="Q32:Q33"/>
    <mergeCell ref="Q31:U31"/>
    <mergeCell ref="R32:U33"/>
  </mergeCells>
  <pageMargins left="0.25" right="0.25" top="0.75" bottom="0.75" header="0.3" footer="0.3"/>
  <pageSetup scale="7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pageSetUpPr fitToPage="1"/>
  </sheetPr>
  <dimension ref="A2:U34"/>
  <sheetViews>
    <sheetView topLeftCell="A8" zoomScale="166" zoomScaleNormal="84" workbookViewId="0">
      <selection activeCell="B16" sqref="B16"/>
    </sheetView>
  </sheetViews>
  <sheetFormatPr baseColWidth="10" defaultColWidth="8.83203125" defaultRowHeight="15" x14ac:dyDescent="0.2"/>
  <cols>
    <col min="1" max="1" width="33.83203125" customWidth="1"/>
    <col min="5" max="16" width="6.6640625" customWidth="1"/>
    <col min="17" max="21" width="9.6640625" customWidth="1"/>
    <col min="22" max="22" width="6.6640625" customWidth="1"/>
  </cols>
  <sheetData>
    <row r="2" spans="1:21" ht="22" thickBot="1" x14ac:dyDescent="0.3">
      <c r="A2" s="21" t="s">
        <v>15</v>
      </c>
    </row>
    <row r="3" spans="1:21" x14ac:dyDescent="0.2">
      <c r="E3" s="11"/>
      <c r="F3" s="12"/>
      <c r="G3" s="12"/>
      <c r="H3" s="12"/>
      <c r="I3" s="12"/>
      <c r="J3" s="12"/>
      <c r="K3" s="12"/>
      <c r="L3" s="12"/>
      <c r="M3" s="12"/>
      <c r="N3" s="12"/>
      <c r="O3" s="12"/>
      <c r="P3" s="12"/>
      <c r="Q3" s="12"/>
      <c r="R3" s="12"/>
      <c r="S3" s="12"/>
      <c r="T3" s="12"/>
      <c r="U3" s="13"/>
    </row>
    <row r="4" spans="1:21" x14ac:dyDescent="0.2">
      <c r="E4" s="6"/>
      <c r="U4" s="14"/>
    </row>
    <row r="5" spans="1:21" ht="17" x14ac:dyDescent="0.2">
      <c r="A5" s="31" t="s">
        <v>27</v>
      </c>
      <c r="E5" s="6"/>
      <c r="U5" s="14"/>
    </row>
    <row r="6" spans="1:21" x14ac:dyDescent="0.2">
      <c r="A6" s="7" t="s">
        <v>92</v>
      </c>
      <c r="B6" s="30">
        <v>0.5</v>
      </c>
      <c r="C6" s="20"/>
      <c r="E6" s="6"/>
      <c r="U6" s="14"/>
    </row>
    <row r="7" spans="1:21" ht="17" x14ac:dyDescent="0.25">
      <c r="A7" s="98" t="s">
        <v>100</v>
      </c>
      <c r="B7" s="30">
        <v>0.05</v>
      </c>
      <c r="C7" s="20" t="s">
        <v>26</v>
      </c>
      <c r="E7" s="6"/>
      <c r="U7" s="14"/>
    </row>
    <row r="8" spans="1:21" ht="17" x14ac:dyDescent="0.25">
      <c r="A8" s="98" t="s">
        <v>101</v>
      </c>
      <c r="B8" s="30">
        <v>0.1</v>
      </c>
      <c r="C8" t="s">
        <v>26</v>
      </c>
      <c r="E8" s="6"/>
      <c r="U8" s="14"/>
    </row>
    <row r="9" spans="1:21" ht="17" x14ac:dyDescent="0.25">
      <c r="A9" s="98" t="s">
        <v>102</v>
      </c>
      <c r="B9" s="30">
        <v>0.2</v>
      </c>
      <c r="C9" t="s">
        <v>26</v>
      </c>
      <c r="E9" s="6"/>
      <c r="U9" s="14"/>
    </row>
    <row r="10" spans="1:21" ht="17" x14ac:dyDescent="0.25">
      <c r="A10" s="98" t="s">
        <v>103</v>
      </c>
      <c r="B10" s="30">
        <v>0.5</v>
      </c>
      <c r="C10" t="s">
        <v>26</v>
      </c>
      <c r="E10" s="6"/>
      <c r="U10" s="14"/>
    </row>
    <row r="11" spans="1:21" ht="17" x14ac:dyDescent="0.25">
      <c r="A11" s="98" t="s">
        <v>99</v>
      </c>
      <c r="B11" s="30">
        <v>2</v>
      </c>
      <c r="C11" t="s">
        <v>26</v>
      </c>
      <c r="E11" s="6"/>
      <c r="U11" s="14"/>
    </row>
    <row r="12" spans="1:21" x14ac:dyDescent="0.2">
      <c r="A12" s="7" t="s">
        <v>55</v>
      </c>
      <c r="B12" s="30">
        <v>70</v>
      </c>
      <c r="C12" t="s">
        <v>18</v>
      </c>
      <c r="E12" s="6"/>
      <c r="U12" s="14"/>
    </row>
    <row r="13" spans="1:21" x14ac:dyDescent="0.2">
      <c r="A13" s="7" t="s">
        <v>54</v>
      </c>
      <c r="B13" s="30">
        <v>30</v>
      </c>
      <c r="C13" t="s">
        <v>18</v>
      </c>
      <c r="E13" s="6"/>
      <c r="U13" s="14"/>
    </row>
    <row r="14" spans="1:21" x14ac:dyDescent="0.2">
      <c r="A14" s="7" t="s">
        <v>53</v>
      </c>
      <c r="B14" s="30">
        <v>10</v>
      </c>
      <c r="C14" t="s">
        <v>18</v>
      </c>
      <c r="E14" s="6"/>
      <c r="U14" s="14"/>
    </row>
    <row r="15" spans="1:21" ht="17" x14ac:dyDescent="0.25">
      <c r="A15" s="7" t="s">
        <v>93</v>
      </c>
      <c r="B15" s="32">
        <v>0.01</v>
      </c>
      <c r="C15" t="s">
        <v>56</v>
      </c>
      <c r="E15" s="6"/>
      <c r="U15" s="14"/>
    </row>
    <row r="16" spans="1:21" x14ac:dyDescent="0.2">
      <c r="E16" s="6"/>
      <c r="U16" s="14"/>
    </row>
    <row r="17" spans="1:21" ht="17" x14ac:dyDescent="0.2">
      <c r="A17" s="24" t="s">
        <v>38</v>
      </c>
      <c r="E17" s="6"/>
      <c r="U17" s="14"/>
    </row>
    <row r="18" spans="1:21" x14ac:dyDescent="0.2">
      <c r="E18" s="6"/>
      <c r="U18" s="14"/>
    </row>
    <row r="19" spans="1:21" x14ac:dyDescent="0.2">
      <c r="E19" s="6"/>
      <c r="U19" s="14"/>
    </row>
    <row r="20" spans="1:21" x14ac:dyDescent="0.2">
      <c r="E20" s="6"/>
      <c r="U20" s="14"/>
    </row>
    <row r="21" spans="1:21" x14ac:dyDescent="0.2">
      <c r="E21" s="6"/>
      <c r="U21" s="14"/>
    </row>
    <row r="22" spans="1:21" x14ac:dyDescent="0.2">
      <c r="A22" s="76" t="s">
        <v>3</v>
      </c>
      <c r="B22" s="25">
        <f>AVERAGE('Perera et al 2005  v1.4'!N27,'Zapata et al 2000 v1.4'!N25)</f>
        <v>4.6256148736758629</v>
      </c>
      <c r="C22" t="s">
        <v>35</v>
      </c>
      <c r="E22" s="6"/>
      <c r="U22" s="14"/>
    </row>
    <row r="23" spans="1:21" x14ac:dyDescent="0.2">
      <c r="A23" s="76" t="s">
        <v>16</v>
      </c>
      <c r="B23" s="25">
        <f>AVERAGE('Perera et al 2005  v1.4'!P27,'Zapata et al 2000 v1.4'!P25)</f>
        <v>5.2416664664197761</v>
      </c>
      <c r="E23" s="6"/>
      <c r="U23" s="14"/>
    </row>
    <row r="24" spans="1:21" x14ac:dyDescent="0.2">
      <c r="A24" s="76" t="s">
        <v>4</v>
      </c>
      <c r="B24" s="25">
        <f>AVERAGE('Perera et al 2005  v1.4'!T26,'Zapata et al 2000 v1.4'!N26)</f>
        <v>0.66326935247542518</v>
      </c>
      <c r="E24" s="6"/>
      <c r="U24" s="14"/>
    </row>
    <row r="25" spans="1:21" x14ac:dyDescent="0.2">
      <c r="E25" s="6"/>
      <c r="U25" s="14"/>
    </row>
    <row r="26" spans="1:21" ht="17" x14ac:dyDescent="0.2">
      <c r="A26" s="24" t="s">
        <v>34</v>
      </c>
      <c r="E26" s="6"/>
      <c r="U26" s="14"/>
    </row>
    <row r="27" spans="1:21" x14ac:dyDescent="0.2">
      <c r="E27" s="6"/>
      <c r="U27" s="14"/>
    </row>
    <row r="28" spans="1:21" ht="17" thickBot="1" x14ac:dyDescent="0.25">
      <c r="E28" s="6"/>
      <c r="Q28" s="125"/>
      <c r="R28" s="125"/>
      <c r="S28" s="125"/>
      <c r="T28" s="125"/>
      <c r="U28" s="126"/>
    </row>
    <row r="29" spans="1:21" x14ac:dyDescent="0.2">
      <c r="A29" s="22"/>
      <c r="E29" s="16"/>
      <c r="F29" s="7"/>
      <c r="G29" s="7"/>
      <c r="H29" s="7"/>
      <c r="I29" s="7"/>
      <c r="J29" s="7"/>
      <c r="K29" s="7"/>
      <c r="L29" s="7"/>
      <c r="M29" s="7"/>
      <c r="N29" s="7"/>
      <c r="O29" s="7"/>
      <c r="Q29" s="138" t="s">
        <v>49</v>
      </c>
      <c r="R29" s="139"/>
      <c r="S29" s="139"/>
      <c r="T29" s="139"/>
      <c r="U29" s="140"/>
    </row>
    <row r="30" spans="1:21" x14ac:dyDescent="0.2">
      <c r="E30" s="17"/>
      <c r="F30" s="7"/>
      <c r="G30" s="7"/>
      <c r="H30" s="7"/>
      <c r="I30" s="7"/>
      <c r="J30" s="7"/>
      <c r="K30" s="7"/>
      <c r="L30" s="7"/>
      <c r="M30" s="7"/>
      <c r="N30" s="7"/>
      <c r="O30" s="7"/>
      <c r="Q30" s="141"/>
      <c r="R30" s="142"/>
      <c r="S30" s="142"/>
      <c r="T30" s="142"/>
      <c r="U30" s="143"/>
    </row>
    <row r="31" spans="1:21" ht="16" thickBot="1" x14ac:dyDescent="0.25">
      <c r="E31" s="17"/>
      <c r="F31" s="7"/>
      <c r="G31" s="7"/>
      <c r="H31" s="7"/>
      <c r="I31" s="7"/>
      <c r="J31" s="7"/>
      <c r="K31" s="7"/>
      <c r="L31" s="7"/>
      <c r="M31" s="7"/>
      <c r="N31" s="7"/>
      <c r="O31" s="7"/>
      <c r="Q31" s="135" t="str">
        <f>CONCATENATE("Ks=",B15,"cm/sec",",      D10=",B7,"mm")</f>
        <v>Ks=0.01cm/sec,      D10=0.05mm</v>
      </c>
      <c r="R31" s="136"/>
      <c r="S31" s="136"/>
      <c r="T31" s="136"/>
      <c r="U31" s="137"/>
    </row>
    <row r="32" spans="1:21" ht="15.75" customHeight="1" x14ac:dyDescent="0.2">
      <c r="A32" s="76" t="s">
        <v>3</v>
      </c>
      <c r="B32" s="25">
        <f>1/'Ghanbarian et al 2010  v1.4'!O27</f>
        <v>0.67655172413793108</v>
      </c>
      <c r="C32" t="s">
        <v>35</v>
      </c>
      <c r="E32" s="17"/>
      <c r="F32" s="7"/>
      <c r="G32" s="7"/>
      <c r="H32" s="7"/>
      <c r="I32" s="7"/>
      <c r="J32" s="7"/>
      <c r="K32" s="7"/>
      <c r="L32" s="7"/>
      <c r="M32" s="7"/>
      <c r="N32" s="7"/>
      <c r="O32" s="7"/>
      <c r="Q32" s="133"/>
      <c r="R32" s="118" t="s">
        <v>20</v>
      </c>
      <c r="S32" s="119"/>
      <c r="T32" s="119"/>
      <c r="U32" s="120"/>
    </row>
    <row r="33" spans="1:21" ht="16" thickBot="1" x14ac:dyDescent="0.25">
      <c r="A33" s="76" t="s">
        <v>16</v>
      </c>
      <c r="B33" s="25">
        <f>'Ghanbarian et al 2010  v1.4'!M27</f>
        <v>1.2523192890886068</v>
      </c>
      <c r="E33" s="18"/>
      <c r="F33" s="19"/>
      <c r="G33" s="19"/>
      <c r="H33" s="19"/>
      <c r="I33" s="19"/>
      <c r="J33" s="19"/>
      <c r="K33" s="19"/>
      <c r="L33" s="19"/>
      <c r="M33" s="19"/>
      <c r="N33" s="19"/>
      <c r="O33" s="19"/>
      <c r="P33" s="15"/>
      <c r="Q33" s="134"/>
      <c r="R33" s="121"/>
      <c r="S33" s="122"/>
      <c r="T33" s="122"/>
      <c r="U33" s="123"/>
    </row>
    <row r="34" spans="1:21" ht="18" x14ac:dyDescent="0.25">
      <c r="A34" s="76" t="s">
        <v>83</v>
      </c>
      <c r="B34" s="25">
        <f>'Ghanbarian et al 2010  v1.4'!O28</f>
        <v>4.4999999999999998E-2</v>
      </c>
      <c r="C34" t="s">
        <v>37</v>
      </c>
    </row>
  </sheetData>
  <sheetProtection sheet="1" objects="1" scenarios="1"/>
  <mergeCells count="5">
    <mergeCell ref="Q28:U28"/>
    <mergeCell ref="Q29:U30"/>
    <mergeCell ref="Q31:U31"/>
    <mergeCell ref="Q32:Q33"/>
    <mergeCell ref="R32:U33"/>
  </mergeCells>
  <pageMargins left="0.7" right="0.7" top="0.75" bottom="0.75" header="0.3" footer="0.3"/>
  <pageSetup scale="62"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C000"/>
  </sheetPr>
  <dimension ref="O2:X55"/>
  <sheetViews>
    <sheetView tabSelected="1" workbookViewId="0">
      <selection activeCell="L13" sqref="L13"/>
    </sheetView>
  </sheetViews>
  <sheetFormatPr baseColWidth="10" defaultColWidth="8.83203125" defaultRowHeight="15" x14ac:dyDescent="0.2"/>
  <cols>
    <col min="17" max="17" width="10" customWidth="1"/>
    <col min="18" max="18" width="12" bestFit="1" customWidth="1"/>
    <col min="20" max="20" width="9.33203125" bestFit="1" customWidth="1"/>
    <col min="21" max="21" width="12.33203125" bestFit="1" customWidth="1"/>
    <col min="22" max="22" width="9.33203125" bestFit="1" customWidth="1"/>
  </cols>
  <sheetData>
    <row r="2" spans="15:24" x14ac:dyDescent="0.2">
      <c r="O2" s="7" t="s">
        <v>6</v>
      </c>
      <c r="S2" s="1"/>
    </row>
    <row r="3" spans="15:24" ht="17" x14ac:dyDescent="0.25">
      <c r="P3" s="104"/>
      <c r="S3" s="113" t="s">
        <v>121</v>
      </c>
      <c r="T3" s="29">
        <v>405</v>
      </c>
      <c r="U3" t="s">
        <v>9</v>
      </c>
      <c r="V3" s="105" t="s">
        <v>120</v>
      </c>
      <c r="W3" s="29">
        <f>T3*(T5^1.45)/T4</f>
        <v>141319.66396305335</v>
      </c>
      <c r="X3" t="s">
        <v>8</v>
      </c>
    </row>
    <row r="4" spans="15:24" ht="17" x14ac:dyDescent="0.25">
      <c r="P4" s="105" t="s">
        <v>3</v>
      </c>
      <c r="Q4" s="112">
        <v>6.9999999999999999E-4</v>
      </c>
      <c r="S4" s="105" t="s">
        <v>5</v>
      </c>
      <c r="T4" s="114">
        <f>'SWCC - Fine Grained  v1.4'!B6</f>
        <v>1.5</v>
      </c>
      <c r="V4" s="105" t="s">
        <v>119</v>
      </c>
      <c r="W4" s="29">
        <f>0.86*((T3/T4)*1.2)*(T5^1.74)</f>
        <v>510093.81747238972</v>
      </c>
      <c r="X4" t="s">
        <v>8</v>
      </c>
    </row>
    <row r="5" spans="15:24" ht="17" x14ac:dyDescent="0.25">
      <c r="P5" s="105" t="s">
        <v>4</v>
      </c>
      <c r="Q5" s="112">
        <v>3.0000000000000001E-5</v>
      </c>
      <c r="S5" s="105" t="s">
        <v>125</v>
      </c>
      <c r="T5" s="114">
        <f>'SWCC - Fine Grained  v1.4'!B7</f>
        <v>75</v>
      </c>
      <c r="U5" t="s">
        <v>18</v>
      </c>
      <c r="V5" s="105" t="s">
        <v>16</v>
      </c>
      <c r="W5" s="29">
        <f>T4/(1+T4)</f>
        <v>0.6</v>
      </c>
    </row>
    <row r="7" spans="15:24" x14ac:dyDescent="0.2">
      <c r="O7" s="104"/>
      <c r="P7" s="102" t="s">
        <v>13</v>
      </c>
      <c r="Q7" s="102" t="s">
        <v>17</v>
      </c>
      <c r="R7" s="102" t="s">
        <v>14</v>
      </c>
      <c r="S7" s="103" t="s">
        <v>95</v>
      </c>
      <c r="T7" s="103" t="s">
        <v>10</v>
      </c>
      <c r="U7" s="103" t="s">
        <v>11</v>
      </c>
      <c r="V7" s="103" t="s">
        <v>12</v>
      </c>
      <c r="X7" s="9"/>
    </row>
    <row r="8" spans="15:24" x14ac:dyDescent="0.2">
      <c r="P8">
        <v>1E-3</v>
      </c>
      <c r="Q8">
        <f t="shared" ref="Q8:Q27" si="0">$W$5*(V8+U8*(1-V8))</f>
        <v>0.6</v>
      </c>
      <c r="R8">
        <f t="shared" ref="R8:R27" si="1">100*P8/9.81</f>
        <v>1.0193679918450561E-2</v>
      </c>
      <c r="S8">
        <f t="shared" ref="S8:S16" si="2">1-((LN(1+(R8/$W$4)))/(LN(1+(10193680/$W$4))))</f>
        <v>0.99999999343445234</v>
      </c>
      <c r="T8">
        <f>S8*$Q$4*($W$3^0.6777)/($T$4^0.333)/(R8^0.1666)</f>
        <v>4.0603549807982988</v>
      </c>
      <c r="U8">
        <f>IF(T8&gt;=1,1,T8)</f>
        <v>1</v>
      </c>
      <c r="V8">
        <f>1-((((($W$3/R8)^2)+1)^$Q$5)*EXP(-$Q$5*(($W$3/R8)^2)))</f>
        <v>1</v>
      </c>
    </row>
    <row r="9" spans="15:24" x14ac:dyDescent="0.2">
      <c r="P9">
        <v>0.01</v>
      </c>
      <c r="Q9">
        <f t="shared" si="0"/>
        <v>0.6</v>
      </c>
      <c r="R9">
        <f t="shared" si="1"/>
        <v>0.1019367991845056</v>
      </c>
      <c r="S9">
        <f t="shared" si="2"/>
        <v>0.99999993434453005</v>
      </c>
      <c r="T9">
        <f t="shared" ref="T9:T16" si="3">S9*$Q$4*($W$3^0.6777)/($T$4^0.333)/(R9^0.1666)</f>
        <v>2.7667121559335488</v>
      </c>
      <c r="U9">
        <f t="shared" ref="U9:U16" si="4">IF(T9&gt;=1,1,T9)</f>
        <v>1</v>
      </c>
      <c r="V9">
        <f t="shared" ref="V9:V16" si="5">1-((((($W$3/R9)^2)+1)^$Q$5)*EXP(-$Q$5*(($W$3/R9)^2)))</f>
        <v>1</v>
      </c>
    </row>
    <row r="10" spans="15:24" x14ac:dyDescent="0.2">
      <c r="P10">
        <v>0.1</v>
      </c>
      <c r="Q10">
        <f t="shared" si="0"/>
        <v>0.6</v>
      </c>
      <c r="R10">
        <f t="shared" si="1"/>
        <v>1.019367991845056</v>
      </c>
      <c r="S10">
        <f t="shared" si="2"/>
        <v>0.99999934344589136</v>
      </c>
      <c r="T10">
        <f t="shared" si="3"/>
        <v>1.8852273062713405</v>
      </c>
      <c r="U10">
        <f t="shared" si="4"/>
        <v>1</v>
      </c>
      <c r="V10">
        <f t="shared" si="5"/>
        <v>1</v>
      </c>
    </row>
    <row r="11" spans="15:24" x14ac:dyDescent="0.2">
      <c r="P11">
        <v>0.5</v>
      </c>
      <c r="Q11">
        <f t="shared" si="0"/>
        <v>0.6</v>
      </c>
      <c r="R11">
        <f t="shared" si="1"/>
        <v>5.0968399592252798</v>
      </c>
      <c r="S11">
        <f t="shared" si="2"/>
        <v>0.99999671724257722</v>
      </c>
      <c r="T11">
        <f t="shared" si="3"/>
        <v>1.4418304008219476</v>
      </c>
      <c r="U11">
        <f t="shared" si="4"/>
        <v>1</v>
      </c>
      <c r="V11">
        <f t="shared" si="5"/>
        <v>1</v>
      </c>
    </row>
    <row r="12" spans="15:24" x14ac:dyDescent="0.2">
      <c r="P12">
        <v>1</v>
      </c>
      <c r="Q12">
        <f t="shared" si="0"/>
        <v>0.6</v>
      </c>
      <c r="R12">
        <f t="shared" si="1"/>
        <v>10.19367991845056</v>
      </c>
      <c r="S12">
        <f t="shared" si="2"/>
        <v>0.99999343451795508</v>
      </c>
      <c r="T12">
        <f t="shared" si="3"/>
        <v>1.2845799979415913</v>
      </c>
      <c r="U12">
        <f t="shared" si="4"/>
        <v>1</v>
      </c>
      <c r="V12">
        <f t="shared" si="5"/>
        <v>1</v>
      </c>
    </row>
    <row r="13" spans="15:24" x14ac:dyDescent="0.2">
      <c r="P13">
        <v>5</v>
      </c>
      <c r="Q13">
        <f t="shared" si="0"/>
        <v>0.6</v>
      </c>
      <c r="R13">
        <f t="shared" si="1"/>
        <v>50.968399592252801</v>
      </c>
      <c r="S13">
        <f t="shared" si="2"/>
        <v>0.99996717390172485</v>
      </c>
      <c r="T13">
        <f t="shared" si="3"/>
        <v>0.98242939317329114</v>
      </c>
      <c r="U13">
        <f t="shared" si="4"/>
        <v>0.98242939317329114</v>
      </c>
      <c r="V13">
        <f t="shared" si="5"/>
        <v>1</v>
      </c>
    </row>
    <row r="14" spans="15:24" x14ac:dyDescent="0.2">
      <c r="P14">
        <v>10</v>
      </c>
      <c r="Q14">
        <f t="shared" si="0"/>
        <v>0.6</v>
      </c>
      <c r="R14">
        <f t="shared" si="1"/>
        <v>101.9367991845056</v>
      </c>
      <c r="S14">
        <f t="shared" si="2"/>
        <v>0.99993435108293072</v>
      </c>
      <c r="T14">
        <f t="shared" si="3"/>
        <v>0.8752568026053833</v>
      </c>
      <c r="U14">
        <f t="shared" si="4"/>
        <v>0.8752568026053833</v>
      </c>
      <c r="V14">
        <f t="shared" si="5"/>
        <v>1</v>
      </c>
    </row>
    <row r="15" spans="15:24" x14ac:dyDescent="0.2">
      <c r="P15">
        <v>50</v>
      </c>
      <c r="Q15">
        <f t="shared" si="0"/>
        <v>0.58022141099294533</v>
      </c>
      <c r="R15">
        <f t="shared" si="1"/>
        <v>509.68399592252803</v>
      </c>
      <c r="S15">
        <f t="shared" si="2"/>
        <v>0.99967188651530936</v>
      </c>
      <c r="T15">
        <f t="shared" si="3"/>
        <v>0.66922642750570138</v>
      </c>
      <c r="U15">
        <f t="shared" si="4"/>
        <v>0.66922642750570138</v>
      </c>
      <c r="V15">
        <f t="shared" si="5"/>
        <v>0.90034175111638948</v>
      </c>
    </row>
    <row r="16" spans="15:24" x14ac:dyDescent="0.2">
      <c r="P16">
        <v>100</v>
      </c>
      <c r="Q16">
        <f t="shared" si="0"/>
        <v>0.46379143884278945</v>
      </c>
      <c r="R16">
        <f t="shared" si="1"/>
        <v>1019.3679918450561</v>
      </c>
      <c r="S16">
        <f t="shared" si="2"/>
        <v>0.99934410038989907</v>
      </c>
      <c r="T16">
        <f t="shared" si="3"/>
        <v>0.59604501441962376</v>
      </c>
      <c r="U16">
        <f t="shared" si="4"/>
        <v>0.59604501441962376</v>
      </c>
      <c r="V16">
        <f t="shared" si="5"/>
        <v>0.43802087683311652</v>
      </c>
    </row>
    <row r="17" spans="15:24" x14ac:dyDescent="0.2">
      <c r="P17">
        <v>200</v>
      </c>
      <c r="Q17">
        <f t="shared" si="0"/>
        <v>0.35615313523329356</v>
      </c>
      <c r="R17">
        <f t="shared" si="1"/>
        <v>2038.7359836901121</v>
      </c>
      <c r="S17">
        <f>1-((LN(1+(R17/$W$4)))/(LN(1+(10193680/$W$4))))</f>
        <v>0.99868950760861885</v>
      </c>
      <c r="T17">
        <f>S17*$Q$4*($W$3^0.6777)/($T$4^0.333)/(R17^0.1666)</f>
        <v>0.5306924347220201</v>
      </c>
      <c r="U17">
        <f>IF(T17&gt;=1,1,T17)</f>
        <v>0.5306924347220201</v>
      </c>
      <c r="V17">
        <f>1-((((($W$3/R17)^2)+1)^$Q$5)*EXP(-$Q$5*(($W$3/R17)^2)))</f>
        <v>0.13401898595621675</v>
      </c>
    </row>
    <row r="18" spans="15:24" x14ac:dyDescent="0.2">
      <c r="P18">
        <v>300</v>
      </c>
      <c r="Q18">
        <f t="shared" si="0"/>
        <v>0.31613357728187991</v>
      </c>
      <c r="R18">
        <f t="shared" si="1"/>
        <v>3058.103975535168</v>
      </c>
      <c r="S18">
        <f>1-((LN(1+(R18/$W$4)))/(LN(1+(10193680/$W$4))))</f>
        <v>0.99803621645900376</v>
      </c>
      <c r="T18">
        <f>S18*$Q$4*($W$3^0.6777)/($T$4^0.333)/(R18^0.1666)</f>
        <v>0.4957034104072513</v>
      </c>
      <c r="U18">
        <f>IF(T18&gt;=1,1,T18)</f>
        <v>0.4957034104072513</v>
      </c>
      <c r="V18">
        <f>1-((((($W$3/R18)^2)+1)^$Q$5)*EXP(-$Q$5*(($W$3/R18)^2)))</f>
        <v>6.1840364789563895E-2</v>
      </c>
    </row>
    <row r="19" spans="15:24" x14ac:dyDescent="0.2">
      <c r="P19">
        <v>400</v>
      </c>
      <c r="Q19">
        <f t="shared" si="0"/>
        <v>0.2944622260894692</v>
      </c>
      <c r="R19">
        <f t="shared" si="1"/>
        <v>4077.4719673802242</v>
      </c>
      <c r="S19">
        <f>1-((LN(1+(R19/$W$4)))/(LN(1+(10193680/$W$4))))</f>
        <v>0.99738422177483954</v>
      </c>
      <c r="T19">
        <f>S19*$Q$4*($W$3^0.6777)/($T$4^0.333)/(R19^0.1666)</f>
        <v>0.47219708937035798</v>
      </c>
      <c r="U19">
        <f>IF(T19&gt;=1,1,T19)</f>
        <v>0.47219708937035798</v>
      </c>
      <c r="V19">
        <f>1-((((($W$3/R19)^2)+1)^$Q$5)*EXP(-$Q$5*(($W$3/R19)^2)))</f>
        <v>3.5189816257866102E-2</v>
      </c>
    </row>
    <row r="20" spans="15:24" x14ac:dyDescent="0.2">
      <c r="P20">
        <v>500</v>
      </c>
      <c r="Q20">
        <f t="shared" si="0"/>
        <v>0.28019720190532715</v>
      </c>
      <c r="R20">
        <f t="shared" si="1"/>
        <v>5096.8399592252799</v>
      </c>
      <c r="S20">
        <f t="shared" ref="S20:S27" si="6">1-((LN(1+(R20/$W$4)))/(LN(1+(10193680/$W$4))))</f>
        <v>0.99673351842060787</v>
      </c>
      <c r="T20">
        <f t="shared" ref="T20:T27" si="7">S20*$Q$4*($W$3^0.6777)/($T$4^0.333)/(R20^0.1666)</f>
        <v>0.45466829094166661</v>
      </c>
      <c r="U20">
        <f t="shared" ref="U20:U27" si="8">IF(T20&gt;=1,1,T20)</f>
        <v>0.45466829094166661</v>
      </c>
      <c r="V20">
        <f t="shared" ref="V20:V27" si="9">1-((((($W$3/R20)^2)+1)^$Q$5)*EXP(-$Q$5*(($W$3/R20)^2)))</f>
        <v>2.2604674113849033E-2</v>
      </c>
    </row>
    <row r="21" spans="15:24" x14ac:dyDescent="0.2">
      <c r="P21">
        <v>1000</v>
      </c>
      <c r="Q21">
        <f t="shared" si="0"/>
        <v>0.24426116443007767</v>
      </c>
      <c r="R21">
        <f t="shared" si="1"/>
        <v>10193.67991845056</v>
      </c>
      <c r="S21">
        <f t="shared" si="6"/>
        <v>0.99349919397368036</v>
      </c>
      <c r="T21">
        <f t="shared" si="7"/>
        <v>0.40376765526291358</v>
      </c>
      <c r="U21">
        <f t="shared" si="8"/>
        <v>0.40376765526291358</v>
      </c>
      <c r="V21">
        <f t="shared" si="9"/>
        <v>5.5922585940096914E-3</v>
      </c>
    </row>
    <row r="22" spans="15:24" x14ac:dyDescent="0.2">
      <c r="P22">
        <v>5000</v>
      </c>
      <c r="Q22">
        <f t="shared" si="0"/>
        <v>0.18072906554860521</v>
      </c>
      <c r="R22">
        <f t="shared" si="1"/>
        <v>50968.399592252797</v>
      </c>
      <c r="S22">
        <f t="shared" si="6"/>
        <v>0.96871066283735063</v>
      </c>
      <c r="T22">
        <f t="shared" si="7"/>
        <v>0.30109925722783992</v>
      </c>
      <c r="U22">
        <f t="shared" si="8"/>
        <v>0.30109925722783992</v>
      </c>
      <c r="V22">
        <f t="shared" si="9"/>
        <v>1.6576319460748223E-4</v>
      </c>
    </row>
    <row r="23" spans="15:24" x14ac:dyDescent="0.2">
      <c r="P23">
        <v>10000</v>
      </c>
      <c r="Q23">
        <f t="shared" si="0"/>
        <v>0.15622157282403781</v>
      </c>
      <c r="R23">
        <f t="shared" si="1"/>
        <v>101936.79918450559</v>
      </c>
      <c r="S23">
        <f t="shared" si="6"/>
        <v>0.94014382730428203</v>
      </c>
      <c r="T23">
        <f t="shared" si="7"/>
        <v>0.2603504338274899</v>
      </c>
      <c r="U23">
        <f t="shared" si="8"/>
        <v>0.2603504338274899</v>
      </c>
      <c r="V23">
        <f t="shared" si="9"/>
        <v>2.5490737013078579E-5</v>
      </c>
    </row>
    <row r="24" spans="15:24" x14ac:dyDescent="0.2">
      <c r="P24">
        <v>50000</v>
      </c>
      <c r="Q24">
        <f t="shared" si="0"/>
        <v>9.8154866792899975E-2</v>
      </c>
      <c r="R24">
        <f t="shared" si="1"/>
        <v>509683.99592252803</v>
      </c>
      <c r="S24">
        <f t="shared" si="6"/>
        <v>0.77240450176986697</v>
      </c>
      <c r="T24">
        <f t="shared" si="7"/>
        <v>0.16359137409791286</v>
      </c>
      <c r="U24">
        <f t="shared" si="8"/>
        <v>0.16359137409791286</v>
      </c>
      <c r="V24">
        <f t="shared" si="9"/>
        <v>8.4356997609447149E-8</v>
      </c>
    </row>
    <row r="25" spans="15:24" x14ac:dyDescent="0.2">
      <c r="P25">
        <v>100000</v>
      </c>
      <c r="Q25">
        <f t="shared" si="0"/>
        <v>7.2373040078687653E-2</v>
      </c>
      <c r="R25">
        <f t="shared" si="1"/>
        <v>1019367.9918450561</v>
      </c>
      <c r="S25">
        <f t="shared" si="6"/>
        <v>0.63923646532885625</v>
      </c>
      <c r="T25">
        <f t="shared" si="7"/>
        <v>0.12062172865350734</v>
      </c>
      <c r="U25">
        <f t="shared" si="8"/>
        <v>0.12062172865350734</v>
      </c>
      <c r="V25">
        <f t="shared" si="9"/>
        <v>5.4708789720692153E-9</v>
      </c>
    </row>
    <row r="26" spans="15:24" x14ac:dyDescent="0.2">
      <c r="P26">
        <v>500000</v>
      </c>
      <c r="Q26">
        <f t="shared" si="0"/>
        <v>1.8394477327960734E-2</v>
      </c>
      <c r="R26">
        <f t="shared" si="1"/>
        <v>5096839.9592252802</v>
      </c>
      <c r="S26">
        <f t="shared" si="6"/>
        <v>0.2124323226372582</v>
      </c>
      <c r="T26">
        <f t="shared" si="7"/>
        <v>3.0657462204678632E-2</v>
      </c>
      <c r="U26">
        <f t="shared" si="8"/>
        <v>3.0657462204678632E-2</v>
      </c>
      <c r="V26">
        <f t="shared" si="9"/>
        <v>8.8609120041382994E-12</v>
      </c>
    </row>
    <row r="27" spans="15:24" x14ac:dyDescent="0.2">
      <c r="P27">
        <v>1000000</v>
      </c>
      <c r="Q27">
        <f t="shared" si="0"/>
        <v>1.9343554514596785E-10</v>
      </c>
      <c r="R27">
        <f t="shared" si="1"/>
        <v>10193679.91845056</v>
      </c>
      <c r="S27">
        <f t="shared" si="6"/>
        <v>2.5030763017852564E-9</v>
      </c>
      <c r="T27">
        <f t="shared" si="7"/>
        <v>3.2183857395417012E-10</v>
      </c>
      <c r="U27">
        <f t="shared" si="8"/>
        <v>3.2183857395417012E-10</v>
      </c>
      <c r="V27">
        <f t="shared" si="9"/>
        <v>5.5400128928795311E-13</v>
      </c>
    </row>
    <row r="31" spans="15:24" x14ac:dyDescent="0.2">
      <c r="O31" s="7" t="s">
        <v>7</v>
      </c>
      <c r="S31" s="104"/>
    </row>
    <row r="32" spans="15:24" ht="17" x14ac:dyDescent="0.25">
      <c r="P32" s="105" t="s">
        <v>3</v>
      </c>
      <c r="Q32" s="29">
        <v>0.01</v>
      </c>
      <c r="S32" s="105" t="s">
        <v>116</v>
      </c>
      <c r="T32" s="114">
        <f>'SWCC - Coarse Grained  v1.4'!B7/10</f>
        <v>5.0000000000000001E-3</v>
      </c>
      <c r="U32" t="s">
        <v>8</v>
      </c>
      <c r="V32" s="105" t="s">
        <v>120</v>
      </c>
      <c r="W32" s="29">
        <f>0.75/(1.17*LOG(W34)+1)/T34/T32</f>
        <v>138.24884792626727</v>
      </c>
      <c r="X32" t="s">
        <v>8</v>
      </c>
    </row>
    <row r="33" spans="16:24" ht="17" x14ac:dyDescent="0.25">
      <c r="P33" s="105" t="s">
        <v>4</v>
      </c>
      <c r="Q33" s="29">
        <f>1/W34</f>
        <v>0.1</v>
      </c>
      <c r="S33" s="105" t="s">
        <v>117</v>
      </c>
      <c r="T33" s="114">
        <f>'SWCC - Coarse Grained  v1.4'!B10/10</f>
        <v>0.05</v>
      </c>
      <c r="U33" t="s">
        <v>8</v>
      </c>
      <c r="V33" s="105" t="s">
        <v>119</v>
      </c>
      <c r="W33" s="29">
        <f>0.86*(W32^1.2)</f>
        <v>318.63411793332585</v>
      </c>
      <c r="X33" t="s">
        <v>8</v>
      </c>
    </row>
    <row r="34" spans="16:24" ht="17" x14ac:dyDescent="0.25">
      <c r="P34" s="105" t="s">
        <v>16</v>
      </c>
      <c r="Q34" s="29">
        <f>T34/(1+T34)</f>
        <v>0.33333333333333331</v>
      </c>
      <c r="S34" s="105" t="s">
        <v>5</v>
      </c>
      <c r="T34" s="114">
        <f>'SWCC - Coarse Grained  v1.4'!B6</f>
        <v>0.5</v>
      </c>
      <c r="V34" s="105" t="s">
        <v>118</v>
      </c>
      <c r="W34" s="29">
        <f>T33/T32</f>
        <v>10</v>
      </c>
    </row>
    <row r="36" spans="16:24" x14ac:dyDescent="0.2">
      <c r="P36" s="102" t="s">
        <v>13</v>
      </c>
      <c r="Q36" s="102" t="s">
        <v>17</v>
      </c>
      <c r="R36" s="102" t="s">
        <v>14</v>
      </c>
      <c r="S36" s="103" t="s">
        <v>95</v>
      </c>
      <c r="T36" s="103" t="s">
        <v>10</v>
      </c>
      <c r="U36" s="103" t="s">
        <v>11</v>
      </c>
      <c r="V36" s="103" t="s">
        <v>12</v>
      </c>
    </row>
    <row r="37" spans="16:24" x14ac:dyDescent="0.2">
      <c r="P37">
        <v>1E-3</v>
      </c>
      <c r="Q37" s="2">
        <f t="shared" ref="Q37:Q53" si="10">$Q$34*(V37+U37*(1-V37))</f>
        <v>0.33333333333333331</v>
      </c>
      <c r="R37" s="2">
        <f t="shared" ref="R37:R53" si="11">100*P37/9.81</f>
        <v>1.0193679918450561E-2</v>
      </c>
      <c r="S37" s="2">
        <f t="shared" ref="S37:S53" si="12">1-((LN(1+(R37/$W$33)))/(LN(1+(10193680/$W$33))))</f>
        <v>0.99999691598668694</v>
      </c>
      <c r="T37" s="2">
        <f t="shared" ref="T37:T53" si="13">S37*$Q$32*($W$32^0.6777)/($T$34^0.333)/(R37^0.1666)</f>
        <v>0.76344897878550744</v>
      </c>
      <c r="U37" s="2">
        <f>IF(T37&gt;=1,1,T37)</f>
        <v>0.76344897878550744</v>
      </c>
      <c r="V37" s="2">
        <f t="shared" ref="V37:V53" si="14">1-((((($W$32/R37)^2)+1)^$Q$33)*EXP(-$Q$5*(($W$3/R37)^2)))</f>
        <v>1</v>
      </c>
    </row>
    <row r="38" spans="16:24" x14ac:dyDescent="0.2">
      <c r="P38">
        <v>0.01</v>
      </c>
      <c r="Q38" s="2">
        <f t="shared" si="10"/>
        <v>0.33333333333333331</v>
      </c>
      <c r="R38" s="2">
        <f t="shared" si="11"/>
        <v>0.1019367991845056</v>
      </c>
      <c r="S38" s="2">
        <f t="shared" si="12"/>
        <v>0.99996916430574057</v>
      </c>
      <c r="T38" s="2">
        <f t="shared" si="13"/>
        <v>0.5201971468869161</v>
      </c>
      <c r="U38" s="2">
        <f t="shared" ref="U38:U49" si="15">IF(T38&gt;=1,1,T38)</f>
        <v>0.5201971468869161</v>
      </c>
      <c r="V38" s="2">
        <f t="shared" si="14"/>
        <v>1</v>
      </c>
    </row>
    <row r="39" spans="16:24" x14ac:dyDescent="0.2">
      <c r="P39">
        <v>0.1</v>
      </c>
      <c r="Q39" s="2">
        <f t="shared" si="10"/>
        <v>0.33333333333333331</v>
      </c>
      <c r="R39" s="2">
        <f t="shared" si="11"/>
        <v>1.019367991845056</v>
      </c>
      <c r="S39" s="2">
        <f t="shared" si="12"/>
        <v>0.99969208600954806</v>
      </c>
      <c r="T39" s="2">
        <f t="shared" si="13"/>
        <v>0.35436238169005813</v>
      </c>
      <c r="U39" s="2">
        <f t="shared" si="15"/>
        <v>0.35436238169005813</v>
      </c>
      <c r="V39" s="2">
        <f t="shared" si="14"/>
        <v>1</v>
      </c>
    </row>
    <row r="40" spans="16:24" x14ac:dyDescent="0.2">
      <c r="P40">
        <v>0.5</v>
      </c>
      <c r="Q40" s="2">
        <f t="shared" si="10"/>
        <v>0.33333333333333331</v>
      </c>
      <c r="R40" s="2">
        <f t="shared" si="11"/>
        <v>5.0968399592252798</v>
      </c>
      <c r="S40" s="2">
        <f t="shared" si="12"/>
        <v>0.99847017180699926</v>
      </c>
      <c r="T40" s="2">
        <f t="shared" si="13"/>
        <v>0.27068740614415915</v>
      </c>
      <c r="U40" s="2">
        <f t="shared" si="15"/>
        <v>0.27068740614415915</v>
      </c>
      <c r="V40" s="2">
        <f t="shared" si="14"/>
        <v>1</v>
      </c>
    </row>
    <row r="41" spans="16:24" x14ac:dyDescent="0.2">
      <c r="P41">
        <v>1</v>
      </c>
      <c r="Q41" s="2">
        <f t="shared" si="10"/>
        <v>0.33333333333333331</v>
      </c>
      <c r="R41" s="2">
        <f t="shared" si="11"/>
        <v>10.19367991845056</v>
      </c>
      <c r="S41" s="2">
        <f t="shared" si="12"/>
        <v>0.99696424217958568</v>
      </c>
      <c r="T41" s="2">
        <f t="shared" si="13"/>
        <v>0.24080247134845736</v>
      </c>
      <c r="U41" s="2">
        <f t="shared" si="15"/>
        <v>0.24080247134845736</v>
      </c>
      <c r="V41" s="2">
        <f t="shared" si="14"/>
        <v>1</v>
      </c>
    </row>
    <row r="42" spans="16:24" x14ac:dyDescent="0.2">
      <c r="P42">
        <v>5</v>
      </c>
      <c r="Q42" s="2">
        <f t="shared" si="10"/>
        <v>0.33333333333333331</v>
      </c>
      <c r="R42" s="2">
        <f t="shared" si="11"/>
        <v>50.968399592252801</v>
      </c>
      <c r="S42" s="2">
        <f t="shared" si="12"/>
        <v>0.98569547249983469</v>
      </c>
      <c r="T42" s="2">
        <f t="shared" si="13"/>
        <v>0.18208564837010788</v>
      </c>
      <c r="U42" s="2">
        <f t="shared" si="15"/>
        <v>0.18208564837010788</v>
      </c>
      <c r="V42" s="2">
        <f t="shared" si="14"/>
        <v>1</v>
      </c>
    </row>
    <row r="43" spans="16:24" x14ac:dyDescent="0.2">
      <c r="P43">
        <v>10</v>
      </c>
      <c r="Q43" s="2">
        <f t="shared" si="10"/>
        <v>0.33333333333333331</v>
      </c>
      <c r="R43" s="2">
        <f t="shared" si="11"/>
        <v>101.9367991845056</v>
      </c>
      <c r="S43" s="2">
        <f t="shared" si="12"/>
        <v>0.97324182865541364</v>
      </c>
      <c r="T43" s="2">
        <f t="shared" si="13"/>
        <v>0.16017772605058025</v>
      </c>
      <c r="U43" s="2">
        <f t="shared" si="15"/>
        <v>0.16017772605058025</v>
      </c>
      <c r="V43" s="2">
        <f t="shared" si="14"/>
        <v>1</v>
      </c>
    </row>
    <row r="44" spans="16:24" x14ac:dyDescent="0.2">
      <c r="P44">
        <v>50</v>
      </c>
      <c r="Q44" s="2">
        <f t="shared" si="10"/>
        <v>0.30371062165094148</v>
      </c>
      <c r="R44" s="2">
        <f t="shared" si="11"/>
        <v>509.68399592252803</v>
      </c>
      <c r="S44" s="2">
        <f t="shared" si="12"/>
        <v>0.90790231604872296</v>
      </c>
      <c r="T44" s="2">
        <f t="shared" si="13"/>
        <v>0.11428048613192059</v>
      </c>
      <c r="U44" s="2">
        <f t="shared" si="15"/>
        <v>0.11428048613192059</v>
      </c>
      <c r="V44" s="2">
        <f t="shared" si="14"/>
        <v>0.8996656010670081</v>
      </c>
    </row>
    <row r="45" spans="16:24" x14ac:dyDescent="0.2">
      <c r="P45">
        <v>100</v>
      </c>
      <c r="Q45" s="2">
        <f t="shared" si="10"/>
        <v>0.16385027370727456</v>
      </c>
      <c r="R45" s="2">
        <f t="shared" si="11"/>
        <v>1019.3679918450561</v>
      </c>
      <c r="S45" s="2">
        <f t="shared" si="12"/>
        <v>0.86167429783947913</v>
      </c>
      <c r="T45" s="2">
        <f t="shared" si="13"/>
        <v>9.6632785118380346E-2</v>
      </c>
      <c r="U45" s="2">
        <f t="shared" si="15"/>
        <v>9.6632785118380346E-2</v>
      </c>
      <c r="V45" s="2">
        <f t="shared" si="14"/>
        <v>0.43716224088915467</v>
      </c>
    </row>
    <row r="46" spans="16:24" x14ac:dyDescent="0.2">
      <c r="P46">
        <v>500</v>
      </c>
      <c r="Q46" s="2">
        <f t="shared" si="10"/>
        <v>2.788542516338003E-2</v>
      </c>
      <c r="R46" s="2">
        <f t="shared" si="11"/>
        <v>5096.8399592252799</v>
      </c>
      <c r="S46" s="2">
        <f t="shared" si="12"/>
        <v>0.72689679841698296</v>
      </c>
      <c r="T46" s="2">
        <f t="shared" si="13"/>
        <v>6.234558598068296E-2</v>
      </c>
      <c r="U46" s="2">
        <f t="shared" si="15"/>
        <v>6.234558598068296E-2</v>
      </c>
      <c r="V46" s="2">
        <f t="shared" si="14"/>
        <v>2.2727658709681187E-2</v>
      </c>
    </row>
    <row r="47" spans="16:24" x14ac:dyDescent="0.2">
      <c r="P47">
        <v>1000</v>
      </c>
      <c r="Q47" s="2">
        <f t="shared" si="10"/>
        <v>1.8700223430889298E-2</v>
      </c>
      <c r="R47" s="2">
        <f t="shared" si="11"/>
        <v>10193.67991845056</v>
      </c>
      <c r="S47" s="2">
        <f t="shared" si="12"/>
        <v>0.6629548447983532</v>
      </c>
      <c r="T47" s="2">
        <f t="shared" si="13"/>
        <v>5.0660014132944305E-2</v>
      </c>
      <c r="U47" s="2">
        <f t="shared" si="15"/>
        <v>5.0660014132944305E-2</v>
      </c>
      <c r="V47" s="2">
        <f t="shared" si="14"/>
        <v>5.7309880977514105E-3</v>
      </c>
    </row>
    <row r="48" spans="16:24" x14ac:dyDescent="0.2">
      <c r="P48">
        <v>5000</v>
      </c>
      <c r="Q48" s="2">
        <f t="shared" si="10"/>
        <v>1.0012947741059345E-2</v>
      </c>
      <c r="R48" s="2">
        <f t="shared" si="11"/>
        <v>50968.399592252797</v>
      </c>
      <c r="S48" s="2">
        <f t="shared" si="12"/>
        <v>0.51016877034711117</v>
      </c>
      <c r="T48" s="2">
        <f t="shared" si="13"/>
        <v>2.9815824620210152E-2</v>
      </c>
      <c r="U48" s="2">
        <f t="shared" si="15"/>
        <v>2.9815824620210152E-2</v>
      </c>
      <c r="V48" s="2">
        <f t="shared" si="14"/>
        <v>2.2987243930316925E-4</v>
      </c>
    </row>
    <row r="49" spans="16:22" x14ac:dyDescent="0.2">
      <c r="P49">
        <v>10000</v>
      </c>
      <c r="Q49" s="2">
        <f t="shared" si="10"/>
        <v>7.718858151585661E-3</v>
      </c>
      <c r="R49" s="2">
        <f t="shared" si="11"/>
        <v>101936.79918450559</v>
      </c>
      <c r="S49" s="2">
        <f t="shared" si="12"/>
        <v>0.44364816364531923</v>
      </c>
      <c r="T49" s="2">
        <f t="shared" si="13"/>
        <v>2.3100429043332371E-2</v>
      </c>
      <c r="U49" s="2">
        <f t="shared" si="15"/>
        <v>2.3100429043332371E-2</v>
      </c>
      <c r="V49" s="2">
        <f t="shared" si="14"/>
        <v>5.7473063858171081E-5</v>
      </c>
    </row>
    <row r="50" spans="16:22" x14ac:dyDescent="0.2">
      <c r="P50">
        <v>50000</v>
      </c>
      <c r="Q50" s="2">
        <f t="shared" si="10"/>
        <v>3.8335304911474291E-3</v>
      </c>
      <c r="R50" s="2">
        <f t="shared" si="11"/>
        <v>509683.99592252803</v>
      </c>
      <c r="S50" s="2">
        <f t="shared" si="12"/>
        <v>0.28873630542482465</v>
      </c>
      <c r="T50" s="2">
        <f t="shared" si="13"/>
        <v>1.149831892194547E-2</v>
      </c>
      <c r="U50" s="2">
        <f>IF(T50&gt;=1,1,T50)</f>
        <v>1.149831892194547E-2</v>
      </c>
      <c r="V50" s="2">
        <f t="shared" si="14"/>
        <v>2.2989859707056581E-6</v>
      </c>
    </row>
    <row r="51" spans="16:22" x14ac:dyDescent="0.2">
      <c r="P51">
        <v>100000</v>
      </c>
      <c r="Q51" s="2">
        <f t="shared" si="10"/>
        <v>2.6250565317906304E-3</v>
      </c>
      <c r="R51" s="2">
        <f t="shared" si="11"/>
        <v>1019367.9918450561</v>
      </c>
      <c r="S51" s="2">
        <f t="shared" si="12"/>
        <v>0.22194589150827793</v>
      </c>
      <c r="T51" s="2">
        <f t="shared" si="13"/>
        <v>7.8745993742860513E-3</v>
      </c>
      <c r="U51" s="2">
        <f>IF(T51&gt;=1,1,T51)</f>
        <v>7.8745993742860513E-3</v>
      </c>
      <c r="V51" s="2">
        <f t="shared" si="14"/>
        <v>5.7474698811343927E-7</v>
      </c>
    </row>
    <row r="52" spans="16:22" x14ac:dyDescent="0.2">
      <c r="P52">
        <v>500000</v>
      </c>
      <c r="Q52" s="2">
        <f t="shared" si="10"/>
        <v>6.0437647806888223E-4</v>
      </c>
      <c r="R52" s="2">
        <f t="shared" si="11"/>
        <v>5096839.9592252802</v>
      </c>
      <c r="S52" s="2">
        <f t="shared" si="12"/>
        <v>6.681752061879509E-2</v>
      </c>
      <c r="T52" s="2">
        <f t="shared" si="13"/>
        <v>1.8131064860038742E-3</v>
      </c>
      <c r="U52" s="2">
        <f>IF(T52&gt;=1,1,T52)</f>
        <v>1.8131064860038742E-3</v>
      </c>
      <c r="V52" s="2">
        <f t="shared" si="14"/>
        <v>2.2989885883895056E-8</v>
      </c>
    </row>
    <row r="53" spans="16:22" x14ac:dyDescent="0.2">
      <c r="P53">
        <v>1000000</v>
      </c>
      <c r="Q53" s="2">
        <f t="shared" si="10"/>
        <v>1.9220385816715624E-9</v>
      </c>
      <c r="R53" s="2">
        <f t="shared" si="11"/>
        <v>10193679.91845056</v>
      </c>
      <c r="S53" s="2">
        <f t="shared" si="12"/>
        <v>7.7118911256945921E-10</v>
      </c>
      <c r="T53" s="2">
        <f t="shared" si="13"/>
        <v>1.8644135370203073E-11</v>
      </c>
      <c r="U53" s="2">
        <f>IF(T53&gt;=1,1,T53)</f>
        <v>1.8644135370203073E-11</v>
      </c>
      <c r="V53" s="2">
        <f t="shared" si="14"/>
        <v>5.7474716097516421E-9</v>
      </c>
    </row>
    <row r="54" spans="16:22" x14ac:dyDescent="0.2">
      <c r="Q54" s="2"/>
      <c r="R54" s="2"/>
      <c r="S54" s="2"/>
      <c r="T54" s="2"/>
      <c r="U54" s="2"/>
      <c r="V54" s="2"/>
    </row>
    <row r="55" spans="16:22" x14ac:dyDescent="0.2">
      <c r="P55" s="2"/>
      <c r="Q55" s="2"/>
      <c r="R55" s="2"/>
      <c r="S55" s="2"/>
      <c r="T55" s="2"/>
      <c r="U55" s="2"/>
      <c r="V55" s="2"/>
    </row>
  </sheetData>
  <sheetProtection sheet="1" objects="1" scenarios="1"/>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C000"/>
  </sheetPr>
  <dimension ref="Q2:Z42"/>
  <sheetViews>
    <sheetView zoomScaleNormal="100" workbookViewId="0"/>
  </sheetViews>
  <sheetFormatPr baseColWidth="10" defaultColWidth="8.83203125" defaultRowHeight="15" x14ac:dyDescent="0.2"/>
  <cols>
    <col min="19" max="19" width="9.33203125" bestFit="1" customWidth="1"/>
    <col min="20" max="20" width="11.5" bestFit="1" customWidth="1"/>
    <col min="23" max="23" width="12.1640625" customWidth="1"/>
    <col min="24" max="24" width="13.6640625" customWidth="1"/>
  </cols>
  <sheetData>
    <row r="2" spans="17:26" x14ac:dyDescent="0.2">
      <c r="X2" s="105" t="s">
        <v>106</v>
      </c>
      <c r="Y2" s="29">
        <f>0.99*(U4^(-0.54))*1.345*S4</f>
        <v>0.19201160739941159</v>
      </c>
      <c r="Z2" t="s">
        <v>67</v>
      </c>
    </row>
    <row r="3" spans="17:26" x14ac:dyDescent="0.2">
      <c r="Q3" s="7" t="s">
        <v>7</v>
      </c>
      <c r="X3" s="105" t="s">
        <v>104</v>
      </c>
      <c r="Y3" s="29">
        <f>IF(U4&lt;2.2,IF(14.4*EXP(-0.434*S4)*(-0.542*U4+1.542)&lt;2,14.4*EXP(-0.434*S4)*(-0.542*U4+1.542),2),IF(14.4*EXP(-0.434*S4)*(-0.0033*U4+0.379)&lt;2,14.4*EXP(-0.434*S4)*(-0.0033*U4+0.379),2))</f>
        <v>2</v>
      </c>
    </row>
    <row r="4" spans="17:26" ht="17" x14ac:dyDescent="0.25">
      <c r="R4" s="105" t="s">
        <v>117</v>
      </c>
      <c r="S4" s="23">
        <f>'SWCC - Coarse Grained  v1.4'!B10</f>
        <v>0.5</v>
      </c>
      <c r="T4" s="105" t="s">
        <v>124</v>
      </c>
      <c r="U4" s="29">
        <f>S4/S6</f>
        <v>10</v>
      </c>
      <c r="V4" s="105" t="s">
        <v>122</v>
      </c>
      <c r="W4" s="29">
        <f>S5/(1+S5)</f>
        <v>0.33333333333333331</v>
      </c>
      <c r="X4" s="105" t="s">
        <v>4</v>
      </c>
      <c r="Y4" s="29">
        <f>1-1/Y3</f>
        <v>0.5</v>
      </c>
    </row>
    <row r="5" spans="17:26" ht="17" x14ac:dyDescent="0.25">
      <c r="R5" s="105" t="s">
        <v>5</v>
      </c>
      <c r="S5" s="23">
        <f>'SWCC - Coarse Grained  v1.4'!B6</f>
        <v>0.5</v>
      </c>
      <c r="T5" s="1"/>
      <c r="U5" s="2"/>
      <c r="V5" s="105" t="s">
        <v>123</v>
      </c>
      <c r="W5" s="29">
        <v>0.04</v>
      </c>
      <c r="X5" s="105" t="s">
        <v>107</v>
      </c>
      <c r="Y5" s="29">
        <f>0.99*(U4^(-0.54))*1.993*S4</f>
        <v>0.28451980189370057</v>
      </c>
      <c r="Z5" t="s">
        <v>67</v>
      </c>
    </row>
    <row r="6" spans="17:26" ht="17" x14ac:dyDescent="0.25">
      <c r="R6" s="105" t="s">
        <v>116</v>
      </c>
      <c r="S6" s="23">
        <f>'SWCC - Coarse Grained  v1.4'!B7</f>
        <v>0.05</v>
      </c>
      <c r="T6" t="s">
        <v>26</v>
      </c>
      <c r="X6" s="105" t="s">
        <v>105</v>
      </c>
      <c r="Y6" s="29">
        <f>IF(U4&lt;2.2,IF(8.22*EXP(-0.345*S4)*(-0.383*U4+1.383)&lt;2,8.22*EXP(-0.345*S4)*(-0.383*U4+1.383),2),IF(8.22*EXP(-0.345*S4)*(-0.0033*U4+0.55)&lt;2,8.22*EXP(-0.345*S4)*(-0.0033*U4+0.55),2))</f>
        <v>2</v>
      </c>
    </row>
    <row r="7" spans="17:26" x14ac:dyDescent="0.2">
      <c r="R7" s="145" t="s">
        <v>66</v>
      </c>
      <c r="S7" s="145"/>
      <c r="T7" s="145"/>
      <c r="U7" s="144" t="s">
        <v>65</v>
      </c>
      <c r="V7" s="145"/>
      <c r="W7" s="145"/>
      <c r="X7" s="105" t="s">
        <v>4</v>
      </c>
      <c r="Y7" s="29">
        <f>1-1/Y6</f>
        <v>0.5</v>
      </c>
    </row>
    <row r="8" spans="17:26" x14ac:dyDescent="0.2">
      <c r="R8" s="102" t="s">
        <v>13</v>
      </c>
      <c r="S8" s="102" t="s">
        <v>17</v>
      </c>
      <c r="U8" s="107" t="s">
        <v>13</v>
      </c>
      <c r="V8" s="102" t="s">
        <v>17</v>
      </c>
      <c r="W8" s="9"/>
      <c r="X8" s="8"/>
    </row>
    <row r="9" spans="17:26" x14ac:dyDescent="0.2">
      <c r="R9" s="2">
        <v>1E-3</v>
      </c>
      <c r="S9" s="2">
        <f t="shared" ref="S9:S23" si="0">$W$5+(($W$4-$W$5)/T9)</f>
        <v>0.33333332792595971</v>
      </c>
      <c r="T9">
        <f t="shared" ref="T9:T23" si="1">(1+(($Y$2*R9)^$Y$3))^$Y$4</f>
        <v>1.0000000184342286</v>
      </c>
      <c r="U9" s="108">
        <v>1E-3</v>
      </c>
      <c r="V9" s="2">
        <f t="shared" ref="V9:V23" si="2">$W$5+(($W$4-$W$5)/W9)</f>
        <v>0.33333332146044475</v>
      </c>
      <c r="W9">
        <f t="shared" ref="W9:W23" si="3">(1+(($Y$5*R9)^$Y$6))^$Y$7</f>
        <v>1.0000000404757581</v>
      </c>
      <c r="X9" s="2"/>
    </row>
    <row r="10" spans="17:26" x14ac:dyDescent="0.2">
      <c r="R10" s="2">
        <v>0.01</v>
      </c>
      <c r="S10" s="2">
        <f t="shared" si="0"/>
        <v>0.33333279259745369</v>
      </c>
      <c r="T10">
        <f t="shared" si="1"/>
        <v>1.0000018434211697</v>
      </c>
      <c r="U10" s="108">
        <v>0.01</v>
      </c>
      <c r="V10" s="2">
        <f t="shared" si="2"/>
        <v>0.33333214605161587</v>
      </c>
      <c r="W10">
        <f t="shared" si="3"/>
        <v>1.0000040475676921</v>
      </c>
      <c r="X10" s="2"/>
    </row>
    <row r="11" spans="17:26" x14ac:dyDescent="0.2">
      <c r="R11" s="2">
        <v>0.1</v>
      </c>
      <c r="S11" s="2">
        <f t="shared" si="0"/>
        <v>0.33327927454337064</v>
      </c>
      <c r="T11">
        <f t="shared" si="1"/>
        <v>1.0001843252989726</v>
      </c>
      <c r="U11" s="108">
        <v>0.1</v>
      </c>
      <c r="V11" s="2">
        <f t="shared" si="2"/>
        <v>0.33321467647678799</v>
      </c>
      <c r="W11">
        <f t="shared" si="3"/>
        <v>1.0004046757071341</v>
      </c>
      <c r="X11" s="2"/>
    </row>
    <row r="12" spans="17:26" x14ac:dyDescent="0.2">
      <c r="R12" s="2">
        <v>0.2</v>
      </c>
      <c r="S12" s="2">
        <f t="shared" si="0"/>
        <v>0.33311727732360052</v>
      </c>
      <c r="T12">
        <f t="shared" si="1"/>
        <v>1.0007370974911665</v>
      </c>
      <c r="U12" s="108">
        <v>0.2</v>
      </c>
      <c r="V12" s="2">
        <f t="shared" si="2"/>
        <v>0.33285956801369032</v>
      </c>
      <c r="W12">
        <f t="shared" si="3"/>
        <v>1.0016177218414146</v>
      </c>
      <c r="X12" s="2"/>
    </row>
    <row r="13" spans="17:26" x14ac:dyDescent="0.2">
      <c r="R13" s="2">
        <v>0.25</v>
      </c>
      <c r="S13" s="2">
        <f t="shared" si="0"/>
        <v>0.33299595542174298</v>
      </c>
      <c r="T13">
        <f t="shared" si="1"/>
        <v>1.0011514763441178</v>
      </c>
      <c r="U13" s="108">
        <v>0.25</v>
      </c>
      <c r="V13" s="2">
        <f t="shared" si="2"/>
        <v>0.33259408174081689</v>
      </c>
      <c r="W13">
        <f t="shared" si="3"/>
        <v>1.0025265432168626</v>
      </c>
      <c r="X13" s="2"/>
    </row>
    <row r="14" spans="17:26" x14ac:dyDescent="0.2">
      <c r="R14" s="2">
        <v>0.5</v>
      </c>
      <c r="S14" s="2">
        <f t="shared" si="0"/>
        <v>0.33199076376316505</v>
      </c>
      <c r="T14">
        <f t="shared" si="1"/>
        <v>1.0045979864323971</v>
      </c>
      <c r="U14" s="108">
        <v>0.5</v>
      </c>
      <c r="V14" s="2">
        <f t="shared" si="2"/>
        <v>0.33040941731447948</v>
      </c>
      <c r="W14">
        <f t="shared" si="3"/>
        <v>1.0100682548310325</v>
      </c>
      <c r="X14" s="2"/>
    </row>
    <row r="15" spans="17:26" x14ac:dyDescent="0.2">
      <c r="R15" s="2">
        <v>1</v>
      </c>
      <c r="S15" s="2">
        <f t="shared" si="0"/>
        <v>0.32807103032650553</v>
      </c>
      <c r="T15">
        <f t="shared" si="1"/>
        <v>1.0182673801001905</v>
      </c>
      <c r="U15" s="108">
        <v>1</v>
      </c>
      <c r="V15" s="2">
        <f t="shared" si="2"/>
        <v>0.32213587319429843</v>
      </c>
      <c r="W15">
        <f t="shared" si="3"/>
        <v>1.0396881829037159</v>
      </c>
      <c r="X15" s="2"/>
    </row>
    <row r="16" spans="17:26" x14ac:dyDescent="0.2">
      <c r="R16" s="2">
        <v>2</v>
      </c>
      <c r="S16" s="2">
        <f t="shared" si="0"/>
        <v>0.31383567240430721</v>
      </c>
      <c r="T16">
        <f t="shared" si="1"/>
        <v>1.0712020488705307</v>
      </c>
      <c r="U16" s="108">
        <v>2</v>
      </c>
      <c r="V16" s="2">
        <f t="shared" si="2"/>
        <v>0.29494660512324644</v>
      </c>
      <c r="W16">
        <f t="shared" si="3"/>
        <v>1.1505677166853425</v>
      </c>
      <c r="X16" s="2"/>
    </row>
    <row r="17" spans="18:24" x14ac:dyDescent="0.2">
      <c r="R17" s="2">
        <v>5</v>
      </c>
      <c r="S17" s="2">
        <f t="shared" si="0"/>
        <v>0.25160081218073616</v>
      </c>
      <c r="T17">
        <f t="shared" si="1"/>
        <v>1.3862580691929782</v>
      </c>
      <c r="U17" s="108">
        <v>5</v>
      </c>
      <c r="V17" s="2">
        <f t="shared" si="2"/>
        <v>0.20868860703889638</v>
      </c>
      <c r="W17">
        <f t="shared" si="3"/>
        <v>1.7389042359315723</v>
      </c>
      <c r="X17" s="2"/>
    </row>
    <row r="18" spans="18:24" x14ac:dyDescent="0.2">
      <c r="R18" s="2">
        <v>10</v>
      </c>
      <c r="S18" s="2">
        <f t="shared" si="0"/>
        <v>0.17549431937577095</v>
      </c>
      <c r="T18">
        <f t="shared" si="1"/>
        <v>2.1649124087617442</v>
      </c>
      <c r="U18" s="108">
        <v>10</v>
      </c>
      <c r="V18" s="2">
        <f t="shared" si="2"/>
        <v>0.13726496665858556</v>
      </c>
      <c r="W18">
        <f t="shared" si="3"/>
        <v>3.0158169319378558</v>
      </c>
      <c r="X18" s="2"/>
    </row>
    <row r="19" spans="18:24" x14ac:dyDescent="0.2">
      <c r="R19" s="2">
        <v>100</v>
      </c>
      <c r="S19" s="2">
        <f t="shared" si="0"/>
        <v>5.5256178208740805E-2</v>
      </c>
      <c r="T19">
        <f t="shared" si="1"/>
        <v>19.227183198821862</v>
      </c>
      <c r="U19" s="108">
        <v>100</v>
      </c>
      <c r="V19" s="2">
        <f t="shared" si="2"/>
        <v>5.0303406675568027E-2</v>
      </c>
      <c r="W19">
        <f t="shared" si="3"/>
        <v>28.469548234847462</v>
      </c>
      <c r="X19" s="2"/>
    </row>
    <row r="20" spans="18:24" x14ac:dyDescent="0.2">
      <c r="R20" s="2">
        <v>1000</v>
      </c>
      <c r="S20" s="2">
        <f t="shared" si="0"/>
        <v>4.1527664703608962E-2</v>
      </c>
      <c r="T20">
        <f t="shared" si="1"/>
        <v>192.01421139099514</v>
      </c>
      <c r="U20" s="108">
        <v>1000</v>
      </c>
      <c r="V20" s="2">
        <f t="shared" si="2"/>
        <v>4.103097049700493E-2</v>
      </c>
      <c r="W20">
        <f t="shared" si="3"/>
        <v>284.52155923520212</v>
      </c>
      <c r="X20" s="2"/>
    </row>
    <row r="21" spans="18:24" x14ac:dyDescent="0.2">
      <c r="R21" s="2">
        <v>10000</v>
      </c>
      <c r="S21" s="2">
        <f t="shared" si="0"/>
        <v>4.0152768521406153E-2</v>
      </c>
      <c r="T21">
        <f t="shared" si="1"/>
        <v>1920.1163343950222</v>
      </c>
      <c r="U21" s="108">
        <v>10000</v>
      </c>
      <c r="V21" s="2">
        <f t="shared" si="2"/>
        <v>4.0103097680113345E-2</v>
      </c>
      <c r="W21">
        <f t="shared" si="3"/>
        <v>2845.1981946716928</v>
      </c>
      <c r="X21" s="2"/>
    </row>
    <row r="22" spans="18:24" x14ac:dyDescent="0.2">
      <c r="R22" s="2">
        <v>100000</v>
      </c>
      <c r="S22" s="2">
        <f t="shared" si="0"/>
        <v>4.0015276854191706E-2</v>
      </c>
      <c r="T22">
        <f t="shared" si="1"/>
        <v>19201.160765981251</v>
      </c>
      <c r="U22" s="108">
        <v>100000</v>
      </c>
      <c r="V22" s="2">
        <f t="shared" si="2"/>
        <v>4.0010309768641755E-2</v>
      </c>
      <c r="W22">
        <f t="shared" si="3"/>
        <v>28451.980206943528</v>
      </c>
      <c r="X22" s="2"/>
    </row>
    <row r="23" spans="18:24" x14ac:dyDescent="0.2">
      <c r="R23" s="2">
        <v>1000000</v>
      </c>
      <c r="S23" s="2">
        <f t="shared" si="0"/>
        <v>4.0001527685421222E-2</v>
      </c>
      <c r="T23">
        <f t="shared" si="1"/>
        <v>192011.60740201559</v>
      </c>
      <c r="U23" s="108">
        <v>1000000</v>
      </c>
      <c r="V23" s="2">
        <f t="shared" si="2"/>
        <v>4.0001030976864804E-2</v>
      </c>
      <c r="W23">
        <f t="shared" si="3"/>
        <v>284519.8018954579</v>
      </c>
      <c r="X23" s="2"/>
    </row>
    <row r="30" spans="18:24" x14ac:dyDescent="0.2">
      <c r="S30" s="2"/>
    </row>
    <row r="31" spans="18:24" x14ac:dyDescent="0.2">
      <c r="S31" s="2"/>
    </row>
    <row r="32" spans="18:24" x14ac:dyDescent="0.2">
      <c r="S32" s="2"/>
    </row>
    <row r="33" spans="19:19" x14ac:dyDescent="0.2">
      <c r="S33" s="2"/>
    </row>
    <row r="34" spans="19:19" x14ac:dyDescent="0.2">
      <c r="S34" s="2"/>
    </row>
    <row r="35" spans="19:19" x14ac:dyDescent="0.2">
      <c r="S35" s="2"/>
    </row>
    <row r="36" spans="19:19" x14ac:dyDescent="0.2">
      <c r="S36" s="2"/>
    </row>
    <row r="37" spans="19:19" x14ac:dyDescent="0.2">
      <c r="S37" s="2"/>
    </row>
    <row r="38" spans="19:19" x14ac:dyDescent="0.2">
      <c r="S38" s="2"/>
    </row>
    <row r="39" spans="19:19" x14ac:dyDescent="0.2">
      <c r="S39" s="2"/>
    </row>
    <row r="40" spans="19:19" x14ac:dyDescent="0.2">
      <c r="S40" s="2"/>
    </row>
    <row r="41" spans="19:19" x14ac:dyDescent="0.2">
      <c r="S41" s="2"/>
    </row>
    <row r="42" spans="19:19" x14ac:dyDescent="0.2">
      <c r="S42" s="2"/>
    </row>
  </sheetData>
  <sheetProtection sheet="1" objects="1" scenarios="1"/>
  <mergeCells count="2">
    <mergeCell ref="U7:W7"/>
    <mergeCell ref="R7:T7"/>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C000"/>
  </sheetPr>
  <dimension ref="A3:Z54"/>
  <sheetViews>
    <sheetView zoomScale="82" zoomScaleNormal="82" workbookViewId="0">
      <selection activeCell="J49" sqref="J49"/>
    </sheetView>
  </sheetViews>
  <sheetFormatPr baseColWidth="10" defaultColWidth="8.83203125" defaultRowHeight="15" x14ac:dyDescent="0.2"/>
  <cols>
    <col min="1" max="1" width="22" customWidth="1"/>
    <col min="8" max="8" width="9.83203125" bestFit="1" customWidth="1"/>
    <col min="9" max="9" width="9.33203125" bestFit="1" customWidth="1"/>
    <col min="11" max="11" width="10" customWidth="1"/>
    <col min="13" max="13" width="9.33203125" bestFit="1" customWidth="1"/>
    <col min="15" max="15" width="9.33203125" bestFit="1" customWidth="1"/>
    <col min="17" max="17" width="29.6640625" customWidth="1"/>
    <col min="18" max="21" width="9.33203125" bestFit="1" customWidth="1"/>
    <col min="22" max="22" width="12" bestFit="1" customWidth="1"/>
    <col min="23" max="24" width="9.33203125" bestFit="1" customWidth="1"/>
    <col min="26" max="26" width="9.33203125" bestFit="1" customWidth="1"/>
  </cols>
  <sheetData>
    <row r="3" spans="7:16" x14ac:dyDescent="0.2">
      <c r="G3" s="7" t="s">
        <v>6</v>
      </c>
    </row>
    <row r="4" spans="7:16" ht="17" x14ac:dyDescent="0.25">
      <c r="G4" s="105" t="s">
        <v>126</v>
      </c>
      <c r="H4" s="23">
        <f>'SWCC - Fine Grained  v1.4'!B11</f>
        <v>70</v>
      </c>
      <c r="I4" t="s">
        <v>18</v>
      </c>
      <c r="K4" s="3"/>
      <c r="L4" s="105"/>
      <c r="N4" s="105" t="s">
        <v>122</v>
      </c>
      <c r="O4">
        <f>H5/(1+H5)</f>
        <v>0.6</v>
      </c>
    </row>
    <row r="5" spans="7:16" x14ac:dyDescent="0.2">
      <c r="G5" s="105" t="s">
        <v>5</v>
      </c>
      <c r="H5" s="23">
        <f>'SWCC - Fine Grained  v1.4'!B6</f>
        <v>1.5</v>
      </c>
      <c r="J5" s="105" t="s">
        <v>36</v>
      </c>
      <c r="K5" s="2">
        <f>2.35+((1-EXP(K6))/(-0.497*(1+EXP(K6))+1.238*(1-EXP(K6))))</f>
        <v>2.9253206731508588</v>
      </c>
      <c r="L5" s="105" t="s">
        <v>4</v>
      </c>
      <c r="M5" s="2">
        <f>(3-K5)/(4-K5)</f>
        <v>6.9489870125346145E-2</v>
      </c>
      <c r="N5" s="105" t="s">
        <v>3</v>
      </c>
      <c r="O5">
        <f>IF(H6&gt;=0.005,X43,IF(H6&gt;=0.001,X45,IF(H6&gt;=0.0001,X48,IF(H6&gt;=0.00001,X53,X54))))</f>
        <v>5.0000000000000001E-3</v>
      </c>
    </row>
    <row r="6" spans="7:16" ht="17" x14ac:dyDescent="0.25">
      <c r="G6" s="105" t="s">
        <v>127</v>
      </c>
      <c r="H6" s="4">
        <f>'SWCC - Fine Grained  v1.4'!B12</f>
        <v>9.9999999999999995E-8</v>
      </c>
      <c r="I6" s="29" t="s">
        <v>56</v>
      </c>
      <c r="J6" s="105" t="s">
        <v>114</v>
      </c>
      <c r="K6" s="2">
        <f>H4*0.0822</f>
        <v>5.7539999999999996</v>
      </c>
      <c r="L6" s="105" t="s">
        <v>16</v>
      </c>
      <c r="M6" s="2">
        <f>1/(1-M5)</f>
        <v>1.0746793268491412</v>
      </c>
      <c r="N6" s="105" t="s">
        <v>123</v>
      </c>
      <c r="O6">
        <f>IF(H6&gt;=0.005,W43,IF(H6&gt;=0.001,W45,IF(H6&gt;=0.0001,W48,IF(H6&gt;=0.00001,W53,W54))))</f>
        <v>7.0000000000000007E-2</v>
      </c>
    </row>
    <row r="8" spans="7:16" x14ac:dyDescent="0.2">
      <c r="H8" s="102" t="s">
        <v>96</v>
      </c>
      <c r="I8" s="102" t="s">
        <v>17</v>
      </c>
      <c r="J8" s="8"/>
      <c r="K8" s="9"/>
      <c r="L8" s="9"/>
      <c r="M8" s="9"/>
      <c r="O8" s="9"/>
      <c r="P8" s="9"/>
    </row>
    <row r="9" spans="7:16" x14ac:dyDescent="0.2">
      <c r="H9">
        <v>1E-3</v>
      </c>
      <c r="I9">
        <f>$O$6+(($O$4-$O$6)/((1+(H9*$O$5)^$M$6)^$M$5))</f>
        <v>0.59999992599014473</v>
      </c>
    </row>
    <row r="10" spans="7:16" x14ac:dyDescent="0.2">
      <c r="H10">
        <v>0.01</v>
      </c>
      <c r="I10">
        <f t="shared" ref="I10:I23" si="0">$O$6+(($O$4-$O$6)/((1+(H10*$O$5)^$M$6)^$M$5))</f>
        <v>0.59999912105073627</v>
      </c>
    </row>
    <row r="11" spans="7:16" x14ac:dyDescent="0.2">
      <c r="H11">
        <v>0.1</v>
      </c>
      <c r="I11">
        <f t="shared" si="0"/>
        <v>0.59998956282752847</v>
      </c>
    </row>
    <row r="12" spans="7:16" x14ac:dyDescent="0.2">
      <c r="H12">
        <v>0.2</v>
      </c>
      <c r="I12">
        <f t="shared" si="0"/>
        <v>0.59997802034949066</v>
      </c>
    </row>
    <row r="13" spans="7:16" x14ac:dyDescent="0.2">
      <c r="H13">
        <v>0.25</v>
      </c>
      <c r="I13">
        <f t="shared" si="0"/>
        <v>0.59997206617428667</v>
      </c>
    </row>
    <row r="14" spans="7:16" x14ac:dyDescent="0.2">
      <c r="H14">
        <v>0.5</v>
      </c>
      <c r="I14">
        <f t="shared" si="0"/>
        <v>0.59994119064871576</v>
      </c>
    </row>
    <row r="15" spans="7:16" x14ac:dyDescent="0.2">
      <c r="H15">
        <v>1</v>
      </c>
      <c r="I15">
        <f t="shared" si="0"/>
        <v>0.59987624938284267</v>
      </c>
    </row>
    <row r="16" spans="7:16" x14ac:dyDescent="0.2">
      <c r="H16">
        <v>2</v>
      </c>
      <c r="I16">
        <f t="shared" si="0"/>
        <v>0.59973986601956852</v>
      </c>
    </row>
    <row r="17" spans="1:16" x14ac:dyDescent="0.2">
      <c r="H17">
        <v>5</v>
      </c>
      <c r="I17">
        <f t="shared" si="0"/>
        <v>0.59930797198739616</v>
      </c>
    </row>
    <row r="18" spans="1:16" x14ac:dyDescent="0.2">
      <c r="H18">
        <v>10</v>
      </c>
      <c r="I18">
        <f t="shared" si="0"/>
        <v>0.59855829531770444</v>
      </c>
    </row>
    <row r="19" spans="1:16" x14ac:dyDescent="0.2">
      <c r="H19">
        <v>100</v>
      </c>
      <c r="I19">
        <f t="shared" si="0"/>
        <v>0.58588286807861589</v>
      </c>
    </row>
    <row r="20" spans="1:16" x14ac:dyDescent="0.2">
      <c r="H20">
        <v>1000</v>
      </c>
      <c r="I20">
        <f t="shared" si="0"/>
        <v>0.53467578154025008</v>
      </c>
    </row>
    <row r="21" spans="1:16" x14ac:dyDescent="0.2">
      <c r="H21">
        <v>10000</v>
      </c>
      <c r="I21">
        <f t="shared" si="0"/>
        <v>0.46532164692063155</v>
      </c>
    </row>
    <row r="22" spans="1:16" x14ac:dyDescent="0.2">
      <c r="H22">
        <v>100000</v>
      </c>
      <c r="I22">
        <f t="shared" si="0"/>
        <v>0.4031813497527369</v>
      </c>
    </row>
    <row r="23" spans="1:16" x14ac:dyDescent="0.2">
      <c r="H23">
        <v>1000000</v>
      </c>
      <c r="I23">
        <f t="shared" si="0"/>
        <v>0.3505666745133979</v>
      </c>
    </row>
    <row r="25" spans="1:16" ht="29.25" customHeight="1" x14ac:dyDescent="0.2">
      <c r="G25" s="7" t="s">
        <v>7</v>
      </c>
    </row>
    <row r="26" spans="1:16" ht="17" x14ac:dyDescent="0.25">
      <c r="G26" s="105" t="s">
        <v>126</v>
      </c>
      <c r="H26" s="23">
        <f>'SWCC - Coarse Grained  v1.4'!B14</f>
        <v>10</v>
      </c>
      <c r="I26" t="s">
        <v>18</v>
      </c>
      <c r="J26" s="105" t="s">
        <v>115</v>
      </c>
      <c r="K26" s="2">
        <f>2.35+((1-EXP(K27))/(-0.497*(1+EXP(K27))+1.238*(1-EXP(K27))))</f>
        <v>2.7476807109113932</v>
      </c>
      <c r="L26" s="105" t="s">
        <v>4</v>
      </c>
      <c r="M26" s="2">
        <f>(3-K26)/(4-K26)</f>
        <v>0.20148159601712734</v>
      </c>
      <c r="N26" s="105" t="s">
        <v>122</v>
      </c>
      <c r="O26">
        <f>H27/(1+H27)</f>
        <v>0.33333333333333331</v>
      </c>
      <c r="P26" s="1"/>
    </row>
    <row r="27" spans="1:16" ht="17" x14ac:dyDescent="0.25">
      <c r="G27" s="105" t="s">
        <v>5</v>
      </c>
      <c r="H27" s="23">
        <f>'SWCC - Coarse Grained  v1.4'!B6</f>
        <v>0.5</v>
      </c>
      <c r="J27" s="105" t="s">
        <v>114</v>
      </c>
      <c r="K27" s="2">
        <f>H26*0.0822</f>
        <v>0.82199999999999995</v>
      </c>
      <c r="L27" s="105" t="s">
        <v>16</v>
      </c>
      <c r="M27" s="2">
        <f>1/(1-M26)</f>
        <v>1.2523192890886068</v>
      </c>
      <c r="N27" s="105" t="s">
        <v>3</v>
      </c>
      <c r="O27">
        <f>IF(H28&gt;=0.005,X43,IF(H28&gt;=0.001,X45,IF(H28&gt;=0.0001,X48,IF(H28&gt;=0.00001,X53,X54))))</f>
        <v>1.4780835881753311</v>
      </c>
      <c r="P27" s="1"/>
    </row>
    <row r="28" spans="1:16" ht="17" x14ac:dyDescent="0.25">
      <c r="G28" s="105" t="s">
        <v>127</v>
      </c>
      <c r="H28" s="111">
        <f>'SWCC - Coarse Grained  v1.4'!B15</f>
        <v>0.01</v>
      </c>
      <c r="I28" s="29" t="s">
        <v>56</v>
      </c>
      <c r="L28" s="1"/>
      <c r="N28" s="105" t="s">
        <v>123</v>
      </c>
      <c r="O28" s="110">
        <f>IF(H28&gt;=0.005,W43,IF(H28&gt;=0.001,W45,IF(H28&gt;=0.0001,W48,IF(H28&gt;=0.00001,W53,W54))))</f>
        <v>4.4999999999999998E-2</v>
      </c>
    </row>
    <row r="29" spans="1:16" x14ac:dyDescent="0.2">
      <c r="N29" s="7"/>
    </row>
    <row r="30" spans="1:16" x14ac:dyDescent="0.2">
      <c r="H30" s="102" t="s">
        <v>96</v>
      </c>
      <c r="I30" s="102" t="s">
        <v>17</v>
      </c>
      <c r="J30" s="8"/>
      <c r="K30" s="9"/>
      <c r="L30" s="9"/>
      <c r="M30" s="9"/>
      <c r="N30" s="7"/>
    </row>
    <row r="31" spans="1:16" x14ac:dyDescent="0.2">
      <c r="A31" t="s">
        <v>68</v>
      </c>
      <c r="H31" s="2">
        <v>1E-3</v>
      </c>
      <c r="I31">
        <f>$O$28+($O$26-$O$28)/((1+(H31/$O$27)^$M$27)^$M$26)</f>
        <v>0.33332710133892435</v>
      </c>
      <c r="K31" s="2"/>
      <c r="L31" s="2"/>
      <c r="M31" s="2"/>
      <c r="N31" s="2"/>
    </row>
    <row r="32" spans="1:16" x14ac:dyDescent="0.2">
      <c r="H32" s="2">
        <v>0.01</v>
      </c>
      <c r="I32">
        <f t="shared" ref="I32:I45" si="1">$O$28+($O$26-$O$28)/((1+(H32/$O$27)^$M$27)^$M$26)</f>
        <v>0.33322203866746891</v>
      </c>
      <c r="K32" s="2"/>
      <c r="L32" s="2"/>
      <c r="M32" s="2"/>
      <c r="N32" s="2"/>
    </row>
    <row r="33" spans="8:26" x14ac:dyDescent="0.2">
      <c r="H33" s="2">
        <v>0.1</v>
      </c>
      <c r="I33">
        <f t="shared" si="1"/>
        <v>0.33138134271196656</v>
      </c>
      <c r="K33" s="2"/>
      <c r="L33" s="2"/>
      <c r="M33" s="2"/>
      <c r="N33" s="2"/>
    </row>
    <row r="34" spans="8:26" x14ac:dyDescent="0.2">
      <c r="H34" s="2">
        <v>0.2</v>
      </c>
      <c r="I34">
        <f t="shared" si="1"/>
        <v>0.32880762872109504</v>
      </c>
      <c r="K34" s="2"/>
      <c r="L34" s="2"/>
      <c r="M34" s="2"/>
      <c r="N34" s="2"/>
    </row>
    <row r="35" spans="8:26" x14ac:dyDescent="0.2">
      <c r="H35" s="2">
        <v>0.25</v>
      </c>
      <c r="I35">
        <f t="shared" si="1"/>
        <v>0.32743543969484734</v>
      </c>
      <c r="K35" s="2"/>
      <c r="L35" s="2"/>
      <c r="M35" s="2"/>
      <c r="N35" s="2"/>
    </row>
    <row r="36" spans="8:26" x14ac:dyDescent="0.2">
      <c r="H36" s="2">
        <v>0.5</v>
      </c>
      <c r="I36">
        <f t="shared" si="1"/>
        <v>0.32033243900918357</v>
      </c>
      <c r="K36" s="2"/>
      <c r="L36" s="2"/>
      <c r="M36" s="2"/>
      <c r="N36" s="2"/>
    </row>
    <row r="37" spans="8:26" x14ac:dyDescent="0.2">
      <c r="H37" s="2">
        <v>1</v>
      </c>
      <c r="I37">
        <f t="shared" si="1"/>
        <v>0.30685366031559419</v>
      </c>
      <c r="K37" s="2"/>
      <c r="L37" s="2"/>
      <c r="M37" s="2"/>
      <c r="N37" s="2"/>
    </row>
    <row r="38" spans="8:26" x14ac:dyDescent="0.2">
      <c r="H38" s="2">
        <v>2</v>
      </c>
      <c r="I38">
        <f t="shared" si="1"/>
        <v>0.28549985151972235</v>
      </c>
      <c r="K38" s="2"/>
      <c r="L38" s="2"/>
      <c r="M38" s="2"/>
      <c r="N38" s="2"/>
    </row>
    <row r="39" spans="8:26" x14ac:dyDescent="0.2">
      <c r="H39" s="2">
        <v>5</v>
      </c>
      <c r="I39">
        <f t="shared" si="1"/>
        <v>0.2487694433658611</v>
      </c>
      <c r="K39" s="2"/>
      <c r="L39" s="2"/>
      <c r="M39" s="2"/>
      <c r="N39" s="2"/>
    </row>
    <row r="40" spans="8:26" x14ac:dyDescent="0.2">
      <c r="H40" s="2">
        <v>10</v>
      </c>
      <c r="I40">
        <f t="shared" si="1"/>
        <v>0.21988535403822435</v>
      </c>
      <c r="K40" s="2"/>
      <c r="L40" s="2"/>
      <c r="M40" s="2"/>
      <c r="N40" s="2"/>
    </row>
    <row r="41" spans="8:26" ht="16" thickBot="1" x14ac:dyDescent="0.25">
      <c r="H41" s="2">
        <v>100</v>
      </c>
      <c r="I41">
        <f t="shared" si="1"/>
        <v>0.14445558147802295</v>
      </c>
      <c r="K41" s="2"/>
      <c r="L41" s="2"/>
      <c r="M41" s="2"/>
      <c r="N41" s="2"/>
    </row>
    <row r="42" spans="8:26" ht="26.25" customHeight="1" thickBot="1" x14ac:dyDescent="0.25">
      <c r="H42" s="2">
        <v>1000</v>
      </c>
      <c r="I42">
        <f t="shared" si="1"/>
        <v>0.10068398906959317</v>
      </c>
      <c r="K42" s="2"/>
      <c r="L42" s="2"/>
      <c r="M42" s="2"/>
      <c r="N42" s="2"/>
      <c r="Q42" s="26" t="s">
        <v>31</v>
      </c>
      <c r="R42" s="26" t="s">
        <v>51</v>
      </c>
      <c r="S42" s="26" t="s">
        <v>52</v>
      </c>
      <c r="T42" s="26" t="s">
        <v>1</v>
      </c>
      <c r="U42" s="28" t="s">
        <v>64</v>
      </c>
      <c r="V42" s="27" t="s">
        <v>62</v>
      </c>
      <c r="W42" s="27" t="s">
        <v>51</v>
      </c>
      <c r="X42" s="99" t="s">
        <v>94</v>
      </c>
      <c r="Y42" s="100"/>
      <c r="Z42" s="101" t="s">
        <v>75</v>
      </c>
    </row>
    <row r="43" spans="8:26" x14ac:dyDescent="0.2">
      <c r="H43" s="2">
        <v>10000</v>
      </c>
      <c r="I43">
        <f t="shared" si="1"/>
        <v>7.6148320085981033E-2</v>
      </c>
      <c r="K43" s="2"/>
      <c r="L43" s="2"/>
      <c r="M43" s="2"/>
      <c r="N43" s="2"/>
      <c r="Q43" s="46" t="s">
        <v>45</v>
      </c>
      <c r="R43" s="47">
        <v>4.4999999999999998E-2</v>
      </c>
      <c r="S43" s="47">
        <v>0.43</v>
      </c>
      <c r="T43" s="47">
        <v>2.68</v>
      </c>
      <c r="U43" s="47">
        <v>0.14499999999999999</v>
      </c>
      <c r="V43" s="48">
        <v>8.2500000000000004E-3</v>
      </c>
      <c r="W43" s="49">
        <f>R43</f>
        <v>4.4999999999999998E-2</v>
      </c>
      <c r="X43">
        <f>U43/0.0981</f>
        <v>1.4780835881753311</v>
      </c>
      <c r="Z43" s="49">
        <f>0.0981/U43</f>
        <v>0.67655172413793108</v>
      </c>
    </row>
    <row r="44" spans="8:26" ht="18.75" customHeight="1" x14ac:dyDescent="0.2">
      <c r="H44" s="2">
        <v>100000</v>
      </c>
      <c r="I44">
        <f t="shared" si="1"/>
        <v>6.24227481521476E-2</v>
      </c>
      <c r="K44" s="2"/>
      <c r="L44" s="2"/>
      <c r="M44" s="2"/>
      <c r="N44" s="2"/>
      <c r="Q44" s="40" t="s">
        <v>40</v>
      </c>
      <c r="R44" s="41">
        <v>5.7000000000000002E-2</v>
      </c>
      <c r="S44" s="41">
        <v>0.41</v>
      </c>
      <c r="T44" s="41">
        <v>2.2799999999999998</v>
      </c>
      <c r="U44" s="41">
        <v>0.124</v>
      </c>
      <c r="V44" s="42">
        <v>4.0499999999999998E-3</v>
      </c>
      <c r="W44" s="49"/>
      <c r="Z44" s="49">
        <f t="shared" ref="Z44:Z54" si="2">0.0981/U44</f>
        <v>0.79112903225806452</v>
      </c>
    </row>
    <row r="45" spans="8:26" ht="14.25" customHeight="1" x14ac:dyDescent="0.2">
      <c r="H45" s="2">
        <v>1000000</v>
      </c>
      <c r="I45">
        <f t="shared" si="1"/>
        <v>5.4745350052780126E-2</v>
      </c>
      <c r="K45" s="2"/>
      <c r="L45" s="2"/>
      <c r="M45" s="2"/>
      <c r="N45" s="2"/>
      <c r="Q45" s="40" t="s">
        <v>48</v>
      </c>
      <c r="R45" s="41">
        <v>6.5000000000000002E-2</v>
      </c>
      <c r="S45" s="41">
        <v>0.41</v>
      </c>
      <c r="T45" s="41">
        <v>1.89</v>
      </c>
      <c r="U45" s="41">
        <v>7.4999999999999997E-2</v>
      </c>
      <c r="V45" s="42">
        <v>1.2199999999999999E-3</v>
      </c>
      <c r="W45" s="49">
        <f>AVERAGE(R44:R45)</f>
        <v>6.0999999999999999E-2</v>
      </c>
      <c r="X45" s="49">
        <f>AVERAGE(U44:U45)/0.0981</f>
        <v>1.0142711518858307</v>
      </c>
      <c r="Z45" s="49">
        <f t="shared" si="2"/>
        <v>1.3080000000000001</v>
      </c>
    </row>
    <row r="46" spans="8:26" ht="16.5" customHeight="1" x14ac:dyDescent="0.2">
      <c r="Q46" s="43" t="s">
        <v>47</v>
      </c>
      <c r="R46" s="44">
        <v>0.1</v>
      </c>
      <c r="S46" s="44">
        <v>0.39</v>
      </c>
      <c r="T46" s="44">
        <v>1.48</v>
      </c>
      <c r="U46" s="44">
        <v>5.8999999999999997E-2</v>
      </c>
      <c r="V46" s="45">
        <v>3.6400000000000001E-4</v>
      </c>
      <c r="W46" s="49"/>
      <c r="Z46" s="49">
        <f t="shared" si="2"/>
        <v>1.6627118644067798</v>
      </c>
    </row>
    <row r="47" spans="8:26" x14ac:dyDescent="0.2">
      <c r="Q47" s="43" t="s">
        <v>39</v>
      </c>
      <c r="R47" s="44">
        <v>7.8E-2</v>
      </c>
      <c r="S47" s="44">
        <v>0.43</v>
      </c>
      <c r="T47" s="44">
        <v>1.56</v>
      </c>
      <c r="U47" s="44">
        <v>3.5999999999999997E-2</v>
      </c>
      <c r="V47" s="45">
        <v>2.8899999999999998E-4</v>
      </c>
      <c r="W47" s="49"/>
      <c r="Z47" s="49">
        <f t="shared" si="2"/>
        <v>2.7250000000000005</v>
      </c>
    </row>
    <row r="48" spans="8:26" x14ac:dyDescent="0.2">
      <c r="H48" s="98" t="s">
        <v>97</v>
      </c>
      <c r="Q48" s="43" t="s">
        <v>42</v>
      </c>
      <c r="R48" s="44">
        <v>6.7000000000000004E-2</v>
      </c>
      <c r="S48" s="44">
        <v>0.45</v>
      </c>
      <c r="T48" s="44">
        <v>1.41</v>
      </c>
      <c r="U48" s="44">
        <v>0.02</v>
      </c>
      <c r="V48" s="45">
        <v>1.25E-4</v>
      </c>
      <c r="W48" s="49">
        <f>AVERAGE(R46:R48)</f>
        <v>8.1666666666666665E-2</v>
      </c>
      <c r="X48" s="49">
        <f>AVERAGE(U46:U48)/0.0981</f>
        <v>0.3907577302072715</v>
      </c>
      <c r="Z48" s="49">
        <f t="shared" si="2"/>
        <v>4.9050000000000002</v>
      </c>
    </row>
    <row r="49" spans="17:26" x14ac:dyDescent="0.2">
      <c r="Q49" s="34" t="s">
        <v>33</v>
      </c>
      <c r="R49" s="35">
        <v>9.5000000000000001E-2</v>
      </c>
      <c r="S49" s="35">
        <v>0.41</v>
      </c>
      <c r="T49" s="35">
        <v>1.31</v>
      </c>
      <c r="U49" s="35">
        <v>1.9E-2</v>
      </c>
      <c r="V49" s="36">
        <v>7.2200000000000007E-5</v>
      </c>
      <c r="W49" s="49"/>
      <c r="Z49" s="49">
        <f t="shared" si="2"/>
        <v>5.1631578947368428</v>
      </c>
    </row>
    <row r="50" spans="17:26" ht="15.75" customHeight="1" x14ac:dyDescent="0.2">
      <c r="Q50" s="34" t="s">
        <v>41</v>
      </c>
      <c r="R50" s="35">
        <v>3.4000000000000002E-2</v>
      </c>
      <c r="S50" s="35">
        <v>0.46</v>
      </c>
      <c r="T50" s="35">
        <v>1.37</v>
      </c>
      <c r="U50" s="35">
        <v>1.6E-2</v>
      </c>
      <c r="V50" s="36">
        <v>6.9400000000000006E-5</v>
      </c>
      <c r="W50" s="49"/>
      <c r="Z50" s="49">
        <f t="shared" si="2"/>
        <v>6.1312500000000005</v>
      </c>
    </row>
    <row r="51" spans="17:26" ht="18" customHeight="1" x14ac:dyDescent="0.2">
      <c r="Q51" s="34" t="s">
        <v>32</v>
      </c>
      <c r="R51" s="35">
        <v>6.8000000000000005E-2</v>
      </c>
      <c r="S51" s="35">
        <v>0.38</v>
      </c>
      <c r="T51" s="35">
        <v>1.0900000000000001</v>
      </c>
      <c r="U51" s="35">
        <v>8.0000000000000002E-3</v>
      </c>
      <c r="V51" s="36">
        <v>5.5500000000000001E-5</v>
      </c>
      <c r="W51" s="49"/>
      <c r="Z51" s="49">
        <f t="shared" si="2"/>
        <v>12.262500000000001</v>
      </c>
    </row>
    <row r="52" spans="17:26" ht="15" customHeight="1" x14ac:dyDescent="0.2">
      <c r="Q52" s="34" t="s">
        <v>46</v>
      </c>
      <c r="R52" s="35">
        <v>0.1</v>
      </c>
      <c r="S52" s="35">
        <v>0.38</v>
      </c>
      <c r="T52" s="35">
        <v>1.23</v>
      </c>
      <c r="U52" s="35">
        <v>2.7E-2</v>
      </c>
      <c r="V52" s="36">
        <v>3.3300000000000003E-5</v>
      </c>
      <c r="W52" s="49"/>
      <c r="Z52" s="49">
        <f t="shared" si="2"/>
        <v>3.6333333333333337</v>
      </c>
    </row>
    <row r="53" spans="17:26" ht="18" customHeight="1" x14ac:dyDescent="0.2">
      <c r="Q53" s="34" t="s">
        <v>44</v>
      </c>
      <c r="R53" s="35">
        <v>8.8999999999999996E-2</v>
      </c>
      <c r="S53" s="35">
        <v>0.43</v>
      </c>
      <c r="T53" s="35">
        <v>1.23</v>
      </c>
      <c r="U53" s="35">
        <v>0.01</v>
      </c>
      <c r="V53" s="36">
        <v>1.9400000000000001E-5</v>
      </c>
      <c r="W53" s="49">
        <f>AVERAGE(R49:R53)</f>
        <v>7.7200000000000005E-2</v>
      </c>
      <c r="X53" s="49">
        <f>AVERAGE(U49:U53)/0.0981</f>
        <v>0.16309887869520898</v>
      </c>
      <c r="Z53" s="49">
        <f t="shared" si="2"/>
        <v>9.81</v>
      </c>
    </row>
    <row r="54" spans="17:26" ht="16" thickBot="1" x14ac:dyDescent="0.25">
      <c r="Q54" s="37" t="s">
        <v>43</v>
      </c>
      <c r="R54" s="38">
        <v>7.0000000000000007E-2</v>
      </c>
      <c r="S54" s="38">
        <v>0.36</v>
      </c>
      <c r="T54" s="38">
        <v>1.0900000000000001</v>
      </c>
      <c r="U54" s="38">
        <v>5.0000000000000001E-3</v>
      </c>
      <c r="V54" s="39" t="s">
        <v>63</v>
      </c>
      <c r="W54" s="49">
        <f>R54</f>
        <v>7.0000000000000007E-2</v>
      </c>
      <c r="X54" s="49">
        <v>5.0000000000000001E-3</v>
      </c>
      <c r="Z54" s="49">
        <f t="shared" si="2"/>
        <v>19.62</v>
      </c>
    </row>
  </sheetData>
  <pageMargins left="0.7" right="0.7" top="0.75" bottom="0.75" header="0.3" footer="0.3"/>
  <pageSetup orientation="portrait" verticalDpi="598"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FC000"/>
  </sheetPr>
  <dimension ref="A2:T47"/>
  <sheetViews>
    <sheetView topLeftCell="A19" zoomScale="82" zoomScaleNormal="82" workbookViewId="0"/>
  </sheetViews>
  <sheetFormatPr baseColWidth="10" defaultColWidth="8.83203125" defaultRowHeight="15" x14ac:dyDescent="0.2"/>
  <sheetData>
    <row r="2" spans="1:19" x14ac:dyDescent="0.2">
      <c r="J2" s="7" t="s">
        <v>6</v>
      </c>
    </row>
    <row r="3" spans="1:19" x14ac:dyDescent="0.2">
      <c r="N3" s="3"/>
    </row>
    <row r="4" spans="1:19" ht="17" x14ac:dyDescent="0.25">
      <c r="K4" s="105" t="s">
        <v>21</v>
      </c>
      <c r="L4" s="114">
        <f>'SWCC - Fine Grained  v1.4'!B10*('SWCC - Fine Grained  v1.4'!B7-'SWCC - Fine Grained  v1.4'!B8)*0.01</f>
        <v>45</v>
      </c>
      <c r="M4" s="105" t="s">
        <v>129</v>
      </c>
      <c r="N4" s="29">
        <f>32.835*LN(L4)+32.438</f>
        <v>157.42976285160844</v>
      </c>
      <c r="O4" s="105" t="s">
        <v>128</v>
      </c>
      <c r="P4" s="29">
        <f>1.421*(L4^-0.3185)</f>
        <v>0.42271328039960943</v>
      </c>
    </row>
    <row r="5" spans="1:19" ht="17" x14ac:dyDescent="0.25">
      <c r="K5" s="105" t="s">
        <v>5</v>
      </c>
      <c r="L5" s="114">
        <f>'SWCC - Fine Grained  v1.4'!B6</f>
        <v>1.5</v>
      </c>
      <c r="M5" s="105" t="s">
        <v>130</v>
      </c>
      <c r="N5" s="29">
        <f>-0.2154*LN(L4)+0.7145</f>
        <v>-0.10545510029652683</v>
      </c>
      <c r="O5" s="105" t="s">
        <v>16</v>
      </c>
      <c r="P5" s="29">
        <f>L5/(1+L5)</f>
        <v>0.6</v>
      </c>
    </row>
    <row r="7" spans="1:19" x14ac:dyDescent="0.2">
      <c r="K7" s="102" t="s">
        <v>96</v>
      </c>
      <c r="L7" s="102" t="s">
        <v>17</v>
      </c>
      <c r="M7" s="103" t="s">
        <v>23</v>
      </c>
      <c r="O7" s="9"/>
      <c r="P7" s="9"/>
      <c r="R7" s="9"/>
      <c r="S7" s="9"/>
    </row>
    <row r="8" spans="1:19" x14ac:dyDescent="0.2">
      <c r="K8">
        <v>1E-3</v>
      </c>
      <c r="L8">
        <f t="shared" ref="L8:L22" si="0">M8*($P$5/((LN(EXP(1)+(K8/$N$4)^$P$4))^$N$5))</f>
        <v>0.60014744210354631</v>
      </c>
      <c r="M8">
        <f t="shared" ref="M8:M22" si="1">1-((LN(1+(K8/500)))/(LN(1+(1000000/500))))</f>
        <v>0.9999997368909167</v>
      </c>
    </row>
    <row r="9" spans="1:19" x14ac:dyDescent="0.2">
      <c r="K9">
        <v>0.01</v>
      </c>
      <c r="L9">
        <f t="shared" si="0"/>
        <v>0.60038766665080168</v>
      </c>
      <c r="M9">
        <f t="shared" si="1"/>
        <v>0.99999736893284652</v>
      </c>
    </row>
    <row r="10" spans="1:19" x14ac:dyDescent="0.2">
      <c r="K10">
        <v>0.1</v>
      </c>
      <c r="L10">
        <f t="shared" si="0"/>
        <v>0.60100467187538997</v>
      </c>
      <c r="M10">
        <f t="shared" si="1"/>
        <v>0.9999736916961024</v>
      </c>
    </row>
    <row r="11" spans="1:19" x14ac:dyDescent="0.2">
      <c r="K11">
        <v>0.2</v>
      </c>
      <c r="L11">
        <f t="shared" si="0"/>
        <v>0.60132923325182908</v>
      </c>
      <c r="M11">
        <f t="shared" si="1"/>
        <v>0.99994738865228761</v>
      </c>
    </row>
    <row r="12" spans="1:19" x14ac:dyDescent="0.2">
      <c r="K12">
        <v>0.25</v>
      </c>
      <c r="L12">
        <f t="shared" si="0"/>
        <v>0.60145294695096652</v>
      </c>
      <c r="M12">
        <f t="shared" si="1"/>
        <v>0.99993423910225399</v>
      </c>
    </row>
    <row r="13" spans="1:19" x14ac:dyDescent="0.2">
      <c r="K13">
        <v>0.5</v>
      </c>
      <c r="L13">
        <f t="shared" si="0"/>
        <v>0.6019065031719355</v>
      </c>
      <c r="M13">
        <f t="shared" si="1"/>
        <v>0.99986851106031638</v>
      </c>
    </row>
    <row r="14" spans="1:19" x14ac:dyDescent="0.2">
      <c r="K14">
        <v>1</v>
      </c>
      <c r="L14">
        <f t="shared" si="0"/>
        <v>0.60247693398155044</v>
      </c>
      <c r="M14">
        <f t="shared" si="1"/>
        <v>0.99973715341265612</v>
      </c>
    </row>
    <row r="15" spans="1:19" ht="21" x14ac:dyDescent="0.25">
      <c r="A15" s="10" t="s">
        <v>24</v>
      </c>
      <c r="K15">
        <v>2</v>
      </c>
      <c r="L15">
        <f t="shared" si="0"/>
        <v>0.6031695479790401</v>
      </c>
      <c r="M15">
        <f t="shared" si="1"/>
        <v>0.99947483094647216</v>
      </c>
    </row>
    <row r="16" spans="1:19" x14ac:dyDescent="0.2">
      <c r="K16">
        <v>5</v>
      </c>
      <c r="L16">
        <f t="shared" si="0"/>
        <v>0.60422281320349902</v>
      </c>
      <c r="M16">
        <f t="shared" si="1"/>
        <v>0.99869098747636376</v>
      </c>
    </row>
    <row r="17" spans="1:20" ht="21" x14ac:dyDescent="0.25">
      <c r="A17" s="10" t="s">
        <v>28</v>
      </c>
      <c r="K17">
        <v>10</v>
      </c>
      <c r="L17">
        <f t="shared" si="0"/>
        <v>0.60497950814088752</v>
      </c>
      <c r="M17">
        <f t="shared" si="1"/>
        <v>0.99739487183751807</v>
      </c>
    </row>
    <row r="18" spans="1:20" x14ac:dyDescent="0.2">
      <c r="K18">
        <v>100</v>
      </c>
      <c r="L18">
        <f t="shared" si="0"/>
        <v>0.60031623323104089</v>
      </c>
      <c r="M18">
        <f t="shared" si="1"/>
        <v>0.97601474717836534</v>
      </c>
    </row>
    <row r="19" spans="1:20" x14ac:dyDescent="0.2">
      <c r="K19">
        <v>1000</v>
      </c>
      <c r="L19">
        <f t="shared" si="0"/>
        <v>0.53900328630567496</v>
      </c>
      <c r="M19">
        <f t="shared" si="1"/>
        <v>0.85547241938901109</v>
      </c>
    </row>
    <row r="20" spans="1:20" x14ac:dyDescent="0.2">
      <c r="K20">
        <v>10000</v>
      </c>
      <c r="L20">
        <f t="shared" si="0"/>
        <v>0.38973759811580772</v>
      </c>
      <c r="M20">
        <f t="shared" si="1"/>
        <v>0.59947884565037346</v>
      </c>
    </row>
    <row r="21" spans="1:20" x14ac:dyDescent="0.2">
      <c r="K21">
        <v>100000</v>
      </c>
      <c r="L21">
        <f t="shared" si="0"/>
        <v>0.20288793266595115</v>
      </c>
      <c r="M21">
        <f t="shared" si="1"/>
        <v>0.30232545593187654</v>
      </c>
    </row>
    <row r="22" spans="1:20" x14ac:dyDescent="0.2">
      <c r="K22">
        <v>1000000</v>
      </c>
      <c r="L22">
        <f t="shared" si="0"/>
        <v>0</v>
      </c>
      <c r="M22">
        <f t="shared" si="1"/>
        <v>0</v>
      </c>
    </row>
    <row r="24" spans="1:20" ht="17" x14ac:dyDescent="0.25">
      <c r="J24" s="7" t="s">
        <v>7</v>
      </c>
      <c r="Q24" s="105" t="s">
        <v>135</v>
      </c>
      <c r="R24" s="29">
        <f>10^(-30/P25+LOG(R27))</f>
        <v>2.4999999999999977E-2</v>
      </c>
      <c r="S24" t="s">
        <v>26</v>
      </c>
    </row>
    <row r="25" spans="1:20" ht="17" x14ac:dyDescent="0.25">
      <c r="K25" s="105" t="s">
        <v>19</v>
      </c>
      <c r="L25" s="114">
        <f>'SWCC - Coarse Grained  v1.4'!B10</f>
        <v>0.5</v>
      </c>
      <c r="M25" s="105" t="s">
        <v>110</v>
      </c>
      <c r="N25" s="2">
        <f>30/(LOG(R29)-LOG(R28))</f>
        <v>49.828921423310433</v>
      </c>
      <c r="O25" s="105" t="s">
        <v>111</v>
      </c>
      <c r="P25" s="2">
        <f>20/(LOG(R27)-LOG(R25))</f>
        <v>33.219280948873617</v>
      </c>
      <c r="Q25" s="105" t="s">
        <v>116</v>
      </c>
      <c r="R25" s="114">
        <f>'SWCC - Coarse Grained  v1.4'!B7</f>
        <v>0.05</v>
      </c>
      <c r="S25" s="105" t="s">
        <v>113</v>
      </c>
      <c r="T25">
        <f>LOG(P25^1.15)-(1-1/P27)</f>
        <v>1.0847943375266331</v>
      </c>
    </row>
    <row r="26" spans="1:20" ht="17" x14ac:dyDescent="0.25">
      <c r="K26" s="105" t="s">
        <v>30</v>
      </c>
      <c r="L26" s="114">
        <f>'SWCC - Coarse Grained  v1.4'!B13</f>
        <v>30</v>
      </c>
      <c r="M26" s="105" t="s">
        <v>109</v>
      </c>
      <c r="N26" s="2">
        <f>2.79-14.1*LOG(R26)-0.0000019*L26^4.34+7*LOG(R27)+0.055*R30</f>
        <v>7.2801237268566057</v>
      </c>
      <c r="O26" s="105" t="s">
        <v>22</v>
      </c>
      <c r="P26" s="2">
        <f>(5.39-0.29*LN((R29/R25)*L26)+(3*R24^0.57)+0.021*L26^1.19)*N25^0.1</f>
        <v>7.2471505692730256</v>
      </c>
      <c r="Q26" s="105" t="s">
        <v>132</v>
      </c>
      <c r="R26" s="114">
        <f>'SWCC - Coarse Grained  v1.4'!B8</f>
        <v>0.1</v>
      </c>
      <c r="S26" s="105" t="s">
        <v>136</v>
      </c>
      <c r="T26">
        <f>0.26*EXP(0.78*T25)+1.4*R25</f>
        <v>0.67596438534607284</v>
      </c>
    </row>
    <row r="27" spans="1:20" ht="17" x14ac:dyDescent="0.25">
      <c r="K27" s="105" t="s">
        <v>5</v>
      </c>
      <c r="L27" s="114">
        <f>'SWCC - Coarse Grained  v1.4'!B6</f>
        <v>0.5</v>
      </c>
      <c r="M27" s="105" t="s">
        <v>129</v>
      </c>
      <c r="N27">
        <f>IF((1.14*N26-0.5)&gt;0, 1.14*N26-0.5,1)</f>
        <v>7.7993410486165295</v>
      </c>
      <c r="O27" s="105" t="s">
        <v>128</v>
      </c>
      <c r="P27">
        <f>0.936*P26-3.8</f>
        <v>2.9833329328395521</v>
      </c>
      <c r="Q27" s="105" t="s">
        <v>133</v>
      </c>
      <c r="R27" s="114">
        <f>'SWCC - Coarse Grained  v1.4'!B9</f>
        <v>0.2</v>
      </c>
      <c r="S27" s="105" t="s">
        <v>112</v>
      </c>
      <c r="T27">
        <f>L27/(1+L27)</f>
        <v>0.33333333333333331</v>
      </c>
    </row>
    <row r="28" spans="1:20" ht="21" x14ac:dyDescent="0.25">
      <c r="A28" s="10"/>
      <c r="Q28" s="105" t="s">
        <v>117</v>
      </c>
      <c r="R28" s="114">
        <f>'SWCC - Coarse Grained  v1.4'!B10</f>
        <v>0.5</v>
      </c>
      <c r="S28" s="29" t="s">
        <v>26</v>
      </c>
    </row>
    <row r="29" spans="1:20" ht="25.5" customHeight="1" x14ac:dyDescent="0.45">
      <c r="A29" s="5"/>
      <c r="K29" s="102" t="s">
        <v>96</v>
      </c>
      <c r="L29" s="102" t="s">
        <v>17</v>
      </c>
      <c r="M29" s="103" t="s">
        <v>23</v>
      </c>
      <c r="O29" s="9"/>
      <c r="P29" s="9"/>
      <c r="Q29" s="105" t="s">
        <v>134</v>
      </c>
      <c r="R29" s="114">
        <f>'SWCC - Coarse Grained  v1.4'!B11</f>
        <v>2</v>
      </c>
      <c r="S29" s="29" t="s">
        <v>26</v>
      </c>
    </row>
    <row r="30" spans="1:20" ht="21" x14ac:dyDescent="0.25">
      <c r="A30" s="10" t="s">
        <v>29</v>
      </c>
      <c r="K30" s="2">
        <v>1E-3</v>
      </c>
      <c r="L30">
        <f t="shared" ref="L30:L44" si="2">M30*($T$27/((LN(EXP(1)+(K30/$N$27)^$P$27))^$T$26))</f>
        <v>0.33333297142680085</v>
      </c>
      <c r="M30">
        <f t="shared" ref="M30:M44" si="3">1-((LN(1+(K30/100)))/(LN(1+(1000000/100))))</f>
        <v>0.99999891428101129</v>
      </c>
      <c r="O30" s="2"/>
      <c r="P30" s="2"/>
      <c r="Q30" s="105" t="s">
        <v>131</v>
      </c>
      <c r="R30" s="29">
        <f>10^(40/N25+LOG(R28))</f>
        <v>3.1748021039363996</v>
      </c>
      <c r="S30" s="109" t="s">
        <v>26</v>
      </c>
    </row>
    <row r="31" spans="1:20" x14ac:dyDescent="0.2">
      <c r="K31" s="2">
        <v>0.01</v>
      </c>
      <c r="L31">
        <f t="shared" si="2"/>
        <v>0.33332971423766122</v>
      </c>
      <c r="M31">
        <f t="shared" si="3"/>
        <v>0.99998914329865363</v>
      </c>
      <c r="O31" s="2"/>
      <c r="P31" s="2"/>
      <c r="Q31" s="2"/>
    </row>
    <row r="32" spans="1:20" x14ac:dyDescent="0.2">
      <c r="K32" s="2">
        <v>0.1</v>
      </c>
      <c r="L32">
        <f t="shared" si="2"/>
        <v>0.3332969727481993</v>
      </c>
      <c r="M32">
        <f t="shared" si="3"/>
        <v>0.99989148180833276</v>
      </c>
      <c r="O32" s="2"/>
      <c r="P32" s="2"/>
      <c r="Q32" s="2"/>
    </row>
    <row r="33" spans="11:17" x14ac:dyDescent="0.2">
      <c r="K33" s="2">
        <v>0.2</v>
      </c>
      <c r="L33">
        <f t="shared" si="2"/>
        <v>0.33325953858863355</v>
      </c>
      <c r="M33">
        <f t="shared" si="3"/>
        <v>0.99978307197234162</v>
      </c>
      <c r="O33" s="2"/>
      <c r="P33" s="2"/>
      <c r="Q33" s="2"/>
    </row>
    <row r="34" spans="11:17" x14ac:dyDescent="0.2">
      <c r="K34" s="2">
        <v>0.25</v>
      </c>
      <c r="L34">
        <f t="shared" si="2"/>
        <v>0.33324007898122149</v>
      </c>
      <c r="M34">
        <f t="shared" si="3"/>
        <v>0.99972890762014599</v>
      </c>
      <c r="O34" s="2"/>
      <c r="P34" s="2"/>
      <c r="Q34" s="2"/>
    </row>
    <row r="35" spans="11:17" x14ac:dyDescent="0.2">
      <c r="K35" s="2">
        <v>0.5</v>
      </c>
      <c r="L35">
        <f t="shared" si="2"/>
        <v>0.33312998281749018</v>
      </c>
      <c r="M35">
        <f t="shared" si="3"/>
        <v>0.9994584904399445</v>
      </c>
      <c r="O35" s="2"/>
      <c r="P35" s="2"/>
      <c r="Q35" s="2"/>
    </row>
    <row r="36" spans="11:17" x14ac:dyDescent="0.2">
      <c r="K36" s="2">
        <v>1</v>
      </c>
      <c r="L36">
        <f t="shared" si="2"/>
        <v>0.33279281013994783</v>
      </c>
      <c r="M36">
        <f t="shared" si="3"/>
        <v>0.99891966828330547</v>
      </c>
      <c r="O36" s="2"/>
      <c r="P36" s="2"/>
      <c r="Q36" s="2"/>
    </row>
    <row r="37" spans="11:17" x14ac:dyDescent="0.2">
      <c r="K37" s="2">
        <v>2</v>
      </c>
      <c r="L37">
        <f t="shared" si="2"/>
        <v>0.33120193919163554</v>
      </c>
      <c r="M37">
        <f t="shared" si="3"/>
        <v>0.99784998040189465</v>
      </c>
      <c r="O37" s="2"/>
      <c r="P37" s="2"/>
      <c r="Q37" s="2"/>
    </row>
    <row r="38" spans="11:17" x14ac:dyDescent="0.2">
      <c r="K38" s="2">
        <v>5</v>
      </c>
      <c r="L38">
        <f t="shared" si="2"/>
        <v>0.31219130855759875</v>
      </c>
      <c r="M38">
        <f t="shared" si="3"/>
        <v>0.99470273274398846</v>
      </c>
      <c r="O38" s="2"/>
      <c r="P38" s="2"/>
      <c r="Q38" s="2"/>
    </row>
    <row r="39" spans="11:17" x14ac:dyDescent="0.2">
      <c r="K39" s="2">
        <v>10</v>
      </c>
      <c r="L39">
        <f t="shared" si="2"/>
        <v>0.24295417036682032</v>
      </c>
      <c r="M39">
        <f t="shared" si="3"/>
        <v>0.98965194105744891</v>
      </c>
      <c r="O39" s="2"/>
      <c r="P39" s="2"/>
      <c r="Q39" s="2"/>
    </row>
    <row r="40" spans="11:17" x14ac:dyDescent="0.2">
      <c r="K40" s="2">
        <v>100</v>
      </c>
      <c r="L40">
        <f t="shared" si="2"/>
        <v>7.8168138719382704E-2</v>
      </c>
      <c r="M40">
        <f t="shared" si="3"/>
        <v>0.92474331813219446</v>
      </c>
      <c r="O40" s="2"/>
      <c r="P40" s="2"/>
      <c r="Q40" s="2"/>
    </row>
    <row r="41" spans="11:17" x14ac:dyDescent="0.2">
      <c r="K41" s="2">
        <v>1000</v>
      </c>
      <c r="L41">
        <f t="shared" si="2"/>
        <v>4.0482229084762164E-2</v>
      </c>
      <c r="M41">
        <f t="shared" si="3"/>
        <v>0.73965465523278551</v>
      </c>
      <c r="O41" s="2"/>
      <c r="P41" s="2"/>
      <c r="Q41" s="2"/>
    </row>
    <row r="42" spans="11:17" x14ac:dyDescent="0.2">
      <c r="K42" s="2">
        <v>10000</v>
      </c>
      <c r="L42">
        <f t="shared" si="2"/>
        <v>2.1003592263617758E-2</v>
      </c>
      <c r="M42">
        <f t="shared" si="3"/>
        <v>0.49892509663397877</v>
      </c>
      <c r="O42" s="2"/>
      <c r="P42" s="2"/>
      <c r="Q42" s="2"/>
    </row>
    <row r="43" spans="11:17" x14ac:dyDescent="0.2">
      <c r="K43" s="2">
        <v>100000</v>
      </c>
      <c r="L43">
        <f t="shared" si="2"/>
        <v>8.7122394658599531E-3</v>
      </c>
      <c r="M43">
        <f t="shared" si="3"/>
        <v>0.24989962433434265</v>
      </c>
      <c r="O43" s="2"/>
      <c r="P43" s="2"/>
      <c r="Q43" s="2"/>
    </row>
    <row r="44" spans="11:17" x14ac:dyDescent="0.2">
      <c r="K44" s="2">
        <v>1000000</v>
      </c>
      <c r="L44">
        <f t="shared" si="2"/>
        <v>0</v>
      </c>
      <c r="M44">
        <f t="shared" si="3"/>
        <v>0</v>
      </c>
      <c r="O44" s="2"/>
      <c r="P44" s="2"/>
      <c r="Q44" s="2"/>
    </row>
    <row r="47" spans="11:17" x14ac:dyDescent="0.2">
      <c r="K47" s="98" t="s">
        <v>97</v>
      </c>
    </row>
  </sheetData>
  <sheetProtection sheet="1" objects="1" scenarios="1"/>
  <pageMargins left="0.7" right="0.7" top="0.75" bottom="0.75" header="0.3" footer="0.3"/>
  <pageSetup orientation="portrait" verticalDpi="598"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L2:X47"/>
  <sheetViews>
    <sheetView workbookViewId="0"/>
  </sheetViews>
  <sheetFormatPr baseColWidth="10" defaultColWidth="8.83203125" defaultRowHeight="15" x14ac:dyDescent="0.2"/>
  <sheetData>
    <row r="2" spans="12:24" x14ac:dyDescent="0.2">
      <c r="L2" s="7" t="s">
        <v>6</v>
      </c>
    </row>
    <row r="3" spans="12:24" x14ac:dyDescent="0.2">
      <c r="M3" s="105" t="s">
        <v>5</v>
      </c>
      <c r="N3" s="114">
        <f>'SWCC - Fine Grained  v1.4'!$B$6</f>
        <v>1.5</v>
      </c>
      <c r="P3" s="3"/>
    </row>
    <row r="4" spans="12:24" ht="17" x14ac:dyDescent="0.25">
      <c r="M4" s="105" t="s">
        <v>139</v>
      </c>
      <c r="N4" s="114">
        <f>'SWCC - Fine Grained  v1.4'!B9</f>
        <v>20</v>
      </c>
      <c r="O4" t="s">
        <v>18</v>
      </c>
      <c r="P4" s="105" t="s">
        <v>137</v>
      </c>
      <c r="Q4" s="29">
        <f>100*EXP(-0.4396-0.0715*N5-4.88*0.0001*(N4^2)-4.285*0.00001*(N4^2)*N5)</f>
        <v>0.10705315266191487</v>
      </c>
      <c r="R4" t="s">
        <v>35</v>
      </c>
      <c r="S4" s="105" t="s">
        <v>122</v>
      </c>
      <c r="T4" s="29">
        <f>N3/(1+N3)</f>
        <v>0.6</v>
      </c>
      <c r="V4" t="s">
        <v>141</v>
      </c>
      <c r="X4" s="106">
        <f>0.332-0.0007251*N4+0.1276*LOG(N5)</f>
        <v>0.5529325099058191</v>
      </c>
    </row>
    <row r="5" spans="12:24" ht="17" x14ac:dyDescent="0.25">
      <c r="M5" s="105" t="s">
        <v>140</v>
      </c>
      <c r="N5" s="114">
        <f>'SWCC - Fine Grained  v1.4'!B11</f>
        <v>70</v>
      </c>
      <c r="O5" t="s">
        <v>18</v>
      </c>
      <c r="P5" s="105" t="s">
        <v>138</v>
      </c>
      <c r="Q5" s="29">
        <f>-3.14-(0.00222*N5^2)-3.484*(N4^2)*(N5)*0.00001</f>
        <v>-14.99352</v>
      </c>
      <c r="S5" s="105" t="s">
        <v>142</v>
      </c>
      <c r="T5" s="29">
        <f>100*(-0.108+0.34*X4)</f>
        <v>7.9997053367978506</v>
      </c>
      <c r="U5" s="29" t="s">
        <v>35</v>
      </c>
    </row>
    <row r="7" spans="12:24" x14ac:dyDescent="0.2">
      <c r="N7" s="102" t="s">
        <v>13</v>
      </c>
      <c r="O7" s="102" t="s">
        <v>17</v>
      </c>
      <c r="P7" s="9"/>
      <c r="Q7" s="9"/>
      <c r="R7" s="9"/>
      <c r="T7" s="9"/>
      <c r="U7" s="8"/>
    </row>
    <row r="8" spans="12:24" x14ac:dyDescent="0.2">
      <c r="N8">
        <v>1E-3</v>
      </c>
      <c r="O8">
        <f t="shared" ref="O8:O22" si="0">IF((EXP(LN(N8/$Q$4)/$Q$5))&gt;$T$4, $T$4, EXP(LN(N8/$Q$4)/$Q$5))</f>
        <v>0.6</v>
      </c>
    </row>
    <row r="9" spans="12:24" x14ac:dyDescent="0.2">
      <c r="N9">
        <v>0.01</v>
      </c>
      <c r="O9">
        <f t="shared" si="0"/>
        <v>0.6</v>
      </c>
    </row>
    <row r="10" spans="12:24" x14ac:dyDescent="0.2">
      <c r="N10">
        <v>0.1</v>
      </c>
      <c r="O10">
        <f t="shared" si="0"/>
        <v>0.6</v>
      </c>
    </row>
    <row r="11" spans="12:24" x14ac:dyDescent="0.2">
      <c r="N11">
        <v>0.2</v>
      </c>
      <c r="O11">
        <f t="shared" si="0"/>
        <v>0.6</v>
      </c>
    </row>
    <row r="12" spans="12:24" x14ac:dyDescent="0.2">
      <c r="N12">
        <v>0.25</v>
      </c>
      <c r="O12">
        <f t="shared" si="0"/>
        <v>0.6</v>
      </c>
    </row>
    <row r="13" spans="12:24" x14ac:dyDescent="0.2">
      <c r="N13">
        <v>0.5</v>
      </c>
      <c r="O13">
        <f t="shared" si="0"/>
        <v>0.6</v>
      </c>
    </row>
    <row r="14" spans="12:24" x14ac:dyDescent="0.2">
      <c r="N14">
        <v>1</v>
      </c>
      <c r="O14">
        <f t="shared" si="0"/>
        <v>0.6</v>
      </c>
    </row>
    <row r="15" spans="12:24" x14ac:dyDescent="0.2">
      <c r="N15">
        <v>2</v>
      </c>
      <c r="O15">
        <f t="shared" si="0"/>
        <v>0.6</v>
      </c>
    </row>
    <row r="16" spans="12:24" x14ac:dyDescent="0.2">
      <c r="N16">
        <v>5</v>
      </c>
      <c r="O16">
        <f t="shared" si="0"/>
        <v>0.6</v>
      </c>
    </row>
    <row r="17" spans="12:24" x14ac:dyDescent="0.2">
      <c r="N17">
        <v>10</v>
      </c>
      <c r="O17">
        <f t="shared" si="0"/>
        <v>0.6</v>
      </c>
    </row>
    <row r="18" spans="12:24" x14ac:dyDescent="0.2">
      <c r="N18">
        <v>100</v>
      </c>
      <c r="O18">
        <f t="shared" si="0"/>
        <v>0.6</v>
      </c>
    </row>
    <row r="19" spans="12:24" x14ac:dyDescent="0.2">
      <c r="N19">
        <v>1000</v>
      </c>
      <c r="O19">
        <f t="shared" si="0"/>
        <v>0.54349084617726251</v>
      </c>
    </row>
    <row r="20" spans="12:24" x14ac:dyDescent="0.2">
      <c r="N20">
        <v>10000</v>
      </c>
      <c r="O20">
        <f t="shared" si="0"/>
        <v>0.46611894488126615</v>
      </c>
    </row>
    <row r="21" spans="12:24" x14ac:dyDescent="0.2">
      <c r="N21">
        <v>100000</v>
      </c>
      <c r="O21">
        <f t="shared" si="0"/>
        <v>0.39976178495996606</v>
      </c>
    </row>
    <row r="22" spans="12:24" x14ac:dyDescent="0.2">
      <c r="N22">
        <v>1000000</v>
      </c>
      <c r="O22">
        <f t="shared" si="0"/>
        <v>0.34285129679740056</v>
      </c>
    </row>
    <row r="26" spans="12:24" x14ac:dyDescent="0.2">
      <c r="S26" s="1"/>
    </row>
    <row r="27" spans="12:24" x14ac:dyDescent="0.2">
      <c r="L27" s="7" t="s">
        <v>7</v>
      </c>
    </row>
    <row r="28" spans="12:24" ht="17" x14ac:dyDescent="0.25">
      <c r="M28" s="105" t="s">
        <v>139</v>
      </c>
      <c r="N28" s="114">
        <f>'SWCC - Coarse Grained  v1.4'!B12</f>
        <v>70</v>
      </c>
      <c r="O28" t="s">
        <v>18</v>
      </c>
      <c r="P28" s="105" t="s">
        <v>137</v>
      </c>
      <c r="Q28" s="29">
        <f>100*EXP(-0.4396-0.0715*N29-4.88*0.0001*(N28^2)-4.285*0.00001*(N28^2)*N29)</f>
        <v>0.35335579422192565</v>
      </c>
      <c r="R28" t="s">
        <v>35</v>
      </c>
      <c r="S28" s="105" t="s">
        <v>122</v>
      </c>
      <c r="T28" s="29">
        <f>N30/(1+N30)</f>
        <v>0.33333333333333331</v>
      </c>
      <c r="V28" t="s">
        <v>141</v>
      </c>
      <c r="X28" s="106">
        <f>0.332-0.0007251*N28+0.1276*LOG(N29)</f>
        <v>0.40884300000000001</v>
      </c>
    </row>
    <row r="29" spans="12:24" ht="17" x14ac:dyDescent="0.25">
      <c r="M29" s="105" t="s">
        <v>140</v>
      </c>
      <c r="N29" s="114">
        <f>'SWCC - Coarse Grained  v1.4'!B14</f>
        <v>10</v>
      </c>
      <c r="O29" t="s">
        <v>18</v>
      </c>
      <c r="P29" s="105" t="s">
        <v>138</v>
      </c>
      <c r="Q29" s="29">
        <f>-3.14-(0.00222*N29^2)-3.484*(N28^2)*(N29)*0.00001</f>
        <v>-5.0691600000000001</v>
      </c>
      <c r="S29" s="105" t="s">
        <v>142</v>
      </c>
      <c r="T29" s="29">
        <f>100*(-0.108+0.34*X28)</f>
        <v>3.1006620000000025</v>
      </c>
      <c r="U29" s="29" t="s">
        <v>35</v>
      </c>
    </row>
    <row r="30" spans="12:24" x14ac:dyDescent="0.2">
      <c r="M30" s="105" t="s">
        <v>5</v>
      </c>
      <c r="N30" s="114">
        <f>'SWCC - Coarse Grained  v1.4'!B6</f>
        <v>0.5</v>
      </c>
      <c r="S30" s="2"/>
    </row>
    <row r="31" spans="12:24" x14ac:dyDescent="0.2">
      <c r="N31" s="102" t="s">
        <v>13</v>
      </c>
      <c r="O31" s="102" t="s">
        <v>17</v>
      </c>
      <c r="S31" s="2"/>
    </row>
    <row r="32" spans="12:24" x14ac:dyDescent="0.2">
      <c r="N32">
        <v>1E-3</v>
      </c>
      <c r="O32">
        <f t="shared" ref="O32:O46" si="1">IF((EXP(LN(N32/$Q$28)/$Q$29))&gt;$T$28, $T$28, EXP(LN(N32/$Q$28)/$Q$29))</f>
        <v>0.33333333333333331</v>
      </c>
      <c r="P32" s="9"/>
      <c r="Q32" s="9"/>
      <c r="R32" s="9"/>
      <c r="S32" s="2"/>
    </row>
    <row r="33" spans="14:19" x14ac:dyDescent="0.2">
      <c r="N33">
        <v>0.01</v>
      </c>
      <c r="O33">
        <f t="shared" si="1"/>
        <v>0.33333333333333331</v>
      </c>
      <c r="P33" s="2"/>
      <c r="Q33" s="2"/>
      <c r="R33" s="2"/>
      <c r="S33" s="2"/>
    </row>
    <row r="34" spans="14:19" x14ac:dyDescent="0.2">
      <c r="N34">
        <v>0.1</v>
      </c>
      <c r="O34">
        <f t="shared" si="1"/>
        <v>0.33333333333333331</v>
      </c>
      <c r="P34" s="2"/>
      <c r="Q34" s="2"/>
      <c r="R34" s="2"/>
      <c r="S34" s="2"/>
    </row>
    <row r="35" spans="14:19" x14ac:dyDescent="0.2">
      <c r="N35">
        <v>0.2</v>
      </c>
      <c r="O35">
        <f t="shared" si="1"/>
        <v>0.33333333333333331</v>
      </c>
      <c r="P35" s="2"/>
      <c r="Q35" s="2"/>
      <c r="R35" s="2"/>
      <c r="S35" s="2"/>
    </row>
    <row r="36" spans="14:19" x14ac:dyDescent="0.2">
      <c r="N36">
        <v>0.25</v>
      </c>
      <c r="O36">
        <f t="shared" si="1"/>
        <v>0.33333333333333331</v>
      </c>
      <c r="P36" s="2"/>
      <c r="Q36" s="2"/>
      <c r="R36" s="2"/>
      <c r="S36" s="2"/>
    </row>
    <row r="37" spans="14:19" x14ac:dyDescent="0.2">
      <c r="N37">
        <v>0.5</v>
      </c>
      <c r="O37">
        <f t="shared" si="1"/>
        <v>0.33333333333333331</v>
      </c>
      <c r="P37" s="2"/>
      <c r="Q37" s="2"/>
      <c r="R37" s="2"/>
      <c r="S37" s="2"/>
    </row>
    <row r="38" spans="14:19" x14ac:dyDescent="0.2">
      <c r="N38">
        <v>1</v>
      </c>
      <c r="O38">
        <f t="shared" si="1"/>
        <v>0.33333333333333331</v>
      </c>
      <c r="P38" s="2"/>
      <c r="Q38" s="2"/>
      <c r="R38" s="2"/>
      <c r="S38" s="2"/>
    </row>
    <row r="39" spans="14:19" x14ac:dyDescent="0.2">
      <c r="N39">
        <v>2</v>
      </c>
      <c r="O39">
        <f t="shared" si="1"/>
        <v>0.33333333333333331</v>
      </c>
      <c r="P39" s="2"/>
      <c r="Q39" s="2"/>
      <c r="R39" s="2"/>
      <c r="S39" s="2"/>
    </row>
    <row r="40" spans="14:19" x14ac:dyDescent="0.2">
      <c r="N40">
        <v>5</v>
      </c>
      <c r="O40">
        <f t="shared" si="1"/>
        <v>0.33333333333333331</v>
      </c>
      <c r="P40" s="2"/>
      <c r="Q40" s="2"/>
      <c r="R40" s="2"/>
      <c r="S40" s="2"/>
    </row>
    <row r="41" spans="14:19" x14ac:dyDescent="0.2">
      <c r="N41">
        <v>10</v>
      </c>
      <c r="O41">
        <f t="shared" si="1"/>
        <v>0.33333333333333331</v>
      </c>
      <c r="P41" s="2"/>
      <c r="Q41" s="2"/>
      <c r="R41" s="2"/>
      <c r="S41" s="2"/>
    </row>
    <row r="42" spans="14:19" x14ac:dyDescent="0.2">
      <c r="N42">
        <v>100</v>
      </c>
      <c r="O42">
        <f t="shared" si="1"/>
        <v>0.32834660626111511</v>
      </c>
      <c r="P42" s="2"/>
      <c r="Q42" s="2"/>
      <c r="R42" s="2"/>
      <c r="S42" s="2"/>
    </row>
    <row r="43" spans="14:19" x14ac:dyDescent="0.2">
      <c r="N43">
        <v>1000</v>
      </c>
      <c r="O43">
        <f t="shared" si="1"/>
        <v>0.20847845940016851</v>
      </c>
      <c r="P43" s="2"/>
      <c r="Q43" s="2"/>
      <c r="R43" s="2"/>
      <c r="S43" s="2"/>
    </row>
    <row r="44" spans="14:19" x14ac:dyDescent="0.2">
      <c r="N44">
        <v>10000</v>
      </c>
      <c r="O44">
        <f t="shared" si="1"/>
        <v>0.1323700845541978</v>
      </c>
      <c r="P44" s="2"/>
      <c r="Q44" s="2"/>
      <c r="R44" s="2"/>
      <c r="S44" s="2"/>
    </row>
    <row r="45" spans="14:19" x14ac:dyDescent="0.2">
      <c r="N45">
        <v>100000</v>
      </c>
      <c r="O45">
        <f t="shared" si="1"/>
        <v>8.4046281497374309E-2</v>
      </c>
      <c r="P45" s="2"/>
      <c r="Q45" s="2"/>
      <c r="R45" s="2"/>
    </row>
    <row r="46" spans="14:19" x14ac:dyDescent="0.2">
      <c r="N46">
        <v>1000000</v>
      </c>
      <c r="O46">
        <f t="shared" si="1"/>
        <v>5.3363850732026062E-2</v>
      </c>
      <c r="Q46" s="2"/>
      <c r="R46" s="2"/>
    </row>
    <row r="47" spans="14:19" x14ac:dyDescent="0.2">
      <c r="Q47" s="2"/>
      <c r="R47" s="2"/>
    </row>
  </sheetData>
  <sheetProtection sheet="1" objects="1" scenarios="1"/>
  <pageMargins left="0.7" right="0.7" top="0.75" bottom="0.75" header="0.3" footer="0.3"/>
  <pageSetup orientation="portrait" verticalDpi="598"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FFC000"/>
  </sheetPr>
  <dimension ref="L2:T44"/>
  <sheetViews>
    <sheetView workbookViewId="0"/>
  </sheetViews>
  <sheetFormatPr baseColWidth="10" defaultColWidth="8.83203125" defaultRowHeight="15" x14ac:dyDescent="0.2"/>
  <cols>
    <col min="14" max="14" width="10" bestFit="1" customWidth="1"/>
  </cols>
  <sheetData>
    <row r="2" spans="12:20" x14ac:dyDescent="0.2">
      <c r="L2" s="7" t="s">
        <v>6</v>
      </c>
    </row>
    <row r="3" spans="12:20" x14ac:dyDescent="0.2">
      <c r="P3" s="3"/>
    </row>
    <row r="4" spans="12:20" ht="17" x14ac:dyDescent="0.25">
      <c r="M4" s="105" t="s">
        <v>127</v>
      </c>
      <c r="N4" s="115">
        <f>'SWCC - Fine Grained  v1.4'!B12</f>
        <v>9.9999999999999995E-8</v>
      </c>
      <c r="O4" s="29" t="s">
        <v>56</v>
      </c>
      <c r="P4" s="2"/>
      <c r="Q4" s="1"/>
      <c r="R4" s="2"/>
    </row>
    <row r="5" spans="12:20" x14ac:dyDescent="0.2">
      <c r="M5" s="105" t="s">
        <v>5</v>
      </c>
      <c r="N5" s="114">
        <f>'SWCC - Fine Grained  v1.4'!B6</f>
        <v>1.5</v>
      </c>
      <c r="O5" s="105" t="s">
        <v>16</v>
      </c>
      <c r="P5" s="29">
        <f>N5/(1+N5)</f>
        <v>0.6</v>
      </c>
      <c r="Q5" s="1"/>
      <c r="R5" s="2"/>
    </row>
    <row r="6" spans="12:20" x14ac:dyDescent="0.2">
      <c r="M6" s="145" t="s">
        <v>88</v>
      </c>
      <c r="N6" s="145"/>
      <c r="O6" s="145"/>
      <c r="P6" s="145"/>
    </row>
    <row r="7" spans="12:20" x14ac:dyDescent="0.2">
      <c r="M7" s="9" t="s">
        <v>57</v>
      </c>
      <c r="N7" s="9" t="s">
        <v>58</v>
      </c>
      <c r="O7" s="9" t="s">
        <v>59</v>
      </c>
      <c r="P7" s="9" t="s">
        <v>60</v>
      </c>
      <c r="Q7" s="102" t="s">
        <v>17</v>
      </c>
      <c r="R7" s="9"/>
      <c r="T7" s="9"/>
    </row>
    <row r="8" spans="12:20" x14ac:dyDescent="0.2">
      <c r="M8">
        <v>1E-3</v>
      </c>
      <c r="N8">
        <v>1E-3</v>
      </c>
      <c r="O8">
        <v>1E-3</v>
      </c>
      <c r="P8">
        <v>1E-3</v>
      </c>
      <c r="Q8">
        <f>P5</f>
        <v>0.6</v>
      </c>
    </row>
    <row r="9" spans="12:20" x14ac:dyDescent="0.2">
      <c r="M9">
        <f>IF($N$4&gt;0.1,0.009,IF($N$4&gt;=0.001,0.12,IF($N$4&gt;0.00001,0.18,0.095)))</f>
        <v>9.5000000000000001E-2</v>
      </c>
      <c r="N9">
        <f>IF($N$4&gt;0.1,0.095,IF($N$4&gt;=0.001,0.82,IF($N$4&gt;0.00001,1,0.95)))</f>
        <v>0.95</v>
      </c>
      <c r="O9">
        <f>IF($N$4&gt;0.1,0.7,IF($N$4&gt;=0.001,4,IF($N$4&gt;0.00001,4,6)))</f>
        <v>6</v>
      </c>
      <c r="P9">
        <f>IF($N$4&gt;0.1,7.5,IF($N$4&gt;=0.001,30,IF($N$4&gt;0.00001,25,70)))</f>
        <v>70</v>
      </c>
      <c r="Q9">
        <f>P5</f>
        <v>0.6</v>
      </c>
    </row>
    <row r="10" spans="12:20" x14ac:dyDescent="0.2">
      <c r="P10">
        <f>IF($N$4&gt;0.1,18,IF($N$4&gt;=0.001,130,IF($N$4&gt;0.00001,850,100000)))</f>
        <v>100000</v>
      </c>
      <c r="Q10">
        <f>0.55*P5</f>
        <v>0.33</v>
      </c>
    </row>
    <row r="11" spans="12:20" x14ac:dyDescent="0.2">
      <c r="O11">
        <f>IF($N$4&gt;0.1,2.2,IF($N$4&gt;=0.001,45,IF($N$4&gt;0.00001,420,100000)))</f>
        <v>100000</v>
      </c>
      <c r="Q11">
        <f>0.4*P5</f>
        <v>0.24</v>
      </c>
    </row>
    <row r="12" spans="12:20" x14ac:dyDescent="0.2">
      <c r="N12">
        <f>IF($N$4&gt;0.1,0.4,IF($N$4&gt;=0.001,12,IF($N$4&gt;0.00001,300,100000)))</f>
        <v>100000</v>
      </c>
      <c r="Q12">
        <f>0.28*P5</f>
        <v>0.16800000000000001</v>
      </c>
    </row>
    <row r="13" spans="12:20" x14ac:dyDescent="0.2">
      <c r="M13">
        <f>IF($N$4&gt;0.1,0.048,IF($N$4&gt;=0.001,3,IF($N$4&gt;0.00001,130,100000)))</f>
        <v>100000</v>
      </c>
      <c r="Q13">
        <f>0.13*P5</f>
        <v>7.8E-2</v>
      </c>
    </row>
    <row r="19" spans="12:19" x14ac:dyDescent="0.2">
      <c r="L19" s="7" t="s">
        <v>7</v>
      </c>
    </row>
    <row r="20" spans="12:19" ht="17" x14ac:dyDescent="0.25">
      <c r="M20" s="105" t="s">
        <v>127</v>
      </c>
      <c r="N20" s="114">
        <f>'SWCC - Coarse Grained  v1.4'!$B$15</f>
        <v>0.01</v>
      </c>
      <c r="O20" s="29" t="s">
        <v>56</v>
      </c>
      <c r="P20" s="2"/>
      <c r="Q20" s="1"/>
    </row>
    <row r="21" spans="12:19" x14ac:dyDescent="0.2">
      <c r="M21" s="105" t="s">
        <v>5</v>
      </c>
      <c r="N21" s="114">
        <f>'SWCC - Coarse Grained  v1.4'!$B$6</f>
        <v>0.5</v>
      </c>
      <c r="O21" s="105" t="s">
        <v>16</v>
      </c>
      <c r="P21" s="29">
        <f>N21/(1+N21)</f>
        <v>0.33333333333333331</v>
      </c>
      <c r="Q21" s="1"/>
    </row>
    <row r="23" spans="12:19" x14ac:dyDescent="0.2">
      <c r="M23" s="145" t="s">
        <v>88</v>
      </c>
      <c r="N23" s="145"/>
      <c r="O23" s="145"/>
      <c r="P23" s="145"/>
    </row>
    <row r="24" spans="12:19" x14ac:dyDescent="0.2">
      <c r="M24" s="9" t="s">
        <v>57</v>
      </c>
      <c r="N24" s="9" t="s">
        <v>58</v>
      </c>
      <c r="O24" s="9" t="s">
        <v>59</v>
      </c>
      <c r="P24" s="9" t="s">
        <v>60</v>
      </c>
      <c r="Q24" s="102" t="s">
        <v>17</v>
      </c>
    </row>
    <row r="25" spans="12:19" x14ac:dyDescent="0.2">
      <c r="M25" s="2">
        <v>1E-3</v>
      </c>
      <c r="N25" s="2">
        <v>1E-3</v>
      </c>
      <c r="O25" s="2">
        <v>1E-3</v>
      </c>
      <c r="P25" s="2">
        <v>1E-3</v>
      </c>
      <c r="Q25" s="2">
        <f>P21</f>
        <v>0.33333333333333331</v>
      </c>
      <c r="R25" s="2"/>
    </row>
    <row r="26" spans="12:19" x14ac:dyDescent="0.2">
      <c r="M26">
        <f>IF($N$20&gt;0.1,0.009,IF($N$20&gt;=0.001,0.12,IF($N$20&gt;0.00001,0.18,0.095)))</f>
        <v>0.12</v>
      </c>
      <c r="N26">
        <f>IF($N$20&gt;0.1,0.095,IF($N$20&gt;=0.001,0.82,IF($N$20&gt;0.00001,1,0.95)))</f>
        <v>0.82</v>
      </c>
      <c r="O26">
        <f>IF($N$20&gt;0.1,0.7,IF($N$20&gt;=0.001,4,IF($N$20&gt;0.00001,4,6)))</f>
        <v>4</v>
      </c>
      <c r="P26">
        <f>IF($N$20&gt;0.1,7.5,IF($N$20&gt;=0.001,30,IF($N$20&gt;0.00001,25,70)))</f>
        <v>30</v>
      </c>
      <c r="Q26" s="2">
        <f>P21</f>
        <v>0.33333333333333331</v>
      </c>
      <c r="R26" s="2"/>
    </row>
    <row r="27" spans="12:19" x14ac:dyDescent="0.2">
      <c r="P27">
        <f>IF($N$20&gt;0.1,18,IF($N$20&gt;=0.001,130,IF($N$20&gt;0.00001,850,100000)))</f>
        <v>130</v>
      </c>
      <c r="Q27">
        <f>0.55*P21</f>
        <v>0.18333333333333335</v>
      </c>
    </row>
    <row r="28" spans="12:19" x14ac:dyDescent="0.2">
      <c r="O28">
        <f>IF($N$20&gt;0.1,2.2,IF($N$20&gt;=0.001,45,IF($N$20&gt;0.00001,420,100000)))</f>
        <v>45</v>
      </c>
      <c r="Q28">
        <f>0.4*P21</f>
        <v>0.13333333333333333</v>
      </c>
    </row>
    <row r="29" spans="12:19" x14ac:dyDescent="0.2">
      <c r="N29">
        <f>IF($N$20&gt;0.1,0.4,IF($N$20&gt;=0.001,12,IF($N$20&gt;0.00001,300,100000)))</f>
        <v>12</v>
      </c>
      <c r="Q29">
        <f>0.28*P21</f>
        <v>9.3333333333333338E-2</v>
      </c>
      <c r="R29" s="9"/>
      <c r="S29" s="8"/>
    </row>
    <row r="30" spans="12:19" x14ac:dyDescent="0.2">
      <c r="M30">
        <f>IF($N$20&gt;0.1,0.048,IF($N$20&gt;=0.001,3,IF($N$20&gt;0.00001,130,100000)))</f>
        <v>3</v>
      </c>
      <c r="Q30">
        <f>0.13*P21</f>
        <v>4.3333333333333335E-2</v>
      </c>
      <c r="R30" s="2"/>
      <c r="S30" s="2"/>
    </row>
    <row r="31" spans="12:19" x14ac:dyDescent="0.2">
      <c r="M31">
        <f>IF($N$20&gt;0.1,0.05,IF($N$20&gt;=0.001,3.5,200))</f>
        <v>3.5</v>
      </c>
      <c r="N31">
        <f>IF($N$20&gt;0.1,0.58,IF($N$20&gt;=0.001,25,1100))</f>
        <v>25</v>
      </c>
      <c r="O31">
        <f>IF($N$20&gt;0.1,4,IF($N$20&gt;=0.001,150,4500))</f>
        <v>150</v>
      </c>
      <c r="P31">
        <f>IF($N$20&gt;0.1,45,IF($N$20&gt;=0.001,800,30000))</f>
        <v>800</v>
      </c>
      <c r="Q31">
        <f>0.1*P21</f>
        <v>3.3333333333333333E-2</v>
      </c>
      <c r="R31" s="2"/>
      <c r="S31" s="2"/>
    </row>
    <row r="32" spans="12:19" x14ac:dyDescent="0.2">
      <c r="M32">
        <v>1000000</v>
      </c>
      <c r="N32">
        <v>1000000</v>
      </c>
      <c r="O32">
        <v>1000000</v>
      </c>
      <c r="P32">
        <v>1000000</v>
      </c>
      <c r="Q32">
        <v>0</v>
      </c>
      <c r="R32" s="2"/>
      <c r="S32" s="2"/>
    </row>
    <row r="33" spans="13:19" x14ac:dyDescent="0.2">
      <c r="R33" s="2"/>
      <c r="S33" s="2"/>
    </row>
    <row r="34" spans="13:19" x14ac:dyDescent="0.2">
      <c r="R34" s="2"/>
      <c r="S34" s="2"/>
    </row>
    <row r="35" spans="13:19" x14ac:dyDescent="0.2">
      <c r="R35" s="2"/>
      <c r="S35" s="2"/>
    </row>
    <row r="36" spans="13:19" x14ac:dyDescent="0.2">
      <c r="M36" s="2"/>
      <c r="P36" s="2"/>
      <c r="Q36" s="2"/>
      <c r="R36" s="2"/>
      <c r="S36" s="2"/>
    </row>
    <row r="37" spans="13:19" x14ac:dyDescent="0.2">
      <c r="M37" s="2"/>
      <c r="P37" s="2"/>
      <c r="Q37" s="2"/>
      <c r="R37" s="2"/>
      <c r="S37" s="2"/>
    </row>
    <row r="38" spans="13:19" x14ac:dyDescent="0.2">
      <c r="M38" s="2"/>
      <c r="P38" s="2"/>
      <c r="Q38" s="2"/>
      <c r="R38" s="2"/>
      <c r="S38" s="2"/>
    </row>
    <row r="39" spans="13:19" x14ac:dyDescent="0.2">
      <c r="M39" s="2"/>
      <c r="P39" s="2"/>
      <c r="Q39" s="2"/>
      <c r="R39" s="2"/>
      <c r="S39" s="2"/>
    </row>
    <row r="40" spans="13:19" x14ac:dyDescent="0.2">
      <c r="M40" s="2"/>
      <c r="P40" s="2"/>
      <c r="Q40" s="2"/>
      <c r="R40" s="2"/>
      <c r="S40" s="2"/>
    </row>
    <row r="41" spans="13:19" x14ac:dyDescent="0.2">
      <c r="M41" s="2"/>
      <c r="P41" s="2"/>
      <c r="Q41" s="2"/>
      <c r="R41" s="2"/>
      <c r="S41" s="2"/>
    </row>
    <row r="42" spans="13:19" x14ac:dyDescent="0.2">
      <c r="M42" s="2"/>
      <c r="P42" s="2"/>
      <c r="Q42" s="2"/>
      <c r="R42" s="2"/>
      <c r="S42" s="2"/>
    </row>
    <row r="43" spans="13:19" x14ac:dyDescent="0.2">
      <c r="R43" s="2"/>
      <c r="S43" s="2"/>
    </row>
    <row r="44" spans="13:19" x14ac:dyDescent="0.2">
      <c r="R44" s="2"/>
      <c r="S44" s="2"/>
    </row>
  </sheetData>
  <sheetProtection sheet="1" objects="1" scenarios="1"/>
  <mergeCells count="2">
    <mergeCell ref="M23:P23"/>
    <mergeCell ref="M6:P6"/>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FFC000"/>
  </sheetPr>
  <dimension ref="A2:S46"/>
  <sheetViews>
    <sheetView topLeftCell="A15" workbookViewId="0"/>
  </sheetViews>
  <sheetFormatPr baseColWidth="10" defaultColWidth="8.83203125" defaultRowHeight="15" x14ac:dyDescent="0.2"/>
  <sheetData>
    <row r="2" spans="1:19" x14ac:dyDescent="0.2">
      <c r="J2" s="7" t="s">
        <v>6</v>
      </c>
    </row>
    <row r="3" spans="1:19" x14ac:dyDescent="0.2">
      <c r="N3" s="3"/>
    </row>
    <row r="4" spans="1:19" x14ac:dyDescent="0.2">
      <c r="K4" s="105" t="s">
        <v>21</v>
      </c>
      <c r="L4" s="114">
        <f>'SWCC - Fine Grained  v1.4'!B10*('SWCC - Fine Grained  v1.4'!B7-'SWCC - Fine Grained  v1.4'!B8)*0.01</f>
        <v>45</v>
      </c>
      <c r="M4" s="105" t="s">
        <v>3</v>
      </c>
      <c r="N4" s="29">
        <f>0.00364*(L4)^3.35+4*(L4)+11</f>
        <v>1448.0811228697885</v>
      </c>
      <c r="O4" s="105" t="s">
        <v>22</v>
      </c>
      <c r="P4" s="29">
        <f>N5*((-2.313*L4^0.14)+5)</f>
        <v>0.84895927102342394</v>
      </c>
    </row>
    <row r="5" spans="1:19" ht="17" x14ac:dyDescent="0.25">
      <c r="K5" s="105" t="s">
        <v>5</v>
      </c>
      <c r="L5" s="114">
        <f>'SWCC - Fine Grained  v1.4'!B6</f>
        <v>1.5</v>
      </c>
      <c r="M5" s="105" t="s">
        <v>0</v>
      </c>
      <c r="N5" s="29">
        <f>(0.0514*(L4)^0.465)+0.5</f>
        <v>0.80179145431312882</v>
      </c>
      <c r="O5" s="105" t="s">
        <v>143</v>
      </c>
      <c r="P5" s="29">
        <f>N4*(32.44*EXP(0.0186*L4))</f>
        <v>108487.12970593608</v>
      </c>
      <c r="Q5" s="105" t="s">
        <v>16</v>
      </c>
      <c r="R5" s="29">
        <f>L5/(1+L5)</f>
        <v>0.6</v>
      </c>
    </row>
    <row r="7" spans="1:19" x14ac:dyDescent="0.2">
      <c r="K7" s="102" t="s">
        <v>96</v>
      </c>
      <c r="L7" s="102" t="s">
        <v>17</v>
      </c>
      <c r="M7" s="103" t="s">
        <v>23</v>
      </c>
      <c r="O7" s="9"/>
      <c r="P7" s="9"/>
      <c r="R7" s="9"/>
      <c r="S7" s="9"/>
    </row>
    <row r="8" spans="1:19" x14ac:dyDescent="0.2">
      <c r="K8">
        <v>1E-3</v>
      </c>
      <c r="L8">
        <f t="shared" ref="L8:L22" si="0">M8*($R$5/((LN(EXP(1)+(K8/$N$4)^$P$4))^$N$5))</f>
        <v>0.59999895613147947</v>
      </c>
      <c r="M8">
        <f t="shared" ref="M8:M22" si="1">1-((LN(1+(K8/$P$5)))/(LN(1+(1000000/$P$5))))</f>
        <v>0.99999999603390366</v>
      </c>
    </row>
    <row r="9" spans="1:19" x14ac:dyDescent="0.2">
      <c r="K9">
        <v>0.01</v>
      </c>
      <c r="L9">
        <f t="shared" si="0"/>
        <v>0.59999262081011129</v>
      </c>
      <c r="M9">
        <f t="shared" si="1"/>
        <v>0.99999996033903871</v>
      </c>
    </row>
    <row r="10" spans="1:19" x14ac:dyDescent="0.2">
      <c r="K10">
        <v>0.1</v>
      </c>
      <c r="L10">
        <f t="shared" si="0"/>
        <v>0.599947821235295</v>
      </c>
      <c r="M10">
        <f t="shared" si="1"/>
        <v>0.99999960339055116</v>
      </c>
    </row>
    <row r="11" spans="1:19" x14ac:dyDescent="0.2">
      <c r="K11">
        <v>0.2</v>
      </c>
      <c r="L11">
        <f t="shared" si="0"/>
        <v>0.59990597961692982</v>
      </c>
      <c r="M11">
        <f t="shared" si="1"/>
        <v>0.99999920678146792</v>
      </c>
    </row>
    <row r="12" spans="1:19" x14ac:dyDescent="0.2">
      <c r="K12">
        <v>0.25</v>
      </c>
      <c r="L12">
        <f t="shared" si="0"/>
        <v>0.59988635629329135</v>
      </c>
      <c r="M12">
        <f t="shared" si="1"/>
        <v>0.99999900847706336</v>
      </c>
    </row>
    <row r="13" spans="1:19" x14ac:dyDescent="0.2">
      <c r="K13">
        <v>0.5</v>
      </c>
      <c r="L13">
        <f t="shared" si="0"/>
        <v>0.59979524045424248</v>
      </c>
      <c r="M13">
        <f t="shared" si="1"/>
        <v>0.99999801695641166</v>
      </c>
    </row>
    <row r="14" spans="1:19" x14ac:dyDescent="0.2">
      <c r="K14">
        <v>1</v>
      </c>
      <c r="L14">
        <f t="shared" si="0"/>
        <v>0.59963112512617955</v>
      </c>
      <c r="M14">
        <f t="shared" si="1"/>
        <v>0.9999960339219629</v>
      </c>
    </row>
    <row r="15" spans="1:19" ht="21" x14ac:dyDescent="0.25">
      <c r="A15" s="10" t="s">
        <v>24</v>
      </c>
      <c r="K15">
        <v>2</v>
      </c>
      <c r="L15">
        <f t="shared" si="0"/>
        <v>0.59933567561825463</v>
      </c>
      <c r="M15">
        <f t="shared" si="1"/>
        <v>0.99999206788048334</v>
      </c>
    </row>
    <row r="16" spans="1:19" x14ac:dyDescent="0.2">
      <c r="K16">
        <v>5</v>
      </c>
      <c r="L16">
        <f t="shared" si="0"/>
        <v>0.59855556073867444</v>
      </c>
      <c r="M16">
        <f t="shared" si="1"/>
        <v>0.99998016997538319</v>
      </c>
    </row>
    <row r="17" spans="1:18" x14ac:dyDescent="0.2">
      <c r="K17">
        <v>10</v>
      </c>
      <c r="L17">
        <f t="shared" si="0"/>
        <v>0.59740455035257134</v>
      </c>
      <c r="M17">
        <f t="shared" si="1"/>
        <v>0.99996034086463759</v>
      </c>
    </row>
    <row r="18" spans="1:18" x14ac:dyDescent="0.2">
      <c r="K18">
        <v>100</v>
      </c>
      <c r="L18">
        <f t="shared" si="0"/>
        <v>0.58239221383423756</v>
      </c>
      <c r="M18">
        <f t="shared" si="1"/>
        <v>0.99960357304723724</v>
      </c>
    </row>
    <row r="19" spans="1:18" x14ac:dyDescent="0.2">
      <c r="K19">
        <v>1000</v>
      </c>
      <c r="L19">
        <f t="shared" si="0"/>
        <v>0.50361904209622999</v>
      </c>
      <c r="M19">
        <f t="shared" si="1"/>
        <v>0.99605207123721162</v>
      </c>
    </row>
    <row r="20" spans="1:18" x14ac:dyDescent="0.2">
      <c r="K20">
        <v>10000</v>
      </c>
      <c r="L20">
        <f t="shared" si="0"/>
        <v>0.32288978434600468</v>
      </c>
      <c r="M20">
        <f t="shared" si="1"/>
        <v>0.96206185407539402</v>
      </c>
    </row>
    <row r="21" spans="1:18" x14ac:dyDescent="0.2">
      <c r="K21">
        <v>100000</v>
      </c>
      <c r="L21">
        <f t="shared" si="0"/>
        <v>0.15217823674942965</v>
      </c>
      <c r="M21">
        <f t="shared" si="1"/>
        <v>0.7189276795701024</v>
      </c>
    </row>
    <row r="22" spans="1:18" x14ac:dyDescent="0.2">
      <c r="K22">
        <v>1000000</v>
      </c>
      <c r="L22">
        <f t="shared" si="0"/>
        <v>0</v>
      </c>
      <c r="M22">
        <f t="shared" si="1"/>
        <v>0</v>
      </c>
    </row>
    <row r="24" spans="1:18" x14ac:dyDescent="0.2">
      <c r="J24" s="7" t="s">
        <v>7</v>
      </c>
    </row>
    <row r="25" spans="1:18" ht="17" x14ac:dyDescent="0.25">
      <c r="K25" s="105" t="s">
        <v>117</v>
      </c>
      <c r="L25" s="114">
        <f>'SWCC - Coarse Grained  v1.4'!B10</f>
        <v>0.5</v>
      </c>
      <c r="M25" s="105" t="s">
        <v>108</v>
      </c>
      <c r="N25" s="29">
        <f>0.8627*L25^-0.751</f>
        <v>1.4518886987351953</v>
      </c>
      <c r="O25" s="105" t="s">
        <v>22</v>
      </c>
      <c r="P25" s="29">
        <v>7.5</v>
      </c>
    </row>
    <row r="26" spans="1:18" ht="17" x14ac:dyDescent="0.25">
      <c r="K26" s="105" t="s">
        <v>5</v>
      </c>
      <c r="L26" s="114">
        <f>'SWCC - Coarse Grained  v1.4'!B6</f>
        <v>0.5</v>
      </c>
      <c r="M26" s="105" t="s">
        <v>0</v>
      </c>
      <c r="N26" s="29">
        <f>0.1772*LN(L25)+0.7734</f>
        <v>0.65057431960477763</v>
      </c>
      <c r="O26" s="105" t="s">
        <v>143</v>
      </c>
      <c r="P26" s="29">
        <f>N25/(L25+0.00097)</f>
        <v>2.8981549768153685</v>
      </c>
      <c r="Q26" s="105" t="s">
        <v>16</v>
      </c>
      <c r="R26" s="29">
        <f>L26/(1+L26)</f>
        <v>0.33333333333333331</v>
      </c>
    </row>
    <row r="28" spans="1:18" ht="21" x14ac:dyDescent="0.25">
      <c r="A28" s="10" t="s">
        <v>2</v>
      </c>
      <c r="K28" s="102" t="s">
        <v>96</v>
      </c>
      <c r="L28" s="102" t="s">
        <v>17</v>
      </c>
      <c r="M28" s="103" t="s">
        <v>23</v>
      </c>
    </row>
    <row r="29" spans="1:18" ht="37" x14ac:dyDescent="0.45">
      <c r="A29" s="5"/>
      <c r="K29" s="2">
        <v>1E-3</v>
      </c>
      <c r="L29">
        <f t="shared" ref="L29:L43" si="2">M29*($R$26/((LN(EXP(1)+(K29/$N$25)^$P$25))^$N$26))</f>
        <v>0.33332431506772009</v>
      </c>
      <c r="M29">
        <f t="shared" ref="M29:M43" si="3">1-((LN(1+(K29/$P$26)))/(LN(1+(1000000/$P$26))))</f>
        <v>0.99997294520316027</v>
      </c>
      <c r="O29" s="9"/>
      <c r="P29" s="9"/>
      <c r="Q29" s="8"/>
    </row>
    <row r="30" spans="1:18" x14ac:dyDescent="0.2">
      <c r="K30" s="2">
        <v>0.01</v>
      </c>
      <c r="L30">
        <f t="shared" si="2"/>
        <v>0.33324329037559275</v>
      </c>
      <c r="M30">
        <f t="shared" si="3"/>
        <v>0.99972987112677825</v>
      </c>
      <c r="O30" s="2"/>
      <c r="P30" s="2"/>
      <c r="Q30" s="2"/>
    </row>
    <row r="31" spans="1:18" x14ac:dyDescent="0.2">
      <c r="K31" s="2">
        <v>0.1</v>
      </c>
      <c r="L31">
        <f t="shared" si="2"/>
        <v>0.33244656341335316</v>
      </c>
      <c r="M31">
        <f t="shared" si="3"/>
        <v>0.99733969070068251</v>
      </c>
      <c r="O31" s="2"/>
      <c r="P31" s="2"/>
      <c r="Q31" s="2"/>
    </row>
    <row r="32" spans="1:18" x14ac:dyDescent="0.2">
      <c r="K32" s="2">
        <v>0.2</v>
      </c>
      <c r="L32">
        <f t="shared" si="2"/>
        <v>0.33158886340365756</v>
      </c>
      <c r="M32">
        <f t="shared" si="3"/>
        <v>0.99476667337751001</v>
      </c>
      <c r="O32" s="2"/>
      <c r="P32" s="2"/>
      <c r="Q32" s="2"/>
    </row>
    <row r="33" spans="11:17" x14ac:dyDescent="0.2">
      <c r="K33" s="2">
        <v>0.25</v>
      </c>
      <c r="L33">
        <f t="shared" si="2"/>
        <v>0.33117023405134688</v>
      </c>
      <c r="M33">
        <f t="shared" si="3"/>
        <v>0.99351114497168014</v>
      </c>
      <c r="O33" s="2"/>
      <c r="P33" s="2"/>
      <c r="Q33" s="2"/>
    </row>
    <row r="34" spans="11:17" x14ac:dyDescent="0.2">
      <c r="K34" s="2">
        <v>0.5</v>
      </c>
      <c r="L34">
        <f t="shared" si="2"/>
        <v>0.32914624734756398</v>
      </c>
      <c r="M34">
        <f t="shared" si="3"/>
        <v>0.98751840407029867</v>
      </c>
      <c r="O34" s="2"/>
      <c r="P34" s="2"/>
      <c r="Q34" s="2"/>
    </row>
    <row r="35" spans="11:17" x14ac:dyDescent="0.2">
      <c r="K35" s="2">
        <v>1</v>
      </c>
      <c r="L35">
        <f t="shared" si="2"/>
        <v>0.32096635391150807</v>
      </c>
      <c r="M35">
        <f t="shared" si="3"/>
        <v>0.97675328756814628</v>
      </c>
      <c r="O35" s="2"/>
      <c r="P35" s="2"/>
      <c r="Q35" s="2"/>
    </row>
    <row r="36" spans="11:17" x14ac:dyDescent="0.2">
      <c r="K36" s="2">
        <v>2</v>
      </c>
      <c r="L36">
        <f t="shared" si="2"/>
        <v>0.17071168376465984</v>
      </c>
      <c r="M36">
        <f t="shared" si="3"/>
        <v>0.9588450939836719</v>
      </c>
      <c r="O36" s="2"/>
      <c r="P36" s="2"/>
      <c r="Q36" s="2"/>
    </row>
    <row r="37" spans="11:17" x14ac:dyDescent="0.2">
      <c r="K37" s="2">
        <v>5</v>
      </c>
      <c r="L37">
        <f t="shared" si="2"/>
        <v>7.2114116593326297E-2</v>
      </c>
      <c r="M37">
        <f t="shared" si="3"/>
        <v>0.92137712029233643</v>
      </c>
      <c r="O37" s="2"/>
      <c r="P37" s="2"/>
      <c r="Q37" s="2"/>
    </row>
    <row r="38" spans="11:17" x14ac:dyDescent="0.2">
      <c r="K38" s="2">
        <v>10</v>
      </c>
      <c r="L38">
        <f t="shared" si="2"/>
        <v>5.1733241997033448E-2</v>
      </c>
      <c r="M38">
        <f t="shared" si="3"/>
        <v>0.88291439574196051</v>
      </c>
      <c r="O38" s="2"/>
      <c r="P38" s="2"/>
      <c r="Q38" s="2"/>
    </row>
    <row r="39" spans="11:17" x14ac:dyDescent="0.2">
      <c r="K39" s="2">
        <v>100</v>
      </c>
      <c r="L39">
        <f t="shared" si="2"/>
        <v>2.531155757452554E-2</v>
      </c>
      <c r="M39">
        <f t="shared" si="3"/>
        <v>0.72005784173955312</v>
      </c>
      <c r="O39" s="2"/>
      <c r="P39" s="2"/>
      <c r="Q39" s="2"/>
    </row>
    <row r="40" spans="11:17" x14ac:dyDescent="0.2">
      <c r="K40" s="2">
        <v>1000</v>
      </c>
      <c r="L40">
        <f t="shared" si="2"/>
        <v>1.4348589406315006E-2</v>
      </c>
      <c r="M40">
        <f t="shared" si="3"/>
        <v>0.54149685692765881</v>
      </c>
      <c r="O40" s="2"/>
      <c r="P40" s="2"/>
      <c r="Q40" s="2"/>
    </row>
    <row r="41" spans="11:17" x14ac:dyDescent="0.2">
      <c r="K41" s="2">
        <v>10000</v>
      </c>
      <c r="L41">
        <f t="shared" si="2"/>
        <v>7.8630123742081601E-3</v>
      </c>
      <c r="M41">
        <f t="shared" si="3"/>
        <v>0.36112655688047646</v>
      </c>
      <c r="O41" s="2"/>
      <c r="P41" s="2"/>
      <c r="Q41" s="2"/>
    </row>
    <row r="42" spans="11:17" x14ac:dyDescent="0.2">
      <c r="K42" s="2">
        <v>100000</v>
      </c>
      <c r="L42">
        <f t="shared" si="2"/>
        <v>3.3818923422613534E-3</v>
      </c>
      <c r="M42">
        <f t="shared" si="3"/>
        <v>0.18057248169164875</v>
      </c>
      <c r="O42" s="2"/>
      <c r="P42" s="2"/>
      <c r="Q42" s="2"/>
    </row>
    <row r="43" spans="11:17" x14ac:dyDescent="0.2">
      <c r="K43" s="2">
        <v>1000000</v>
      </c>
      <c r="L43">
        <f t="shared" si="2"/>
        <v>0</v>
      </c>
      <c r="M43">
        <f t="shared" si="3"/>
        <v>0</v>
      </c>
      <c r="O43" s="2"/>
      <c r="P43" s="2"/>
      <c r="Q43" s="2"/>
    </row>
    <row r="44" spans="11:17" x14ac:dyDescent="0.2">
      <c r="O44" s="2"/>
      <c r="P44" s="2"/>
      <c r="Q44" s="2"/>
    </row>
    <row r="46" spans="11:17" x14ac:dyDescent="0.2">
      <c r="K46" s="98" t="s">
        <v>97</v>
      </c>
    </row>
  </sheetData>
  <sheetProtection sheet="1" objects="1" scenarios="1"/>
  <pageMargins left="0.7" right="0.7" top="0.75" bottom="0.75" header="0.3" footer="0.3"/>
  <pageSetup orientation="portrait" verticalDpi="598"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O11:P105"/>
  <sheetViews>
    <sheetView topLeftCell="A7" workbookViewId="0"/>
  </sheetViews>
  <sheetFormatPr baseColWidth="10" defaultColWidth="8.83203125" defaultRowHeight="15" x14ac:dyDescent="0.2"/>
  <cols>
    <col min="4" max="5" width="9.33203125" bestFit="1" customWidth="1"/>
    <col min="6" max="6" width="12.1640625" bestFit="1" customWidth="1"/>
    <col min="7" max="7" width="9.33203125" bestFit="1" customWidth="1"/>
    <col min="8" max="8" width="12" bestFit="1" customWidth="1"/>
    <col min="9" max="9" width="9.33203125" bestFit="1" customWidth="1"/>
  </cols>
  <sheetData>
    <row r="11" spans="15:16" x14ac:dyDescent="0.2">
      <c r="P11" s="74"/>
    </row>
    <row r="12" spans="15:16" x14ac:dyDescent="0.2">
      <c r="P12" s="74"/>
    </row>
    <row r="13" spans="15:16" x14ac:dyDescent="0.2">
      <c r="P13" s="74"/>
    </row>
    <row r="14" spans="15:16" x14ac:dyDescent="0.2">
      <c r="O14" s="83"/>
      <c r="P14" s="74"/>
    </row>
    <row r="15" spans="15:16" x14ac:dyDescent="0.2">
      <c r="O15" s="83"/>
      <c r="P15" s="74"/>
    </row>
    <row r="16" spans="15:16" x14ac:dyDescent="0.2">
      <c r="O16" s="83"/>
      <c r="P16" s="74"/>
    </row>
    <row r="17" spans="15:16" x14ac:dyDescent="0.2">
      <c r="O17" s="83"/>
      <c r="P17" s="74"/>
    </row>
    <row r="18" spans="15:16" x14ac:dyDescent="0.2">
      <c r="O18" s="83"/>
      <c r="P18" s="74"/>
    </row>
    <row r="19" spans="15:16" x14ac:dyDescent="0.2">
      <c r="O19" s="83"/>
      <c r="P19" s="74"/>
    </row>
    <row r="20" spans="15:16" x14ac:dyDescent="0.2">
      <c r="O20" s="83"/>
      <c r="P20" s="74"/>
    </row>
    <row r="21" spans="15:16" x14ac:dyDescent="0.2">
      <c r="O21" s="83"/>
      <c r="P21" s="74"/>
    </row>
    <row r="22" spans="15:16" x14ac:dyDescent="0.2">
      <c r="O22" s="83"/>
      <c r="P22" s="74"/>
    </row>
    <row r="23" spans="15:16" x14ac:dyDescent="0.2">
      <c r="O23" s="83"/>
      <c r="P23" s="74"/>
    </row>
    <row r="24" spans="15:16" x14ac:dyDescent="0.2">
      <c r="O24" s="83"/>
      <c r="P24" s="74"/>
    </row>
    <row r="25" spans="15:16" x14ac:dyDescent="0.2">
      <c r="O25" s="83"/>
      <c r="P25" s="74"/>
    </row>
    <row r="26" spans="15:16" x14ac:dyDescent="0.2">
      <c r="O26" s="83"/>
      <c r="P26" s="74"/>
    </row>
    <row r="27" spans="15:16" x14ac:dyDescent="0.2">
      <c r="O27" s="83"/>
      <c r="P27" s="74"/>
    </row>
    <row r="28" spans="15:16" x14ac:dyDescent="0.2">
      <c r="O28" s="83"/>
      <c r="P28" s="74"/>
    </row>
    <row r="29" spans="15:16" x14ac:dyDescent="0.2">
      <c r="O29" s="83"/>
      <c r="P29" s="74"/>
    </row>
    <row r="30" spans="15:16" x14ac:dyDescent="0.2">
      <c r="O30" s="83"/>
      <c r="P30" s="74"/>
    </row>
    <row r="31" spans="15:16" x14ac:dyDescent="0.2">
      <c r="P31" s="74"/>
    </row>
    <row r="32" spans="15:16" x14ac:dyDescent="0.2">
      <c r="O32" s="83"/>
      <c r="P32" s="74"/>
    </row>
    <row r="33" spans="15:16" x14ac:dyDescent="0.2">
      <c r="O33" s="83"/>
      <c r="P33" s="74"/>
    </row>
    <row r="34" spans="15:16" x14ac:dyDescent="0.2">
      <c r="O34" s="83"/>
      <c r="P34" s="74"/>
    </row>
    <row r="35" spans="15:16" x14ac:dyDescent="0.2">
      <c r="O35" s="83"/>
      <c r="P35" s="74"/>
    </row>
    <row r="36" spans="15:16" x14ac:dyDescent="0.2">
      <c r="O36" s="83"/>
      <c r="P36" s="74"/>
    </row>
    <row r="37" spans="15:16" x14ac:dyDescent="0.2">
      <c r="O37" s="83"/>
      <c r="P37" s="74"/>
    </row>
    <row r="38" spans="15:16" x14ac:dyDescent="0.2">
      <c r="O38" s="83"/>
      <c r="P38" s="74"/>
    </row>
    <row r="39" spans="15:16" x14ac:dyDescent="0.2">
      <c r="O39" s="83"/>
      <c r="P39" s="74"/>
    </row>
    <row r="40" spans="15:16" x14ac:dyDescent="0.2">
      <c r="O40" s="83"/>
      <c r="P40" s="74"/>
    </row>
    <row r="41" spans="15:16" x14ac:dyDescent="0.2">
      <c r="O41" s="83"/>
      <c r="P41" s="74"/>
    </row>
    <row r="42" spans="15:16" x14ac:dyDescent="0.2">
      <c r="O42" s="83"/>
      <c r="P42" s="74"/>
    </row>
    <row r="43" spans="15:16" x14ac:dyDescent="0.2">
      <c r="O43" s="83"/>
      <c r="P43" s="74"/>
    </row>
    <row r="44" spans="15:16" x14ac:dyDescent="0.2">
      <c r="O44" s="83"/>
      <c r="P44" s="74"/>
    </row>
    <row r="45" spans="15:16" x14ac:dyDescent="0.2">
      <c r="O45" s="83"/>
      <c r="P45" s="74"/>
    </row>
    <row r="46" spans="15:16" x14ac:dyDescent="0.2">
      <c r="O46" s="83"/>
      <c r="P46" s="74"/>
    </row>
    <row r="47" spans="15:16" x14ac:dyDescent="0.2">
      <c r="O47" s="83"/>
      <c r="P47" s="74"/>
    </row>
    <row r="48" spans="15:16" x14ac:dyDescent="0.2">
      <c r="O48" s="83"/>
      <c r="P48" s="74"/>
    </row>
    <row r="49" spans="15:16" x14ac:dyDescent="0.2">
      <c r="P49" s="74"/>
    </row>
    <row r="50" spans="15:16" x14ac:dyDescent="0.2">
      <c r="O50" s="83"/>
      <c r="P50" s="74"/>
    </row>
    <row r="51" spans="15:16" x14ac:dyDescent="0.2">
      <c r="O51" s="83"/>
      <c r="P51" s="74"/>
    </row>
    <row r="52" spans="15:16" x14ac:dyDescent="0.2">
      <c r="O52" s="83"/>
      <c r="P52" s="74"/>
    </row>
    <row r="53" spans="15:16" x14ac:dyDescent="0.2">
      <c r="O53" s="83"/>
      <c r="P53" s="74"/>
    </row>
    <row r="54" spans="15:16" x14ac:dyDescent="0.2">
      <c r="O54" s="83"/>
      <c r="P54" s="74"/>
    </row>
    <row r="55" spans="15:16" x14ac:dyDescent="0.2">
      <c r="O55" s="83"/>
      <c r="P55" s="74"/>
    </row>
    <row r="56" spans="15:16" x14ac:dyDescent="0.2">
      <c r="O56" s="83"/>
      <c r="P56" s="74"/>
    </row>
    <row r="57" spans="15:16" x14ac:dyDescent="0.2">
      <c r="O57" s="83"/>
      <c r="P57" s="74"/>
    </row>
    <row r="58" spans="15:16" x14ac:dyDescent="0.2">
      <c r="O58" s="83"/>
      <c r="P58" s="74"/>
    </row>
    <row r="59" spans="15:16" x14ac:dyDescent="0.2">
      <c r="O59" s="83"/>
      <c r="P59" s="74"/>
    </row>
    <row r="60" spans="15:16" x14ac:dyDescent="0.2">
      <c r="O60" s="83"/>
      <c r="P60" s="74"/>
    </row>
    <row r="61" spans="15:16" x14ac:dyDescent="0.2">
      <c r="O61" s="83"/>
      <c r="P61" s="74"/>
    </row>
    <row r="62" spans="15:16" x14ac:dyDescent="0.2">
      <c r="O62" s="83"/>
      <c r="P62" s="74"/>
    </row>
    <row r="63" spans="15:16" x14ac:dyDescent="0.2">
      <c r="O63" s="83"/>
      <c r="P63" s="74"/>
    </row>
    <row r="64" spans="15:16" x14ac:dyDescent="0.2">
      <c r="O64" s="83"/>
      <c r="P64" s="74"/>
    </row>
    <row r="65" spans="15:16" x14ac:dyDescent="0.2">
      <c r="O65" s="83"/>
      <c r="P65" s="74"/>
    </row>
    <row r="66" spans="15:16" x14ac:dyDescent="0.2">
      <c r="O66" s="83"/>
      <c r="P66" s="74"/>
    </row>
    <row r="67" spans="15:16" x14ac:dyDescent="0.2">
      <c r="P67" s="74"/>
    </row>
    <row r="68" spans="15:16" x14ac:dyDescent="0.2">
      <c r="O68" s="83"/>
      <c r="P68" s="74"/>
    </row>
    <row r="69" spans="15:16" x14ac:dyDescent="0.2">
      <c r="O69" s="83"/>
      <c r="P69" s="74"/>
    </row>
    <row r="70" spans="15:16" x14ac:dyDescent="0.2">
      <c r="O70" s="83"/>
      <c r="P70" s="74"/>
    </row>
    <row r="71" spans="15:16" x14ac:dyDescent="0.2">
      <c r="O71" s="83"/>
      <c r="P71" s="74"/>
    </row>
    <row r="72" spans="15:16" x14ac:dyDescent="0.2">
      <c r="O72" s="83"/>
      <c r="P72" s="74"/>
    </row>
    <row r="73" spans="15:16" x14ac:dyDescent="0.2">
      <c r="O73" s="83"/>
      <c r="P73" s="74"/>
    </row>
    <row r="74" spans="15:16" x14ac:dyDescent="0.2">
      <c r="O74" s="83"/>
      <c r="P74" s="74"/>
    </row>
    <row r="75" spans="15:16" x14ac:dyDescent="0.2">
      <c r="O75" s="83"/>
      <c r="P75" s="74"/>
    </row>
    <row r="76" spans="15:16" x14ac:dyDescent="0.2">
      <c r="O76" s="83"/>
      <c r="P76" s="74"/>
    </row>
    <row r="77" spans="15:16" x14ac:dyDescent="0.2">
      <c r="O77" s="83"/>
      <c r="P77" s="74"/>
    </row>
    <row r="78" spans="15:16" x14ac:dyDescent="0.2">
      <c r="O78" s="83"/>
      <c r="P78" s="74"/>
    </row>
    <row r="79" spans="15:16" x14ac:dyDescent="0.2">
      <c r="O79" s="83"/>
      <c r="P79" s="74"/>
    </row>
    <row r="80" spans="15:16" x14ac:dyDescent="0.2">
      <c r="O80" s="83"/>
      <c r="P80" s="74"/>
    </row>
    <row r="81" spans="15:16" x14ac:dyDescent="0.2">
      <c r="O81" s="83"/>
      <c r="P81" s="74"/>
    </row>
    <row r="82" spans="15:16" x14ac:dyDescent="0.2">
      <c r="O82" s="83"/>
      <c r="P82" s="74"/>
    </row>
    <row r="83" spans="15:16" x14ac:dyDescent="0.2">
      <c r="O83" s="83"/>
      <c r="P83" s="74"/>
    </row>
    <row r="84" spans="15:16" x14ac:dyDescent="0.2">
      <c r="O84" s="83"/>
      <c r="P84" s="74"/>
    </row>
    <row r="85" spans="15:16" x14ac:dyDescent="0.2">
      <c r="P85" s="74"/>
    </row>
    <row r="86" spans="15:16" x14ac:dyDescent="0.2">
      <c r="O86" s="83"/>
      <c r="P86" s="74"/>
    </row>
    <row r="87" spans="15:16" x14ac:dyDescent="0.2">
      <c r="O87" s="83"/>
      <c r="P87" s="74"/>
    </row>
    <row r="88" spans="15:16" x14ac:dyDescent="0.2">
      <c r="O88" s="83"/>
      <c r="P88" s="74"/>
    </row>
    <row r="89" spans="15:16" x14ac:dyDescent="0.2">
      <c r="O89" s="83"/>
      <c r="P89" s="74"/>
    </row>
    <row r="90" spans="15:16" x14ac:dyDescent="0.2">
      <c r="O90" s="83"/>
      <c r="P90" s="74"/>
    </row>
    <row r="91" spans="15:16" x14ac:dyDescent="0.2">
      <c r="O91" s="83"/>
      <c r="P91" s="74"/>
    </row>
    <row r="92" spans="15:16" x14ac:dyDescent="0.2">
      <c r="O92" s="83"/>
      <c r="P92" s="74"/>
    </row>
    <row r="93" spans="15:16" x14ac:dyDescent="0.2">
      <c r="O93" s="83"/>
      <c r="P93" s="74"/>
    </row>
    <row r="94" spans="15:16" x14ac:dyDescent="0.2">
      <c r="O94" s="83"/>
      <c r="P94" s="74"/>
    </row>
    <row r="95" spans="15:16" x14ac:dyDescent="0.2">
      <c r="O95" s="83"/>
      <c r="P95" s="74"/>
    </row>
    <row r="96" spans="15:16" x14ac:dyDescent="0.2">
      <c r="O96" s="83"/>
      <c r="P96" s="74"/>
    </row>
    <row r="97" spans="15:16" x14ac:dyDescent="0.2">
      <c r="O97" s="83"/>
      <c r="P97" s="74"/>
    </row>
    <row r="98" spans="15:16" x14ac:dyDescent="0.2">
      <c r="O98" s="83"/>
      <c r="P98" s="74"/>
    </row>
    <row r="99" spans="15:16" x14ac:dyDescent="0.2">
      <c r="O99" s="83"/>
      <c r="P99" s="74"/>
    </row>
    <row r="100" spans="15:16" x14ac:dyDescent="0.2">
      <c r="O100" s="83"/>
      <c r="P100" s="74"/>
    </row>
    <row r="101" spans="15:16" x14ac:dyDescent="0.2">
      <c r="O101" s="83"/>
      <c r="P101" s="74"/>
    </row>
    <row r="102" spans="15:16" x14ac:dyDescent="0.2">
      <c r="O102" s="83"/>
      <c r="P102" s="74"/>
    </row>
    <row r="103" spans="15:16" x14ac:dyDescent="0.2">
      <c r="P103" s="74"/>
    </row>
    <row r="104" spans="15:16" x14ac:dyDescent="0.2">
      <c r="P104" s="74"/>
    </row>
    <row r="105" spans="15:16" x14ac:dyDescent="0.2">
      <c r="P105" s="7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Introduction  v1.4</vt:lpstr>
      <vt:lpstr>Closed Form Models  v1.4</vt:lpstr>
      <vt:lpstr>SWCC - Fine Grained  v1.4</vt:lpstr>
      <vt:lpstr>SWCC - Coarse Grained  v1.4</vt:lpstr>
      <vt:lpstr>Aubertin et al 2003  v1.4</vt:lpstr>
      <vt:lpstr>Benson et al_2014  v1.4</vt:lpstr>
      <vt:lpstr>Ghanbarian et al 2010  v1.4</vt:lpstr>
      <vt:lpstr>Perera et al 2005  v1.4</vt:lpstr>
      <vt:lpstr>Saxton et al 1986  v1.4</vt:lpstr>
      <vt:lpstr>Sleep 2011  v1.4</vt:lpstr>
      <vt:lpstr>Zapata et al 2000 v1.4</vt:lpstr>
      <vt:lpstr>Sheet2</vt:lpstr>
    </vt:vector>
  </TitlesOfParts>
  <Company>USACE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G3ENGGSE</dc:creator>
  <cp:lastModifiedBy>Sadik Khan</cp:lastModifiedBy>
  <cp:lastPrinted>2015-09-17T21:59:55Z</cp:lastPrinted>
  <dcterms:created xsi:type="dcterms:W3CDTF">2013-12-03T23:49:44Z</dcterms:created>
  <dcterms:modified xsi:type="dcterms:W3CDTF">2023-02-21T02:29:36Z</dcterms:modified>
</cp:coreProperties>
</file>