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telis-Arsenios\Dropbox\Zeus_Play\"/>
    </mc:Choice>
  </mc:AlternateContent>
  <xr:revisionPtr revIDLastSave="0" documentId="13_ncr:1_{37C5B3DB-A4D2-46CD-81A7-AAAE87353EAB}" xr6:coauthVersionLast="40" xr6:coauthVersionMax="40" xr10:uidLastSave="{00000000-0000-0000-0000-000000000000}"/>
  <bookViews>
    <workbookView xWindow="360" yWindow="150" windowWidth="15315" windowHeight="6975" xr2:uid="{00000000-000D-0000-FFFF-FFFF00000000}"/>
  </bookViews>
  <sheets>
    <sheet name="Sheet1" sheetId="1" r:id="rId1"/>
    <sheet name="Sheet2" sheetId="2" r:id="rId2"/>
    <sheet name="slot designer analysis" sheetId="3" r:id="rId3"/>
  </sheets>
  <calcPr calcId="181029"/>
</workbook>
</file>

<file path=xl/calcChain.xml><?xml version="1.0" encoding="utf-8"?>
<calcChain xmlns="http://schemas.openxmlformats.org/spreadsheetml/2006/main">
  <c r="J24" i="1" l="1"/>
  <c r="L24" i="1" s="1"/>
  <c r="O24" i="1"/>
  <c r="J25" i="1"/>
  <c r="L25" i="1" s="1"/>
  <c r="O25" i="1"/>
  <c r="J26" i="1"/>
  <c r="L26" i="1"/>
  <c r="O26" i="1"/>
  <c r="J27" i="1"/>
  <c r="L27" i="1" s="1"/>
  <c r="J28" i="1"/>
  <c r="L28" i="1"/>
  <c r="N28" i="1"/>
  <c r="O28" i="1"/>
  <c r="J29" i="1"/>
  <c r="L29" i="1" s="1"/>
  <c r="O29" i="1"/>
  <c r="Q24" i="1"/>
  <c r="R24" i="1"/>
  <c r="T24" i="1" s="1"/>
  <c r="S24" i="1"/>
  <c r="W24" i="1"/>
  <c r="Y24" i="1"/>
  <c r="Q25" i="1"/>
  <c r="S25" i="1" s="1"/>
  <c r="R25" i="1"/>
  <c r="W25" i="1"/>
  <c r="Q26" i="1"/>
  <c r="S26" i="1" s="1"/>
  <c r="R26" i="1"/>
  <c r="U26" i="1" s="1"/>
  <c r="W26" i="1"/>
  <c r="Y26" i="1"/>
  <c r="R27" i="1"/>
  <c r="W27" i="1"/>
  <c r="Q28" i="1"/>
  <c r="R28" i="1"/>
  <c r="T28" i="1" s="1"/>
  <c r="X28" i="1" s="1"/>
  <c r="S28" i="1"/>
  <c r="W28" i="1"/>
  <c r="Y28" i="1"/>
  <c r="Q29" i="1"/>
  <c r="Y29" i="1" s="1"/>
  <c r="R29" i="1"/>
  <c r="W29" i="1"/>
  <c r="J38" i="1"/>
  <c r="L38" i="1"/>
  <c r="N38" i="1"/>
  <c r="X38" i="1" s="1"/>
  <c r="O38" i="1"/>
  <c r="W38" i="1"/>
  <c r="Y38" i="1"/>
  <c r="J39" i="1"/>
  <c r="L39" i="1"/>
  <c r="N39" i="1"/>
  <c r="X39" i="1" s="1"/>
  <c r="O39" i="1"/>
  <c r="W39" i="1"/>
  <c r="Y39" i="1"/>
  <c r="J40" i="1"/>
  <c r="L40" i="1"/>
  <c r="N40" i="1"/>
  <c r="X40" i="1" s="1"/>
  <c r="O40" i="1"/>
  <c r="W40" i="1"/>
  <c r="Y40" i="1"/>
  <c r="J41" i="1"/>
  <c r="L41" i="1"/>
  <c r="N41" i="1"/>
  <c r="O41" i="1"/>
  <c r="W41" i="1"/>
  <c r="X41" i="1"/>
  <c r="Y41" i="1"/>
  <c r="J42" i="1"/>
  <c r="L42" i="1"/>
  <c r="N42" i="1"/>
  <c r="O42" i="1"/>
  <c r="W42" i="1"/>
  <c r="X42" i="1"/>
  <c r="Y42" i="1"/>
  <c r="J23" i="1"/>
  <c r="R35" i="1"/>
  <c r="R36" i="1"/>
  <c r="J37" i="1"/>
  <c r="O37" i="1" s="1"/>
  <c r="R37" i="1"/>
  <c r="W37" i="1"/>
  <c r="Q37" i="1" s="1"/>
  <c r="T26" i="1" l="1"/>
  <c r="N25" i="1"/>
  <c r="N27" i="1"/>
  <c r="T25" i="1"/>
  <c r="N29" i="1"/>
  <c r="N24" i="1"/>
  <c r="X24" i="1" s="1"/>
  <c r="Y25" i="1"/>
  <c r="U25" i="1"/>
  <c r="O27" i="1"/>
  <c r="U28" i="1"/>
  <c r="U24" i="1"/>
  <c r="U29" i="1"/>
  <c r="S29" i="1"/>
  <c r="Q27" i="1"/>
  <c r="N26" i="1"/>
  <c r="U37" i="1"/>
  <c r="W67" i="1"/>
  <c r="W95" i="1"/>
  <c r="U27" i="1" l="1"/>
  <c r="Y27" i="1"/>
  <c r="S27" i="1"/>
  <c r="X25" i="1"/>
  <c r="X26" i="1"/>
  <c r="T29" i="1"/>
  <c r="X29" i="1" s="1"/>
  <c r="W99" i="1"/>
  <c r="W91" i="1"/>
  <c r="W88" i="1"/>
  <c r="W85" i="1"/>
  <c r="W82" i="1"/>
  <c r="W79" i="1"/>
  <c r="W76" i="1"/>
  <c r="W73" i="1"/>
  <c r="W70" i="1"/>
  <c r="T27" i="1" l="1"/>
  <c r="X27" i="1" s="1"/>
  <c r="AU108" i="1"/>
  <c r="AT100" i="1"/>
  <c r="AT101" i="1"/>
  <c r="AT102" i="1"/>
  <c r="AT103" i="1"/>
  <c r="AT104" i="1"/>
  <c r="AT105" i="1"/>
  <c r="AT106" i="1"/>
  <c r="AT107" i="1"/>
  <c r="J128" i="1" l="1"/>
  <c r="K128" i="1"/>
  <c r="L128" i="1"/>
  <c r="J5" i="1" l="1"/>
  <c r="AI67" i="1" l="1"/>
  <c r="AI70" i="1"/>
  <c r="AI73" i="1"/>
  <c r="AI76" i="1"/>
  <c r="AI79" i="1"/>
  <c r="AI82" i="1"/>
  <c r="AI85" i="1"/>
  <c r="AI88" i="1"/>
  <c r="AI91" i="1"/>
  <c r="AI95" i="1"/>
  <c r="AC108" i="1" l="1"/>
  <c r="K108" i="1"/>
  <c r="J103" i="1"/>
  <c r="AG99" i="1"/>
  <c r="R99" i="1"/>
  <c r="J99" i="1"/>
  <c r="AJ98" i="1"/>
  <c r="R98" i="1"/>
  <c r="AJ97" i="1"/>
  <c r="R97" i="1"/>
  <c r="AJ96" i="1"/>
  <c r="R96" i="1"/>
  <c r="AG95" i="1"/>
  <c r="R95" i="1"/>
  <c r="J95" i="1"/>
  <c r="AJ94" i="1"/>
  <c r="R94" i="1"/>
  <c r="AJ93" i="1"/>
  <c r="R93" i="1"/>
  <c r="AJ92" i="1"/>
  <c r="R92" i="1"/>
  <c r="AG91" i="1"/>
  <c r="R91" i="1"/>
  <c r="J91" i="1"/>
  <c r="AJ90" i="1"/>
  <c r="R90" i="1"/>
  <c r="AJ89" i="1"/>
  <c r="R89" i="1"/>
  <c r="AG88" i="1"/>
  <c r="R88" i="1"/>
  <c r="J88" i="1"/>
  <c r="AJ87" i="1"/>
  <c r="R87" i="1"/>
  <c r="AJ86" i="1"/>
  <c r="R86" i="1"/>
  <c r="AG85" i="1"/>
  <c r="R85" i="1"/>
  <c r="J85" i="1"/>
  <c r="AJ84" i="1"/>
  <c r="R84" i="1"/>
  <c r="AJ83" i="1"/>
  <c r="R83" i="1"/>
  <c r="AG82" i="1"/>
  <c r="R82" i="1"/>
  <c r="J82" i="1"/>
  <c r="AJ81" i="1"/>
  <c r="R81" i="1"/>
  <c r="AJ80" i="1"/>
  <c r="R80" i="1"/>
  <c r="AG79" i="1"/>
  <c r="R79" i="1"/>
  <c r="J79" i="1"/>
  <c r="AJ78" i="1"/>
  <c r="R78" i="1"/>
  <c r="AJ77" i="1"/>
  <c r="R77" i="1"/>
  <c r="AG76" i="1"/>
  <c r="R76" i="1"/>
  <c r="J76" i="1"/>
  <c r="AJ75" i="1"/>
  <c r="R75" i="1"/>
  <c r="AJ74" i="1"/>
  <c r="R74" i="1"/>
  <c r="AG73" i="1"/>
  <c r="R73" i="1"/>
  <c r="J73" i="1"/>
  <c r="AJ72" i="1"/>
  <c r="R72" i="1"/>
  <c r="AJ71" i="1"/>
  <c r="R71" i="1"/>
  <c r="AG70" i="1"/>
  <c r="R70" i="1"/>
  <c r="J70" i="1"/>
  <c r="AJ69" i="1"/>
  <c r="R69" i="1"/>
  <c r="AJ68" i="1"/>
  <c r="R68" i="1"/>
  <c r="AG67" i="1"/>
  <c r="R67" i="1"/>
  <c r="J67" i="1"/>
  <c r="AJ66" i="1"/>
  <c r="R66" i="1"/>
  <c r="AJ65" i="1"/>
  <c r="R65" i="1"/>
  <c r="AJ64" i="1"/>
  <c r="R64" i="1"/>
  <c r="Q67" i="1" l="1"/>
  <c r="AT67" i="1" s="1"/>
  <c r="AS67" i="1"/>
  <c r="Q76" i="1"/>
  <c r="AS76" i="1"/>
  <c r="Q95" i="1"/>
  <c r="AS95" i="1"/>
  <c r="Q73" i="1"/>
  <c r="AS73" i="1"/>
  <c r="AS85" i="1"/>
  <c r="Q85" i="1"/>
  <c r="Q99" i="1"/>
  <c r="AS99" i="1"/>
  <c r="Q79" i="1"/>
  <c r="AS79" i="1"/>
  <c r="Q91" i="1"/>
  <c r="AS91" i="1"/>
  <c r="AS88" i="1"/>
  <c r="Q88" i="1"/>
  <c r="D159" i="1"/>
  <c r="B159" i="1" s="1"/>
  <c r="AS103" i="1"/>
  <c r="Q70" i="1"/>
  <c r="AS70" i="1"/>
  <c r="Q82" i="1"/>
  <c r="AS82" i="1"/>
  <c r="AT79" i="1"/>
  <c r="AT85" i="1"/>
  <c r="AT73" i="1"/>
  <c r="AT95" i="1"/>
  <c r="O67" i="1"/>
  <c r="U67" i="1"/>
  <c r="O91" i="1"/>
  <c r="O76" i="1"/>
  <c r="O73" i="1"/>
  <c r="O99" i="1"/>
  <c r="O70" i="1"/>
  <c r="O82" i="1"/>
  <c r="O85" i="1"/>
  <c r="O95" i="1"/>
  <c r="AJ108" i="1"/>
  <c r="R108" i="1"/>
  <c r="O79" i="1"/>
  <c r="O103" i="1"/>
  <c r="W103" i="1"/>
  <c r="O88" i="1"/>
  <c r="U99" i="1" l="1"/>
  <c r="AT99" i="1"/>
  <c r="U91" i="1"/>
  <c r="AT91" i="1"/>
  <c r="D155" i="1"/>
  <c r="B155" i="1" s="1"/>
  <c r="AT88" i="1"/>
  <c r="U82" i="1"/>
  <c r="AT82" i="1"/>
  <c r="U76" i="1"/>
  <c r="AT76" i="1"/>
  <c r="U70" i="1"/>
  <c r="AT70" i="1"/>
  <c r="D156" i="1"/>
  <c r="B156" i="1" s="1"/>
  <c r="U73" i="1"/>
  <c r="U79" i="1"/>
  <c r="U95" i="1"/>
  <c r="U85" i="1"/>
  <c r="U88" i="1"/>
  <c r="F58" i="2" l="1"/>
  <c r="O71" i="2" s="1"/>
  <c r="E58" i="2"/>
  <c r="N75" i="2" s="1"/>
  <c r="D58" i="2"/>
  <c r="C58" i="2"/>
  <c r="L73" i="2" s="1"/>
  <c r="B58" i="2"/>
  <c r="K68" i="2" s="1"/>
  <c r="M69" i="2" l="1"/>
  <c r="D92" i="2"/>
  <c r="C90" i="2"/>
  <c r="E73" i="2"/>
  <c r="E98" i="2"/>
  <c r="M72" i="2"/>
  <c r="C97" i="2"/>
  <c r="D89" i="2"/>
  <c r="M75" i="2"/>
  <c r="E91" i="2"/>
  <c r="N70" i="2"/>
  <c r="L74" i="2"/>
  <c r="D94" i="2"/>
  <c r="E71" i="2"/>
  <c r="E92" i="2"/>
  <c r="N73" i="2"/>
  <c r="D73" i="2"/>
  <c r="C70" i="2"/>
  <c r="D69" i="2"/>
  <c r="D95" i="2"/>
  <c r="E72" i="2"/>
  <c r="E96" i="2"/>
  <c r="N76" i="2"/>
  <c r="B70" i="2"/>
  <c r="B93" i="2"/>
  <c r="K69" i="2"/>
  <c r="F73" i="2"/>
  <c r="F96" i="2"/>
  <c r="O74" i="2"/>
  <c r="B69" i="2"/>
  <c r="B89" i="2"/>
  <c r="B94" i="2"/>
  <c r="K70" i="2"/>
  <c r="C71" i="2"/>
  <c r="C92" i="2"/>
  <c r="L68" i="2"/>
  <c r="F70" i="2"/>
  <c r="F93" i="2"/>
  <c r="F97" i="2"/>
  <c r="O76" i="2"/>
  <c r="B72" i="2"/>
  <c r="B90" i="2"/>
  <c r="B96" i="2"/>
  <c r="K71" i="2"/>
  <c r="C73" i="2"/>
  <c r="C93" i="2"/>
  <c r="L72" i="2"/>
  <c r="D70" i="2"/>
  <c r="D91" i="2"/>
  <c r="D98" i="2"/>
  <c r="M77" i="2"/>
  <c r="F71" i="2"/>
  <c r="F94" i="2"/>
  <c r="F98" i="2"/>
  <c r="O77" i="2"/>
  <c r="B71" i="2"/>
  <c r="B91" i="2"/>
  <c r="C69" i="2"/>
  <c r="C89" i="2"/>
  <c r="C95" i="2"/>
  <c r="D72" i="2"/>
  <c r="E69" i="2"/>
  <c r="E90" i="2"/>
  <c r="E97" i="2"/>
  <c r="F72" i="2"/>
  <c r="F95" i="2"/>
  <c r="G58" i="2"/>
  <c r="J107" i="1" l="1"/>
  <c r="AS107" i="1" s="1"/>
  <c r="W107" i="1" l="1"/>
  <c r="O107" i="1"/>
  <c r="J11" i="1"/>
  <c r="F5" i="2"/>
  <c r="E5" i="2"/>
  <c r="N19" i="2" s="1"/>
  <c r="D5" i="2"/>
  <c r="C5" i="2"/>
  <c r="L22" i="2" s="1"/>
  <c r="B5" i="2"/>
  <c r="K22" i="2" l="1"/>
  <c r="G5" i="2"/>
  <c r="J45" i="1" s="1"/>
  <c r="O19" i="2"/>
  <c r="O15" i="2"/>
  <c r="C38" i="2"/>
  <c r="L16" i="2"/>
  <c r="E41" i="2"/>
  <c r="E18" i="2"/>
  <c r="N20" i="2"/>
  <c r="C37" i="2"/>
  <c r="C16" i="2"/>
  <c r="N15" i="2"/>
  <c r="C20" i="2"/>
  <c r="E44" i="2"/>
  <c r="L24" i="2"/>
  <c r="B42" i="2"/>
  <c r="F42" i="2"/>
  <c r="K19" i="2"/>
  <c r="O21" i="2"/>
  <c r="B19" i="2"/>
  <c r="B38" i="2"/>
  <c r="C39" i="2"/>
  <c r="C43" i="2"/>
  <c r="F43" i="2"/>
  <c r="K20" i="2"/>
  <c r="L19" i="2"/>
  <c r="L17" i="2"/>
  <c r="C17" i="2"/>
  <c r="F20" i="2"/>
  <c r="B40" i="2"/>
  <c r="C42" i="2"/>
  <c r="C45" i="2"/>
  <c r="F38" i="2"/>
  <c r="K16" i="2"/>
  <c r="K23" i="2"/>
  <c r="L20" i="2"/>
  <c r="L18" i="2"/>
  <c r="O20" i="2"/>
  <c r="C18" i="2"/>
  <c r="B39" i="2"/>
  <c r="C36" i="2"/>
  <c r="C44" i="2"/>
  <c r="E37" i="2"/>
  <c r="F39" i="2"/>
  <c r="K17" i="2"/>
  <c r="K24" i="2"/>
  <c r="L21" i="2"/>
  <c r="L23" i="2"/>
  <c r="N21" i="2"/>
  <c r="M19" i="2"/>
  <c r="M21" i="2"/>
  <c r="M15" i="2"/>
  <c r="D44" i="2"/>
  <c r="D45" i="2"/>
  <c r="D38" i="2"/>
  <c r="D20" i="2"/>
  <c r="M16" i="2"/>
  <c r="M20" i="2"/>
  <c r="D18" i="2"/>
  <c r="D43" i="2"/>
  <c r="D42" i="2"/>
  <c r="D36" i="2"/>
  <c r="D16" i="2"/>
  <c r="M18" i="2"/>
  <c r="D40" i="2"/>
  <c r="D17" i="2"/>
  <c r="M17" i="2"/>
  <c r="D37" i="2"/>
  <c r="M23" i="2"/>
  <c r="M24" i="2"/>
  <c r="D41" i="2"/>
  <c r="M22" i="2"/>
  <c r="D39" i="2"/>
  <c r="D19" i="2"/>
  <c r="E45" i="2"/>
  <c r="N22" i="2"/>
  <c r="N24" i="2"/>
  <c r="O23" i="2"/>
  <c r="O16" i="2"/>
  <c r="O22" i="2"/>
  <c r="E42" i="2"/>
  <c r="E38" i="2"/>
  <c r="N16" i="2"/>
  <c r="B18" i="2"/>
  <c r="E20" i="2"/>
  <c r="F19" i="2"/>
  <c r="B36" i="2"/>
  <c r="B44" i="2"/>
  <c r="B41" i="2"/>
  <c r="E39" i="2"/>
  <c r="E36" i="2"/>
  <c r="F36" i="2"/>
  <c r="F40" i="2"/>
  <c r="F44" i="2"/>
  <c r="B16" i="2"/>
  <c r="K18" i="2"/>
  <c r="K21" i="2"/>
  <c r="E16" i="2"/>
  <c r="N23" i="2"/>
  <c r="N18" i="2"/>
  <c r="F17" i="2"/>
  <c r="O24" i="2"/>
  <c r="O17" i="2"/>
  <c r="B17" i="2"/>
  <c r="E19" i="2"/>
  <c r="F18" i="2"/>
  <c r="B37" i="2"/>
  <c r="B45" i="2"/>
  <c r="B43" i="2"/>
  <c r="C40" i="2"/>
  <c r="C41" i="2"/>
  <c r="E43" i="2"/>
  <c r="E40" i="2"/>
  <c r="F37" i="2"/>
  <c r="F41" i="2"/>
  <c r="F45" i="2"/>
  <c r="K15" i="2"/>
  <c r="B20" i="2"/>
  <c r="L15" i="2"/>
  <c r="C19" i="2"/>
  <c r="N17" i="2"/>
  <c r="E17" i="2"/>
  <c r="O18" i="2"/>
  <c r="F16" i="2"/>
  <c r="W45" i="1" l="1"/>
  <c r="O45" i="1"/>
  <c r="D158" i="1"/>
  <c r="B158" i="1" s="1"/>
  <c r="G42" i="2"/>
  <c r="P19" i="2"/>
  <c r="P15" i="2"/>
  <c r="G41" i="2"/>
  <c r="G37" i="2"/>
  <c r="P24" i="2"/>
  <c r="P16" i="2"/>
  <c r="P22" i="2"/>
  <c r="P23" i="2"/>
  <c r="G39" i="2"/>
  <c r="P20" i="2"/>
  <c r="G36" i="2"/>
  <c r="G19" i="2"/>
  <c r="P18" i="2"/>
  <c r="G17" i="2"/>
  <c r="G20" i="2"/>
  <c r="G44" i="2"/>
  <c r="G18" i="2"/>
  <c r="P21" i="2"/>
  <c r="G45" i="2"/>
  <c r="G38" i="2"/>
  <c r="G40" i="2"/>
  <c r="G43" i="2"/>
  <c r="G16" i="2"/>
  <c r="P17" i="2"/>
  <c r="G46" i="2" l="1"/>
  <c r="J43" i="1" s="1"/>
  <c r="G21" i="2"/>
  <c r="P25" i="2"/>
  <c r="O43" i="1" l="1"/>
  <c r="W43" i="1"/>
  <c r="F77" i="1"/>
  <c r="E77" i="1"/>
  <c r="D77" i="1"/>
  <c r="C77" i="1"/>
  <c r="B77" i="1"/>
  <c r="W77" i="1" l="1"/>
  <c r="W65" i="1"/>
  <c r="J101" i="1"/>
  <c r="AB65" i="1"/>
  <c r="AB101" i="1"/>
  <c r="AB71" i="1"/>
  <c r="AB74" i="1"/>
  <c r="AB69" i="1"/>
  <c r="AB75" i="1"/>
  <c r="AB72" i="1"/>
  <c r="W90" i="1"/>
  <c r="W94" i="1"/>
  <c r="J64" i="1"/>
  <c r="AB96" i="1"/>
  <c r="J92" i="1"/>
  <c r="AB92" i="1"/>
  <c r="AB64" i="1"/>
  <c r="J96" i="1"/>
  <c r="AS96" i="1" s="1"/>
  <c r="J100" i="1"/>
  <c r="AB100" i="1"/>
  <c r="W64" i="1"/>
  <c r="Q64" i="1" s="1"/>
  <c r="AG96" i="1"/>
  <c r="AO92" i="1"/>
  <c r="AO64" i="1"/>
  <c r="AO96" i="1"/>
  <c r="AI96" i="1" s="1"/>
  <c r="W96" i="1"/>
  <c r="Q96" i="1" s="1"/>
  <c r="W92" i="1"/>
  <c r="Q92" i="1" s="1"/>
  <c r="J97" i="1"/>
  <c r="J71" i="1"/>
  <c r="AS71" i="1" s="1"/>
  <c r="J93" i="1"/>
  <c r="J80" i="1"/>
  <c r="J68" i="1"/>
  <c r="J77" i="1"/>
  <c r="J89" i="1"/>
  <c r="J65" i="1"/>
  <c r="J86" i="1"/>
  <c r="J74" i="1"/>
  <c r="AS74" i="1" s="1"/>
  <c r="J83" i="1"/>
  <c r="W80" i="1"/>
  <c r="Q80" i="1" s="1"/>
  <c r="AO78" i="1"/>
  <c r="AO69" i="1"/>
  <c r="AO90" i="1"/>
  <c r="AO98" i="1"/>
  <c r="AO72" i="1"/>
  <c r="AI72" i="1" s="1"/>
  <c r="AO84" i="1"/>
  <c r="AO66" i="1"/>
  <c r="AO75" i="1"/>
  <c r="AI75" i="1" s="1"/>
  <c r="AO87" i="1"/>
  <c r="AO81" i="1"/>
  <c r="AO94" i="1"/>
  <c r="W98" i="1"/>
  <c r="W81" i="1"/>
  <c r="W69" i="1"/>
  <c r="W87" i="1"/>
  <c r="W72" i="1"/>
  <c r="W84" i="1"/>
  <c r="W75" i="1"/>
  <c r="AB93" i="1"/>
  <c r="AB80" i="1"/>
  <c r="AB89" i="1"/>
  <c r="AB77" i="1"/>
  <c r="AB68" i="1"/>
  <c r="AB97" i="1"/>
  <c r="AB83" i="1"/>
  <c r="AB86" i="1"/>
  <c r="AO93" i="1"/>
  <c r="AI93" i="1" s="1"/>
  <c r="AO71" i="1"/>
  <c r="AI71" i="1" s="1"/>
  <c r="AO97" i="1"/>
  <c r="AO68" i="1"/>
  <c r="AO74" i="1"/>
  <c r="AI74" i="1" s="1"/>
  <c r="AO65" i="1"/>
  <c r="AO83" i="1"/>
  <c r="AI83" i="1" s="1"/>
  <c r="AO77" i="1"/>
  <c r="AI77" i="1" s="1"/>
  <c r="AO89" i="1"/>
  <c r="AO80" i="1"/>
  <c r="AI80" i="1" s="1"/>
  <c r="AO86" i="1"/>
  <c r="W89" i="1"/>
  <c r="Q89" i="1" s="1"/>
  <c r="W68" i="1"/>
  <c r="W86" i="1"/>
  <c r="W93" i="1"/>
  <c r="Q93" i="1" s="1"/>
  <c r="W97" i="1"/>
  <c r="D56" i="2"/>
  <c r="D62" i="2" s="1"/>
  <c r="W74" i="1"/>
  <c r="W71" i="1"/>
  <c r="W83" i="1"/>
  <c r="Q83" i="1" s="1"/>
  <c r="E56" i="2"/>
  <c r="E62" i="2" s="1"/>
  <c r="C56" i="2"/>
  <c r="C62" i="2" s="1"/>
  <c r="AB78" i="1"/>
  <c r="AB66" i="1"/>
  <c r="AB94" i="1"/>
  <c r="AB90" i="1"/>
  <c r="AB84" i="1"/>
  <c r="AB81" i="1"/>
  <c r="AB102" i="1"/>
  <c r="AB87" i="1"/>
  <c r="AB98" i="1"/>
  <c r="B56" i="2"/>
  <c r="B62" i="2" s="1"/>
  <c r="W66" i="1"/>
  <c r="J94" i="1"/>
  <c r="AS94" i="1" s="1"/>
  <c r="J84" i="1"/>
  <c r="AS84" i="1" s="1"/>
  <c r="J75" i="1"/>
  <c r="AS75" i="1" s="1"/>
  <c r="J102" i="1"/>
  <c r="J98" i="1"/>
  <c r="J87" i="1"/>
  <c r="J81" i="1"/>
  <c r="AS81" i="1" s="1"/>
  <c r="J78" i="1"/>
  <c r="J69" i="1"/>
  <c r="J72" i="1"/>
  <c r="AS72" i="1" s="1"/>
  <c r="J90" i="1"/>
  <c r="AS90" i="1" s="1"/>
  <c r="J66" i="1"/>
  <c r="F56" i="2"/>
  <c r="F62" i="2" s="1"/>
  <c r="F79" i="1"/>
  <c r="AT83" i="1" l="1"/>
  <c r="Q97" i="1"/>
  <c r="AI69" i="1"/>
  <c r="AT93" i="1"/>
  <c r="Q69" i="1"/>
  <c r="AS87" i="1"/>
  <c r="Q71" i="1"/>
  <c r="AT71" i="1" s="1"/>
  <c r="AI97" i="1"/>
  <c r="AT97" i="1" s="1"/>
  <c r="AI87" i="1"/>
  <c r="AS68" i="1"/>
  <c r="AS97" i="1"/>
  <c r="AI64" i="1"/>
  <c r="AT64" i="1" s="1"/>
  <c r="Q94" i="1"/>
  <c r="AS101" i="1"/>
  <c r="AI86" i="1"/>
  <c r="AS69" i="1"/>
  <c r="Q86" i="1"/>
  <c r="Q72" i="1"/>
  <c r="AT72" i="1" s="1"/>
  <c r="AI98" i="1"/>
  <c r="AT80" i="1"/>
  <c r="AS65" i="1"/>
  <c r="AS80" i="1"/>
  <c r="AI92" i="1"/>
  <c r="AS100" i="1"/>
  <c r="AS92" i="1"/>
  <c r="Q90" i="1"/>
  <c r="AI78" i="1"/>
  <c r="AN78" i="1" s="1"/>
  <c r="AS86" i="1"/>
  <c r="AS98" i="1"/>
  <c r="Q74" i="1"/>
  <c r="AT74" i="1" s="1"/>
  <c r="AI65" i="1"/>
  <c r="AN65" i="1" s="1"/>
  <c r="AS66" i="1"/>
  <c r="AS78" i="1"/>
  <c r="D157" i="1"/>
  <c r="B157" i="1" s="1"/>
  <c r="AS102" i="1"/>
  <c r="Q66" i="1"/>
  <c r="Q68" i="1"/>
  <c r="AI89" i="1"/>
  <c r="AT89" i="1" s="1"/>
  <c r="AI94" i="1"/>
  <c r="AT94" i="1" s="1"/>
  <c r="AI66" i="1"/>
  <c r="AN66" i="1" s="1"/>
  <c r="AI90" i="1"/>
  <c r="AS83" i="1"/>
  <c r="AS89" i="1"/>
  <c r="AS93" i="1"/>
  <c r="Q65" i="1"/>
  <c r="AI68" i="1"/>
  <c r="AN68" i="1" s="1"/>
  <c r="AI81" i="1"/>
  <c r="AI84" i="1"/>
  <c r="AS77" i="1"/>
  <c r="AS64" i="1"/>
  <c r="Q77" i="1"/>
  <c r="AT77" i="1" s="1"/>
  <c r="S89" i="1"/>
  <c r="T89" i="1" s="1"/>
  <c r="AN77" i="1"/>
  <c r="S86" i="1"/>
  <c r="T86" i="1" s="1"/>
  <c r="L66" i="1"/>
  <c r="N66" i="1" s="1"/>
  <c r="AN71" i="1"/>
  <c r="L90" i="1"/>
  <c r="N90" i="1" s="1"/>
  <c r="L81" i="1"/>
  <c r="N81" i="1" s="1"/>
  <c r="L75" i="1"/>
  <c r="N75" i="1" s="1"/>
  <c r="S83" i="1"/>
  <c r="T83" i="1" s="1"/>
  <c r="Y95" i="1"/>
  <c r="Y79" i="1"/>
  <c r="S76" i="1"/>
  <c r="T76" i="1" s="1"/>
  <c r="Y91" i="1"/>
  <c r="S82" i="1"/>
  <c r="T82" i="1" s="1"/>
  <c r="S95" i="1"/>
  <c r="T95" i="1" s="1"/>
  <c r="S79" i="1"/>
  <c r="T79" i="1" s="1"/>
  <c r="Y76" i="1"/>
  <c r="S91" i="1"/>
  <c r="T91" i="1" s="1"/>
  <c r="Y82" i="1"/>
  <c r="L67" i="1"/>
  <c r="N67" i="1" s="1"/>
  <c r="L79" i="1"/>
  <c r="N79" i="1" s="1"/>
  <c r="L91" i="1"/>
  <c r="N91" i="1" s="1"/>
  <c r="L103" i="1"/>
  <c r="N103" i="1" s="1"/>
  <c r="L73" i="1"/>
  <c r="N73" i="1" s="1"/>
  <c r="L99" i="1"/>
  <c r="N99" i="1" s="1"/>
  <c r="L76" i="1"/>
  <c r="N76" i="1" s="1"/>
  <c r="L82" i="1"/>
  <c r="N82" i="1" s="1"/>
  <c r="S88" i="1"/>
  <c r="T88" i="1" s="1"/>
  <c r="Y85" i="1"/>
  <c r="S99" i="1"/>
  <c r="T99" i="1" s="1"/>
  <c r="Y73" i="1"/>
  <c r="S70" i="1"/>
  <c r="T70" i="1" s="1"/>
  <c r="L95" i="1"/>
  <c r="N95" i="1" s="1"/>
  <c r="Y88" i="1"/>
  <c r="S85" i="1"/>
  <c r="T85" i="1" s="1"/>
  <c r="Y99" i="1"/>
  <c r="S73" i="1"/>
  <c r="T73" i="1" s="1"/>
  <c r="Y70" i="1"/>
  <c r="L70" i="1"/>
  <c r="N70" i="1" s="1"/>
  <c r="L88" i="1"/>
  <c r="N88" i="1" s="1"/>
  <c r="Y103" i="1"/>
  <c r="L85" i="1"/>
  <c r="N85" i="1" s="1"/>
  <c r="S67" i="1"/>
  <c r="T67" i="1" s="1"/>
  <c r="Y67" i="1"/>
  <c r="Y107" i="1"/>
  <c r="J126" i="1" s="1"/>
  <c r="L107" i="1"/>
  <c r="L84" i="1"/>
  <c r="N84" i="1" s="1"/>
  <c r="S71" i="1"/>
  <c r="T71" i="1" s="1"/>
  <c r="Y71" i="1"/>
  <c r="Q84" i="1"/>
  <c r="AN69" i="1"/>
  <c r="Y101" i="1"/>
  <c r="L101" i="1"/>
  <c r="N101" i="1" s="1"/>
  <c r="L65" i="1"/>
  <c r="N65" i="1" s="1"/>
  <c r="L80" i="1"/>
  <c r="N80" i="1" s="1"/>
  <c r="L72" i="1"/>
  <c r="N72" i="1" s="1"/>
  <c r="L87" i="1"/>
  <c r="N87" i="1" s="1"/>
  <c r="L69" i="1"/>
  <c r="N69" i="1" s="1"/>
  <c r="L98" i="1"/>
  <c r="N98" i="1" s="1"/>
  <c r="L94" i="1"/>
  <c r="N94" i="1" s="1"/>
  <c r="S93" i="1"/>
  <c r="T93" i="1" s="1"/>
  <c r="Y93" i="1"/>
  <c r="Q81" i="1"/>
  <c r="AN72" i="1"/>
  <c r="L83" i="1"/>
  <c r="N83" i="1" s="1"/>
  <c r="L89" i="1"/>
  <c r="N89" i="1" s="1"/>
  <c r="L93" i="1"/>
  <c r="N93" i="1" s="1"/>
  <c r="L92" i="1"/>
  <c r="N92" i="1" s="1"/>
  <c r="L78" i="1"/>
  <c r="N78" i="1" s="1"/>
  <c r="Y102" i="1"/>
  <c r="L102" i="1"/>
  <c r="N102" i="1" s="1"/>
  <c r="Y86" i="1"/>
  <c r="Q75" i="1"/>
  <c r="U75" i="1" s="1"/>
  <c r="Q87" i="1"/>
  <c r="AT87" i="1" s="1"/>
  <c r="Q98" i="1"/>
  <c r="L74" i="1"/>
  <c r="N74" i="1" s="1"/>
  <c r="L77" i="1"/>
  <c r="N77" i="1" s="1"/>
  <c r="L71" i="1"/>
  <c r="N71" i="1" s="1"/>
  <c r="S96" i="1"/>
  <c r="T96" i="1" s="1"/>
  <c r="Y96" i="1"/>
  <c r="O96" i="1"/>
  <c r="L96" i="1"/>
  <c r="N96" i="1" s="1"/>
  <c r="Y97" i="1"/>
  <c r="S97" i="1"/>
  <c r="T97" i="1" s="1"/>
  <c r="S68" i="1"/>
  <c r="T68" i="1" s="1"/>
  <c r="Y68" i="1"/>
  <c r="Y100" i="1"/>
  <c r="L100" i="1"/>
  <c r="N100" i="1" s="1"/>
  <c r="L86" i="1"/>
  <c r="N86" i="1" s="1"/>
  <c r="L68" i="1"/>
  <c r="N68" i="1" s="1"/>
  <c r="L97" i="1"/>
  <c r="N97" i="1" s="1"/>
  <c r="L64" i="1"/>
  <c r="N64" i="1" s="1"/>
  <c r="U69" i="1"/>
  <c r="O66" i="1"/>
  <c r="O78" i="1"/>
  <c r="B73" i="2"/>
  <c r="G73" i="2" s="1"/>
  <c r="K75" i="2"/>
  <c r="B92" i="2"/>
  <c r="B98" i="2"/>
  <c r="K76" i="2"/>
  <c r="K77" i="2"/>
  <c r="K74" i="2"/>
  <c r="K72" i="2"/>
  <c r="K73" i="2"/>
  <c r="B95" i="2"/>
  <c r="B97" i="2"/>
  <c r="AD94" i="1"/>
  <c r="AF94" i="1" s="1"/>
  <c r="AG94" i="1"/>
  <c r="AG71" i="1"/>
  <c r="AD71" i="1"/>
  <c r="AF71" i="1" s="1"/>
  <c r="AG97" i="1"/>
  <c r="AD97" i="1"/>
  <c r="AF97" i="1" s="1"/>
  <c r="W100" i="1"/>
  <c r="O100" i="1"/>
  <c r="O89" i="1"/>
  <c r="O64" i="1"/>
  <c r="AD96" i="1"/>
  <c r="AF96" i="1" s="1"/>
  <c r="O90" i="1"/>
  <c r="O81" i="1"/>
  <c r="O98" i="1"/>
  <c r="O84" i="1"/>
  <c r="AG98" i="1"/>
  <c r="AD98" i="1"/>
  <c r="AF98" i="1" s="1"/>
  <c r="AD69" i="1"/>
  <c r="AF69" i="1" s="1"/>
  <c r="AG69" i="1"/>
  <c r="AG66" i="1"/>
  <c r="AD66" i="1"/>
  <c r="AF66" i="1" s="1"/>
  <c r="AG101" i="1"/>
  <c r="AD101" i="1"/>
  <c r="AG83" i="1"/>
  <c r="AD83" i="1"/>
  <c r="AF83" i="1" s="1"/>
  <c r="AD100" i="1"/>
  <c r="AG100" i="1"/>
  <c r="N77" i="2"/>
  <c r="E70" i="2"/>
  <c r="G70" i="2" s="1"/>
  <c r="N74" i="2"/>
  <c r="N71" i="2"/>
  <c r="E95" i="2"/>
  <c r="E94" i="2"/>
  <c r="E89" i="2"/>
  <c r="N68" i="2"/>
  <c r="N72" i="2"/>
  <c r="E93" i="2"/>
  <c r="N69" i="2"/>
  <c r="O65" i="1"/>
  <c r="O68" i="1"/>
  <c r="O74" i="1"/>
  <c r="W101" i="1"/>
  <c r="O101" i="1"/>
  <c r="M70" i="2"/>
  <c r="D90" i="2"/>
  <c r="M71" i="2"/>
  <c r="D97" i="2"/>
  <c r="M76" i="2"/>
  <c r="M68" i="2"/>
  <c r="D93" i="2"/>
  <c r="D71" i="2"/>
  <c r="G71" i="2" s="1"/>
  <c r="D96" i="2"/>
  <c r="M74" i="2"/>
  <c r="M73" i="2"/>
  <c r="O92" i="1"/>
  <c r="AG64" i="1"/>
  <c r="AD64" i="1"/>
  <c r="AF64" i="1" s="1"/>
  <c r="L76" i="2"/>
  <c r="C91" i="2"/>
  <c r="L70" i="2"/>
  <c r="L75" i="2"/>
  <c r="C72" i="2"/>
  <c r="G72" i="2" s="1"/>
  <c r="C96" i="2"/>
  <c r="L69" i="2"/>
  <c r="C94" i="2"/>
  <c r="L71" i="2"/>
  <c r="L77" i="2"/>
  <c r="C98" i="2"/>
  <c r="AD93" i="1"/>
  <c r="AF93" i="1" s="1"/>
  <c r="AG93" i="1"/>
  <c r="O77" i="1"/>
  <c r="AD91" i="1"/>
  <c r="AD82" i="1"/>
  <c r="AD99" i="1"/>
  <c r="AD95" i="1"/>
  <c r="AD70" i="1"/>
  <c r="AD76" i="1"/>
  <c r="AD88" i="1"/>
  <c r="AD67" i="1"/>
  <c r="AD73" i="1"/>
  <c r="AD79" i="1"/>
  <c r="AD85" i="1"/>
  <c r="O72" i="1"/>
  <c r="O87" i="1"/>
  <c r="W102" i="1"/>
  <c r="O102" i="1"/>
  <c r="O94" i="1"/>
  <c r="AD87" i="1"/>
  <c r="AF87" i="1" s="1"/>
  <c r="AG87" i="1"/>
  <c r="AG84" i="1"/>
  <c r="AD84" i="1"/>
  <c r="AF84" i="1" s="1"/>
  <c r="AD72" i="1"/>
  <c r="AF72" i="1" s="1"/>
  <c r="AG72" i="1"/>
  <c r="AD77" i="1"/>
  <c r="AF77" i="1" s="1"/>
  <c r="AG77" i="1"/>
  <c r="AG89" i="1"/>
  <c r="AD89" i="1"/>
  <c r="AF89" i="1" s="1"/>
  <c r="AD68" i="1"/>
  <c r="AF68" i="1" s="1"/>
  <c r="AG68" i="1"/>
  <c r="O97" i="1"/>
  <c r="O83" i="1"/>
  <c r="O80" i="1"/>
  <c r="AD92" i="1"/>
  <c r="AF92" i="1" s="1"/>
  <c r="AG92" i="1"/>
  <c r="AG81" i="1"/>
  <c r="AD81" i="1"/>
  <c r="AF81" i="1" s="1"/>
  <c r="U68" i="1"/>
  <c r="F91" i="2"/>
  <c r="O69" i="2"/>
  <c r="O72" i="2"/>
  <c r="F90" i="2"/>
  <c r="O75" i="2"/>
  <c r="F92" i="2"/>
  <c r="O70" i="2"/>
  <c r="F69" i="2"/>
  <c r="G69" i="2" s="1"/>
  <c r="F89" i="2"/>
  <c r="O73" i="2"/>
  <c r="O68" i="2"/>
  <c r="O69" i="1"/>
  <c r="U72" i="1"/>
  <c r="O75" i="1"/>
  <c r="AG102" i="1"/>
  <c r="AD102" i="1"/>
  <c r="AG90" i="1"/>
  <c r="AD90" i="1"/>
  <c r="AF90" i="1" s="1"/>
  <c r="AG78" i="1"/>
  <c r="AD78" i="1"/>
  <c r="AF78" i="1" s="1"/>
  <c r="AG80" i="1"/>
  <c r="AD80" i="1"/>
  <c r="AF80" i="1" s="1"/>
  <c r="AG65" i="1"/>
  <c r="AD65" i="1"/>
  <c r="AF65" i="1" s="1"/>
  <c r="AD86" i="1"/>
  <c r="AF86" i="1" s="1"/>
  <c r="AG86" i="1"/>
  <c r="O71" i="1"/>
  <c r="O86" i="1"/>
  <c r="O93" i="1"/>
  <c r="W33" i="1"/>
  <c r="W14" i="1"/>
  <c r="W20" i="1"/>
  <c r="W11" i="1"/>
  <c r="Q11" i="1" s="1"/>
  <c r="W23" i="1"/>
  <c r="W17" i="1"/>
  <c r="W8" i="1"/>
  <c r="W5" i="1"/>
  <c r="Q5" i="1" s="1"/>
  <c r="O11" i="1"/>
  <c r="AN64" i="1" l="1"/>
  <c r="AT98" i="1"/>
  <c r="AT69" i="1"/>
  <c r="AT81" i="1"/>
  <c r="AT65" i="1"/>
  <c r="AT86" i="1"/>
  <c r="Y74" i="1"/>
  <c r="AT66" i="1"/>
  <c r="AT84" i="1"/>
  <c r="Y77" i="1"/>
  <c r="AT90" i="1"/>
  <c r="AT68" i="1"/>
  <c r="U92" i="1"/>
  <c r="AT92" i="1"/>
  <c r="AT96" i="1"/>
  <c r="U96" i="1"/>
  <c r="S74" i="1"/>
  <c r="T74" i="1" s="1"/>
  <c r="U74" i="1"/>
  <c r="N107" i="1"/>
  <c r="S77" i="1"/>
  <c r="T77" i="1" s="1"/>
  <c r="Y89" i="1"/>
  <c r="Y83" i="1"/>
  <c r="AF102" i="1"/>
  <c r="AP102" i="1" s="1"/>
  <c r="AF101" i="1"/>
  <c r="AP101" i="1" s="1"/>
  <c r="S94" i="1"/>
  <c r="T94" i="1" s="1"/>
  <c r="Y94" i="1"/>
  <c r="S75" i="1"/>
  <c r="T75" i="1" s="1"/>
  <c r="Y75" i="1"/>
  <c r="S92" i="1"/>
  <c r="T92" i="1" s="1"/>
  <c r="Y92" i="1"/>
  <c r="S81" i="1"/>
  <c r="T81" i="1" s="1"/>
  <c r="Y81" i="1"/>
  <c r="S69" i="1"/>
  <c r="T69" i="1" s="1"/>
  <c r="Y69" i="1"/>
  <c r="AF100" i="1"/>
  <c r="AP100" i="1" s="1"/>
  <c r="Y72" i="1"/>
  <c r="S72" i="1"/>
  <c r="T72" i="1" s="1"/>
  <c r="Y84" i="1"/>
  <c r="S84" i="1"/>
  <c r="T84" i="1" s="1"/>
  <c r="S64" i="1"/>
  <c r="T64" i="1" s="1"/>
  <c r="X64" i="1" s="1"/>
  <c r="Y64" i="1"/>
  <c r="Y98" i="1"/>
  <c r="S98" i="1"/>
  <c r="T98" i="1" s="1"/>
  <c r="Y90" i="1"/>
  <c r="S90" i="1"/>
  <c r="T90" i="1" s="1"/>
  <c r="S80" i="1"/>
  <c r="T80" i="1" s="1"/>
  <c r="Y80" i="1"/>
  <c r="S87" i="1"/>
  <c r="T87" i="1" s="1"/>
  <c r="Y87" i="1"/>
  <c r="Y66" i="1"/>
  <c r="S66" i="1"/>
  <c r="T66" i="1" s="1"/>
  <c r="G96" i="2"/>
  <c r="P71" i="2"/>
  <c r="G98" i="2"/>
  <c r="G94" i="2"/>
  <c r="G93" i="2"/>
  <c r="P74" i="2"/>
  <c r="U77" i="1"/>
  <c r="G91" i="2"/>
  <c r="O109" i="1"/>
  <c r="P72" i="2"/>
  <c r="G74" i="2"/>
  <c r="J106" i="1" s="1"/>
  <c r="G97" i="2"/>
  <c r="U71" i="1"/>
  <c r="G89" i="2"/>
  <c r="G95" i="2"/>
  <c r="P77" i="2"/>
  <c r="P75" i="2"/>
  <c r="U64" i="1"/>
  <c r="G92" i="2"/>
  <c r="U66" i="1"/>
  <c r="P69" i="2"/>
  <c r="P70" i="2"/>
  <c r="P68" i="2"/>
  <c r="G90" i="2"/>
  <c r="P73" i="2"/>
  <c r="P76" i="2"/>
  <c r="J33" i="1"/>
  <c r="Q33" i="1" s="1"/>
  <c r="J20" i="1"/>
  <c r="Q20" i="1" s="1"/>
  <c r="J17" i="1"/>
  <c r="J14" i="1"/>
  <c r="Q14" i="1" s="1"/>
  <c r="J8" i="1"/>
  <c r="D153" i="1" l="1"/>
  <c r="B153" i="1" s="1"/>
  <c r="AS106" i="1"/>
  <c r="Q8" i="1"/>
  <c r="Q23" i="1"/>
  <c r="Q17" i="1"/>
  <c r="L106" i="1"/>
  <c r="N106" i="1" s="1"/>
  <c r="Y106" i="1"/>
  <c r="W106" i="1"/>
  <c r="O106" i="1"/>
  <c r="P78" i="2"/>
  <c r="G99" i="2"/>
  <c r="O17" i="1"/>
  <c r="O5" i="1"/>
  <c r="O20" i="1"/>
  <c r="O33" i="1"/>
  <c r="O8" i="1"/>
  <c r="O23" i="1"/>
  <c r="O14" i="1"/>
  <c r="R2" i="1"/>
  <c r="R3" i="1"/>
  <c r="R4" i="1"/>
  <c r="R5" i="1"/>
  <c r="R6" i="1"/>
  <c r="R7" i="1"/>
  <c r="R8" i="1"/>
  <c r="R9" i="1"/>
  <c r="R10" i="1"/>
  <c r="R11" i="1"/>
  <c r="U11" i="1" s="1"/>
  <c r="R12" i="1"/>
  <c r="R13" i="1"/>
  <c r="R14" i="1"/>
  <c r="R15" i="1"/>
  <c r="R16" i="1"/>
  <c r="R17" i="1"/>
  <c r="R18" i="1"/>
  <c r="R19" i="1"/>
  <c r="R20" i="1"/>
  <c r="R21" i="1"/>
  <c r="R22" i="1"/>
  <c r="R23" i="1"/>
  <c r="R30" i="1"/>
  <c r="R31" i="1"/>
  <c r="R32" i="1"/>
  <c r="R33" i="1"/>
  <c r="R34" i="1"/>
  <c r="J104" i="1" l="1"/>
  <c r="L104" i="1" s="1"/>
  <c r="N104" i="1" s="1"/>
  <c r="J105" i="1"/>
  <c r="L105" i="1" s="1"/>
  <c r="N105" i="1" s="1"/>
  <c r="R46" i="1"/>
  <c r="U8" i="1"/>
  <c r="U20" i="1"/>
  <c r="U14" i="1"/>
  <c r="U23" i="1"/>
  <c r="U33" i="1"/>
  <c r="U5" i="1"/>
  <c r="U17" i="1"/>
  <c r="K46" i="1"/>
  <c r="D15" i="1"/>
  <c r="E15" i="1"/>
  <c r="F15" i="1"/>
  <c r="J22" i="1" s="1"/>
  <c r="C15" i="1"/>
  <c r="B15" i="1"/>
  <c r="J21" i="1" l="1"/>
  <c r="J6" i="1"/>
  <c r="J36" i="1"/>
  <c r="W36" i="1"/>
  <c r="J44" i="1"/>
  <c r="J35" i="1"/>
  <c r="D154" i="1"/>
  <c r="W35" i="1"/>
  <c r="W104" i="1"/>
  <c r="O104" i="1"/>
  <c r="Y105" i="1"/>
  <c r="Q3" i="1"/>
  <c r="J108" i="1"/>
  <c r="Y104" i="1"/>
  <c r="AS104" i="1"/>
  <c r="O105" i="1"/>
  <c r="W105" i="1"/>
  <c r="AS105" i="1"/>
  <c r="F17" i="1"/>
  <c r="J4" i="1"/>
  <c r="J34" i="1"/>
  <c r="J2" i="1"/>
  <c r="W2" i="1"/>
  <c r="W78" i="1"/>
  <c r="Q78" i="1" s="1"/>
  <c r="AT78" i="1" s="1"/>
  <c r="J3" i="1"/>
  <c r="W30" i="1"/>
  <c r="W34" i="1"/>
  <c r="W3" i="1"/>
  <c r="W9" i="1"/>
  <c r="W21" i="1"/>
  <c r="W6" i="1"/>
  <c r="W31" i="1"/>
  <c r="W12" i="1"/>
  <c r="W18" i="1"/>
  <c r="W15" i="1"/>
  <c r="J12" i="1"/>
  <c r="J31" i="1"/>
  <c r="J15" i="1"/>
  <c r="J18" i="1"/>
  <c r="J9" i="1"/>
  <c r="J30" i="1"/>
  <c r="W19" i="1"/>
  <c r="W16" i="1"/>
  <c r="W22" i="1"/>
  <c r="W4" i="1"/>
  <c r="J10" i="1"/>
  <c r="W13" i="1"/>
  <c r="W32" i="1"/>
  <c r="W10" i="1"/>
  <c r="W7" i="1"/>
  <c r="J13" i="1"/>
  <c r="J19" i="1"/>
  <c r="J32" i="1"/>
  <c r="J16" i="1"/>
  <c r="J7" i="1"/>
  <c r="Q36" i="1" l="1"/>
  <c r="O108" i="1"/>
  <c r="Q35" i="1"/>
  <c r="U35" i="1" s="1"/>
  <c r="AQ86" i="1"/>
  <c r="L45" i="1"/>
  <c r="N45" i="1" s="1"/>
  <c r="X45" i="1" s="1"/>
  <c r="L43" i="1"/>
  <c r="N43" i="1" s="1"/>
  <c r="X43" i="1" s="1"/>
  <c r="L37" i="1"/>
  <c r="N37" i="1" s="1"/>
  <c r="Y43" i="1"/>
  <c r="D126" i="1" s="1"/>
  <c r="D127" i="1" s="1"/>
  <c r="Y37" i="1"/>
  <c r="Y45" i="1"/>
  <c r="B126" i="1" s="1"/>
  <c r="S37" i="1"/>
  <c r="T37" i="1" s="1"/>
  <c r="X37" i="1" s="1"/>
  <c r="Y44" i="1"/>
  <c r="C126" i="1" s="1"/>
  <c r="L44" i="1"/>
  <c r="N44" i="1" s="1"/>
  <c r="X44" i="1" s="1"/>
  <c r="W44" i="1"/>
  <c r="O44" i="1"/>
  <c r="S36" i="1"/>
  <c r="T36" i="1" s="1"/>
  <c r="Y36" i="1"/>
  <c r="U36" i="1"/>
  <c r="L35" i="1"/>
  <c r="N35" i="1" s="1"/>
  <c r="O35" i="1"/>
  <c r="L36" i="1"/>
  <c r="N36" i="1" s="1"/>
  <c r="O36" i="1"/>
  <c r="AQ79" i="1"/>
  <c r="AQ94" i="1"/>
  <c r="AQ68" i="1"/>
  <c r="AQ88" i="1"/>
  <c r="AQ87" i="1"/>
  <c r="AQ77" i="1"/>
  <c r="AQ102" i="1"/>
  <c r="AQ85" i="1"/>
  <c r="O2" i="1"/>
  <c r="AQ100" i="1"/>
  <c r="AQ67" i="1"/>
  <c r="AQ66" i="1"/>
  <c r="D160" i="1"/>
  <c r="F160" i="1" s="1"/>
  <c r="AQ73" i="1"/>
  <c r="F155" i="1"/>
  <c r="F157" i="1"/>
  <c r="F154" i="1"/>
  <c r="F159" i="1"/>
  <c r="F156" i="1"/>
  <c r="F158" i="1"/>
  <c r="F153" i="1"/>
  <c r="AQ101" i="1"/>
  <c r="AQ95" i="1"/>
  <c r="AQ80" i="1"/>
  <c r="AQ78" i="1"/>
  <c r="AQ93" i="1"/>
  <c r="B154" i="1"/>
  <c r="AQ69" i="1"/>
  <c r="AQ99" i="1"/>
  <c r="AQ83" i="1"/>
  <c r="AQ92" i="1"/>
  <c r="AQ98" i="1"/>
  <c r="AQ82" i="1"/>
  <c r="AQ96" i="1"/>
  <c r="AQ97" i="1"/>
  <c r="AQ81" i="1"/>
  <c r="AQ84" i="1"/>
  <c r="AQ91" i="1"/>
  <c r="AQ71" i="1"/>
  <c r="AQ76" i="1"/>
  <c r="AQ90" i="1"/>
  <c r="AQ70" i="1"/>
  <c r="AQ72" i="1"/>
  <c r="AQ89" i="1"/>
  <c r="Q4" i="1"/>
  <c r="Y4" i="1" s="1"/>
  <c r="AT75" i="1"/>
  <c r="AT108" i="1" s="1"/>
  <c r="AT109" i="1" s="1"/>
  <c r="Y78" i="1"/>
  <c r="S78" i="1"/>
  <c r="T78" i="1" s="1"/>
  <c r="X78" i="1" s="1"/>
  <c r="AB108" i="1"/>
  <c r="Q10" i="1"/>
  <c r="Y10" i="1" s="1"/>
  <c r="L2" i="1"/>
  <c r="N2" i="1" s="1"/>
  <c r="X76" i="1"/>
  <c r="X103" i="1"/>
  <c r="X88" i="1"/>
  <c r="X85" i="1"/>
  <c r="X107" i="1"/>
  <c r="X100" i="1"/>
  <c r="X102" i="1"/>
  <c r="X101" i="1"/>
  <c r="AQ64" i="1"/>
  <c r="Y11" i="1"/>
  <c r="AK64" i="1"/>
  <c r="AM64" i="1" s="1"/>
  <c r="Y5" i="1"/>
  <c r="Y23" i="1"/>
  <c r="Y17" i="1"/>
  <c r="Y33" i="1"/>
  <c r="Y8" i="1"/>
  <c r="X106" i="1"/>
  <c r="Y14" i="1"/>
  <c r="Y20" i="1"/>
  <c r="K126" i="1"/>
  <c r="X104" i="1"/>
  <c r="X105" i="1"/>
  <c r="L126" i="1"/>
  <c r="L127" i="1" s="1"/>
  <c r="Q32" i="1"/>
  <c r="Y32" i="1" s="1"/>
  <c r="Q16" i="1"/>
  <c r="Y16" i="1" s="1"/>
  <c r="Q6" i="1"/>
  <c r="Y6" i="1" s="1"/>
  <c r="AG74" i="1"/>
  <c r="AD74" i="1"/>
  <c r="AF74" i="1" s="1"/>
  <c r="Q2" i="1"/>
  <c r="Y2" i="1" s="1"/>
  <c r="AD75" i="1"/>
  <c r="AF75" i="1" s="1"/>
  <c r="AG75" i="1"/>
  <c r="Y3" i="1"/>
  <c r="U86" i="1"/>
  <c r="U97" i="1"/>
  <c r="U78" i="1"/>
  <c r="Q19" i="1"/>
  <c r="Y19" i="1" s="1"/>
  <c r="AK68" i="1"/>
  <c r="U89" i="1"/>
  <c r="U90" i="1"/>
  <c r="U84" i="1"/>
  <c r="Q7" i="1"/>
  <c r="Y7" i="1" s="1"/>
  <c r="Q13" i="1"/>
  <c r="Y13" i="1" s="1"/>
  <c r="Q22" i="1"/>
  <c r="Y22" i="1" s="1"/>
  <c r="U93" i="1"/>
  <c r="U94" i="1"/>
  <c r="U81" i="1"/>
  <c r="U83" i="1"/>
  <c r="U80" i="1"/>
  <c r="U98" i="1"/>
  <c r="X98" i="1"/>
  <c r="U87" i="1"/>
  <c r="S5" i="1"/>
  <c r="T5" i="1" s="1"/>
  <c r="S17" i="1"/>
  <c r="T17" i="1" s="1"/>
  <c r="S33" i="1"/>
  <c r="T33" i="1" s="1"/>
  <c r="S14" i="1"/>
  <c r="T14" i="1" s="1"/>
  <c r="S11" i="1"/>
  <c r="T11" i="1" s="1"/>
  <c r="S23" i="1"/>
  <c r="T23" i="1" s="1"/>
  <c r="S8" i="1"/>
  <c r="T8" i="1" s="1"/>
  <c r="S20" i="1"/>
  <c r="T20" i="1" s="1"/>
  <c r="U3" i="1"/>
  <c r="S3" i="1"/>
  <c r="T3" i="1" s="1"/>
  <c r="O4" i="1"/>
  <c r="L4" i="1"/>
  <c r="O31" i="1"/>
  <c r="L31" i="1"/>
  <c r="O22" i="1"/>
  <c r="L22" i="1"/>
  <c r="O6" i="1"/>
  <c r="L6" i="1"/>
  <c r="L14" i="1"/>
  <c r="L8" i="1"/>
  <c r="N8" i="1" s="1"/>
  <c r="L20" i="1"/>
  <c r="L17" i="1"/>
  <c r="L33" i="1"/>
  <c r="L11" i="1"/>
  <c r="L23" i="1"/>
  <c r="N23" i="1" s="1"/>
  <c r="L5" i="1"/>
  <c r="O18" i="1"/>
  <c r="L18" i="1"/>
  <c r="O3" i="1"/>
  <c r="L3" i="1"/>
  <c r="O7" i="1"/>
  <c r="L7" i="1"/>
  <c r="N7" i="1" s="1"/>
  <c r="O32" i="1"/>
  <c r="L32" i="1"/>
  <c r="O19" i="1"/>
  <c r="L19" i="1"/>
  <c r="O30" i="1"/>
  <c r="L30" i="1"/>
  <c r="O9" i="1"/>
  <c r="L9" i="1"/>
  <c r="O16" i="1"/>
  <c r="L16" i="1"/>
  <c r="O13" i="1"/>
  <c r="L13" i="1"/>
  <c r="O10" i="1"/>
  <c r="L10" i="1"/>
  <c r="O34" i="1"/>
  <c r="L34" i="1"/>
  <c r="O21" i="1"/>
  <c r="L21" i="1"/>
  <c r="O15" i="1"/>
  <c r="L15" i="1"/>
  <c r="O12" i="1"/>
  <c r="L12" i="1"/>
  <c r="J46" i="1"/>
  <c r="Q12" i="1"/>
  <c r="Y12" i="1" s="1"/>
  <c r="Q21" i="1"/>
  <c r="Y21" i="1" s="1"/>
  <c r="Q30" i="1"/>
  <c r="Y30" i="1" s="1"/>
  <c r="Q9" i="1"/>
  <c r="Y9" i="1" s="1"/>
  <c r="Q34" i="1"/>
  <c r="Y34" i="1" s="1"/>
  <c r="Q15" i="1"/>
  <c r="Y15" i="1" s="1"/>
  <c r="Q31" i="1"/>
  <c r="Y31" i="1" s="1"/>
  <c r="Q18" i="1"/>
  <c r="Y18" i="1" s="1"/>
  <c r="S35" i="1" l="1"/>
  <c r="T35" i="1" s="1"/>
  <c r="Y35" i="1"/>
  <c r="X36" i="1"/>
  <c r="X35" i="1"/>
  <c r="O47" i="1"/>
  <c r="D130" i="1"/>
  <c r="AQ75" i="1"/>
  <c r="AN75" i="1"/>
  <c r="AQ74" i="1"/>
  <c r="AN74" i="1"/>
  <c r="D129" i="1"/>
  <c r="D143" i="1"/>
  <c r="K127" i="1"/>
  <c r="M126" i="1"/>
  <c r="D148" i="1"/>
  <c r="F148" i="1" s="1"/>
  <c r="D150" i="1"/>
  <c r="F150" i="1" s="1"/>
  <c r="D149" i="1"/>
  <c r="F149" i="1" s="1"/>
  <c r="D147" i="1"/>
  <c r="F147" i="1" s="1"/>
  <c r="D152" i="1"/>
  <c r="F152" i="1" s="1"/>
  <c r="D146" i="1"/>
  <c r="F146" i="1" s="1"/>
  <c r="D151" i="1"/>
  <c r="F151" i="1" s="1"/>
  <c r="Y47" i="1"/>
  <c r="D144" i="1"/>
  <c r="F144" i="1" s="1"/>
  <c r="N12" i="1"/>
  <c r="N21" i="1"/>
  <c r="N10" i="1"/>
  <c r="N9" i="1"/>
  <c r="N19" i="1"/>
  <c r="N18" i="1"/>
  <c r="N5" i="1"/>
  <c r="X5" i="1" s="1"/>
  <c r="N20" i="1"/>
  <c r="X20" i="1" s="1"/>
  <c r="N14" i="1"/>
  <c r="X14" i="1" s="1"/>
  <c r="N22" i="1"/>
  <c r="D145" i="1"/>
  <c r="F145" i="1" s="1"/>
  <c r="N33" i="1"/>
  <c r="X33" i="1" s="1"/>
  <c r="N6" i="1"/>
  <c r="N11" i="1"/>
  <c r="X11" i="1" s="1"/>
  <c r="N15" i="1"/>
  <c r="N34" i="1"/>
  <c r="N13" i="1"/>
  <c r="N16" i="1"/>
  <c r="N30" i="1"/>
  <c r="N32" i="1"/>
  <c r="N3" i="1"/>
  <c r="X3" i="1" s="1"/>
  <c r="N17" i="1"/>
  <c r="X17" i="1" s="1"/>
  <c r="N31" i="1"/>
  <c r="N4" i="1"/>
  <c r="AM68" i="1"/>
  <c r="AP68" i="1" s="1"/>
  <c r="X96" i="1"/>
  <c r="W108" i="1"/>
  <c r="X86" i="1"/>
  <c r="X77" i="1"/>
  <c r="X93" i="1"/>
  <c r="X75" i="1"/>
  <c r="X99" i="1"/>
  <c r="X87" i="1"/>
  <c r="X83" i="1"/>
  <c r="X94" i="1"/>
  <c r="X89" i="1"/>
  <c r="X95" i="1"/>
  <c r="U2" i="1"/>
  <c r="X91" i="1"/>
  <c r="S2" i="1"/>
  <c r="T2" i="1" s="1"/>
  <c r="X2" i="1" s="1"/>
  <c r="X97" i="1"/>
  <c r="X84" i="1"/>
  <c r="X23" i="1"/>
  <c r="AF108" i="1"/>
  <c r="AD108" i="1"/>
  <c r="N108" i="1"/>
  <c r="L108" i="1"/>
  <c r="X70" i="1"/>
  <c r="AG108" i="1"/>
  <c r="AG109" i="1"/>
  <c r="X92" i="1"/>
  <c r="X79" i="1"/>
  <c r="X67" i="1"/>
  <c r="X71" i="1"/>
  <c r="X66" i="1"/>
  <c r="X72" i="1"/>
  <c r="X74" i="1"/>
  <c r="X68" i="1"/>
  <c r="X73" i="1"/>
  <c r="E126" i="1"/>
  <c r="F126" i="1" s="1"/>
  <c r="O46" i="1"/>
  <c r="X8" i="1"/>
  <c r="X80" i="1"/>
  <c r="X81" i="1"/>
  <c r="X90" i="1"/>
  <c r="X69" i="1"/>
  <c r="J127" i="1"/>
  <c r="N126" i="1"/>
  <c r="O126" i="1" s="1"/>
  <c r="X82" i="1"/>
  <c r="L46" i="1"/>
  <c r="C127" i="1"/>
  <c r="S34" i="1"/>
  <c r="T34" i="1" s="1"/>
  <c r="U6" i="1"/>
  <c r="S6" i="1"/>
  <c r="T6" i="1" s="1"/>
  <c r="U7" i="1"/>
  <c r="S7" i="1"/>
  <c r="T7" i="1" s="1"/>
  <c r="X7" i="1" s="1"/>
  <c r="U15" i="1"/>
  <c r="S15" i="1"/>
  <c r="T15" i="1" s="1"/>
  <c r="U10" i="1"/>
  <c r="S10" i="1"/>
  <c r="T10" i="1" s="1"/>
  <c r="U22" i="1"/>
  <c r="S22" i="1"/>
  <c r="T22" i="1" s="1"/>
  <c r="U12" i="1"/>
  <c r="S12" i="1"/>
  <c r="T12" i="1" s="1"/>
  <c r="U4" i="1"/>
  <c r="S4" i="1"/>
  <c r="T4" i="1" s="1"/>
  <c r="U31" i="1"/>
  <c r="S31" i="1"/>
  <c r="T31" i="1" s="1"/>
  <c r="U9" i="1"/>
  <c r="S9" i="1"/>
  <c r="T9" i="1" s="1"/>
  <c r="U32" i="1"/>
  <c r="S32" i="1"/>
  <c r="T32" i="1" s="1"/>
  <c r="U18" i="1"/>
  <c r="S18" i="1"/>
  <c r="T18" i="1" s="1"/>
  <c r="U13" i="1"/>
  <c r="S13" i="1"/>
  <c r="T13" i="1" s="1"/>
  <c r="U16" i="1"/>
  <c r="S16" i="1"/>
  <c r="T16" i="1" s="1"/>
  <c r="X16" i="1" s="1"/>
  <c r="U30" i="1"/>
  <c r="S30" i="1"/>
  <c r="T30" i="1" s="1"/>
  <c r="U21" i="1"/>
  <c r="S21" i="1"/>
  <c r="T21" i="1" s="1"/>
  <c r="U19" i="1"/>
  <c r="S19" i="1"/>
  <c r="T19" i="1" s="1"/>
  <c r="W46" i="1"/>
  <c r="U34" i="1"/>
  <c r="Q46" i="1"/>
  <c r="X12" i="1" l="1"/>
  <c r="X34" i="1"/>
  <c r="X10" i="1"/>
  <c r="J47" i="1"/>
  <c r="F143" i="1"/>
  <c r="D162" i="1"/>
  <c r="B143" i="1"/>
  <c r="B148" i="1"/>
  <c r="X21" i="1"/>
  <c r="X9" i="1"/>
  <c r="X31" i="1"/>
  <c r="X15" i="1"/>
  <c r="X22" i="1"/>
  <c r="D131" i="1"/>
  <c r="N127" i="1"/>
  <c r="O133" i="1" s="1"/>
  <c r="O137" i="1" s="1"/>
  <c r="B144" i="1"/>
  <c r="B152" i="1"/>
  <c r="B147" i="1"/>
  <c r="X30" i="1"/>
  <c r="X18" i="1"/>
  <c r="X4" i="1"/>
  <c r="X6" i="1"/>
  <c r="B151" i="1"/>
  <c r="B149" i="1"/>
  <c r="X19" i="1"/>
  <c r="X13" i="1"/>
  <c r="X32" i="1"/>
  <c r="B145" i="1"/>
  <c r="B146" i="1"/>
  <c r="B150" i="1"/>
  <c r="S65" i="1"/>
  <c r="T65" i="1" s="1"/>
  <c r="Y65" i="1"/>
  <c r="Y109" i="1" s="1"/>
  <c r="N46" i="1"/>
  <c r="U65" i="1"/>
  <c r="Q108" i="1"/>
  <c r="AN81" i="1"/>
  <c r="AN87" i="1"/>
  <c r="AK74" i="1"/>
  <c r="AK80" i="1"/>
  <c r="AN96" i="1"/>
  <c r="AK77" i="1"/>
  <c r="AK84" i="1"/>
  <c r="AN84" i="1"/>
  <c r="AP64" i="1"/>
  <c r="AK78" i="1"/>
  <c r="AQ65" i="1"/>
  <c r="AK65" i="1"/>
  <c r="AM65" i="1" s="1"/>
  <c r="U46" i="1"/>
  <c r="S46" i="1"/>
  <c r="T46" i="1"/>
  <c r="B127" i="1"/>
  <c r="F162" i="1" l="1"/>
  <c r="E160" i="1"/>
  <c r="X46" i="1"/>
  <c r="E143" i="1"/>
  <c r="E150" i="1"/>
  <c r="E145" i="1"/>
  <c r="E147" i="1"/>
  <c r="E149" i="1"/>
  <c r="E144" i="1"/>
  <c r="E146" i="1"/>
  <c r="E156" i="1"/>
  <c r="E155" i="1"/>
  <c r="E159" i="1"/>
  <c r="E157" i="1"/>
  <c r="E158" i="1"/>
  <c r="E153" i="1"/>
  <c r="E154" i="1"/>
  <c r="E148" i="1"/>
  <c r="E151" i="1"/>
  <c r="E152" i="1"/>
  <c r="E127" i="1"/>
  <c r="AM84" i="1"/>
  <c r="AP84" i="1" s="1"/>
  <c r="AM78" i="1"/>
  <c r="AP78" i="1" s="1"/>
  <c r="AM80" i="1"/>
  <c r="AP80" i="1" s="1"/>
  <c r="AM77" i="1"/>
  <c r="AP77" i="1" s="1"/>
  <c r="AM74" i="1"/>
  <c r="AP74" i="1" s="1"/>
  <c r="J48" i="1"/>
  <c r="B119" i="1" s="1"/>
  <c r="AK75" i="1"/>
  <c r="S108" i="1"/>
  <c r="U108" i="1"/>
  <c r="AK81" i="1"/>
  <c r="AK72" i="1"/>
  <c r="AN80" i="1"/>
  <c r="AK87" i="1"/>
  <c r="AK97" i="1"/>
  <c r="AN97" i="1"/>
  <c r="AK96" i="1"/>
  <c r="AK98" i="1"/>
  <c r="AN98" i="1"/>
  <c r="AN90" i="1"/>
  <c r="AK90" i="1"/>
  <c r="AK92" i="1"/>
  <c r="AN92" i="1"/>
  <c r="AO108" i="1"/>
  <c r="AN83" i="1"/>
  <c r="AK83" i="1"/>
  <c r="AN94" i="1"/>
  <c r="AK94" i="1"/>
  <c r="AK89" i="1"/>
  <c r="AN89" i="1"/>
  <c r="AK71" i="1"/>
  <c r="AK86" i="1"/>
  <c r="AN86" i="1"/>
  <c r="AK93" i="1"/>
  <c r="AN93" i="1"/>
  <c r="AM94" i="1" l="1"/>
  <c r="AP94" i="1" s="1"/>
  <c r="AM98" i="1"/>
  <c r="AP98" i="1" s="1"/>
  <c r="AM90" i="1"/>
  <c r="AP90" i="1" s="1"/>
  <c r="AM87" i="1"/>
  <c r="AP87" i="1" s="1"/>
  <c r="AM81" i="1"/>
  <c r="AP81" i="1" s="1"/>
  <c r="AM75" i="1"/>
  <c r="AP75" i="1" s="1"/>
  <c r="AM72" i="1"/>
  <c r="AP72" i="1" s="1"/>
  <c r="AM96" i="1"/>
  <c r="AP96" i="1" s="1"/>
  <c r="AM92" i="1"/>
  <c r="AP92" i="1" s="1"/>
  <c r="AM97" i="1"/>
  <c r="AP97" i="1" s="1"/>
  <c r="AM93" i="1"/>
  <c r="AP93" i="1" s="1"/>
  <c r="AM89" i="1"/>
  <c r="AP89" i="1" s="1"/>
  <c r="AM86" i="1"/>
  <c r="AP86" i="1" s="1"/>
  <c r="AM83" i="1"/>
  <c r="AP83" i="1" s="1"/>
  <c r="AM71" i="1"/>
  <c r="AP71" i="1" s="1"/>
  <c r="X65" i="1"/>
  <c r="T108" i="1"/>
  <c r="AP65" i="1"/>
  <c r="AQ109" i="1"/>
  <c r="AK66" i="1"/>
  <c r="AM66" i="1" s="1"/>
  <c r="AI108" i="1"/>
  <c r="X108" i="1" l="1"/>
  <c r="AK69" i="1" l="1"/>
  <c r="AM69" i="1" s="1"/>
  <c r="AP66" i="1"/>
  <c r="AK108" i="1" l="1"/>
  <c r="AP69" i="1" l="1"/>
  <c r="AP108" i="1" s="1"/>
  <c r="AM108" i="1"/>
  <c r="AN108" i="1"/>
  <c r="AB109" i="1"/>
  <c r="AB110" i="1" l="1"/>
  <c r="J109" i="1"/>
  <c r="J113" i="1" s="1"/>
  <c r="B121" i="1" l="1"/>
  <c r="C162" i="1" s="1"/>
  <c r="J110" i="1"/>
  <c r="J114" i="1"/>
  <c r="D121" i="1" l="1"/>
  <c r="J116" i="1"/>
  <c r="B120" i="1" s="1"/>
  <c r="D120" i="1" s="1"/>
  <c r="A160" i="1"/>
  <c r="B160" i="1" s="1"/>
  <c r="B162" i="1" s="1"/>
  <c r="J115" i="1"/>
  <c r="V28" i="1" l="1"/>
  <c r="V24" i="1"/>
  <c r="M25" i="1"/>
  <c r="M26" i="1"/>
  <c r="M29" i="1"/>
  <c r="M28" i="1"/>
  <c r="V26" i="1"/>
  <c r="M27" i="1"/>
  <c r="V25" i="1"/>
  <c r="M24" i="1"/>
  <c r="V29" i="1"/>
  <c r="V27" i="1"/>
  <c r="M39" i="1"/>
  <c r="M41" i="1"/>
  <c r="M42" i="1"/>
  <c r="M40" i="1"/>
  <c r="M38" i="1"/>
  <c r="M37" i="1"/>
  <c r="M44" i="1"/>
  <c r="M43" i="1"/>
  <c r="M35" i="1"/>
  <c r="V36" i="1"/>
  <c r="M36" i="1"/>
  <c r="M45" i="1"/>
  <c r="V37" i="1"/>
  <c r="V35" i="1"/>
  <c r="M2" i="1"/>
  <c r="C160" i="1"/>
  <c r="A162" i="1"/>
  <c r="AL67" i="1" l="1"/>
  <c r="AL71" i="1"/>
  <c r="AL75" i="1"/>
  <c r="AL79" i="1"/>
  <c r="AL83" i="1"/>
  <c r="AL87" i="1"/>
  <c r="AL91" i="1"/>
  <c r="AL99" i="1"/>
  <c r="AL65" i="1"/>
  <c r="AL73" i="1"/>
  <c r="AL85" i="1"/>
  <c r="AL93" i="1"/>
  <c r="AL68" i="1"/>
  <c r="AL72" i="1"/>
  <c r="AL76" i="1"/>
  <c r="AL80" i="1"/>
  <c r="AL84" i="1"/>
  <c r="AL88" i="1"/>
  <c r="AL96" i="1"/>
  <c r="AL77" i="1"/>
  <c r="AL89" i="1"/>
  <c r="AL66" i="1"/>
  <c r="AL70" i="1"/>
  <c r="AL74" i="1"/>
  <c r="AL78" i="1"/>
  <c r="AL82" i="1"/>
  <c r="AL86" i="1"/>
  <c r="AL90" i="1"/>
  <c r="AL94" i="1"/>
  <c r="AL98" i="1"/>
  <c r="AL95" i="1"/>
  <c r="AL92" i="1"/>
  <c r="AL64" i="1"/>
  <c r="AL69" i="1"/>
  <c r="AL81" i="1"/>
  <c r="AL97" i="1"/>
  <c r="AE65" i="1"/>
  <c r="AE104" i="1"/>
  <c r="AE100" i="1"/>
  <c r="AE96" i="1"/>
  <c r="AE92" i="1"/>
  <c r="AE88" i="1"/>
  <c r="AE84" i="1"/>
  <c r="AE80" i="1"/>
  <c r="AE76" i="1"/>
  <c r="AE72" i="1"/>
  <c r="AE68" i="1"/>
  <c r="AE107" i="1"/>
  <c r="AE103" i="1"/>
  <c r="AE99" i="1"/>
  <c r="AE95" i="1"/>
  <c r="AE91" i="1"/>
  <c r="AE87" i="1"/>
  <c r="AE83" i="1"/>
  <c r="AE79" i="1"/>
  <c r="AE75" i="1"/>
  <c r="AE71" i="1"/>
  <c r="AE67" i="1"/>
  <c r="AE106" i="1"/>
  <c r="AE102" i="1"/>
  <c r="AE98" i="1"/>
  <c r="AE94" i="1"/>
  <c r="AE90" i="1"/>
  <c r="AE86" i="1"/>
  <c r="AE82" i="1"/>
  <c r="AE78" i="1"/>
  <c r="AE74" i="1"/>
  <c r="AE70" i="1"/>
  <c r="AE66" i="1"/>
  <c r="AE105" i="1"/>
  <c r="AE101" i="1"/>
  <c r="AE97" i="1"/>
  <c r="AE93" i="1"/>
  <c r="AE89" i="1"/>
  <c r="AE85" i="1"/>
  <c r="AE81" i="1"/>
  <c r="AE77" i="1"/>
  <c r="AE73" i="1"/>
  <c r="AE69" i="1"/>
  <c r="AE64" i="1"/>
  <c r="C151" i="1"/>
  <c r="C157" i="1"/>
  <c r="C149" i="1"/>
  <c r="C156" i="1"/>
  <c r="C153" i="1"/>
  <c r="C154" i="1"/>
  <c r="C152" i="1"/>
  <c r="C147" i="1"/>
  <c r="C146" i="1"/>
  <c r="C150" i="1"/>
  <c r="C148" i="1"/>
  <c r="C145" i="1"/>
  <c r="C155" i="1"/>
  <c r="C159" i="1"/>
  <c r="C158" i="1"/>
  <c r="C143" i="1"/>
  <c r="C144" i="1"/>
  <c r="V3" i="1"/>
  <c r="M101" i="1"/>
  <c r="V21" i="1"/>
  <c r="V7" i="1"/>
  <c r="M11" i="1"/>
  <c r="M18" i="1"/>
  <c r="V69" i="1"/>
  <c r="M103" i="1"/>
  <c r="M107" i="1"/>
  <c r="V19" i="1"/>
  <c r="M7" i="1"/>
  <c r="M15" i="1"/>
  <c r="V23" i="1"/>
  <c r="M23" i="1"/>
  <c r="V65" i="1"/>
  <c r="M21" i="1"/>
  <c r="M99" i="1"/>
  <c r="V31" i="1"/>
  <c r="M13" i="1"/>
  <c r="V66" i="1"/>
  <c r="M20" i="1"/>
  <c r="V72" i="1"/>
  <c r="M71" i="1"/>
  <c r="M12" i="1"/>
  <c r="M6" i="1"/>
  <c r="M10" i="1"/>
  <c r="V79" i="1"/>
  <c r="M88" i="1"/>
  <c r="V83" i="1"/>
  <c r="M79" i="1"/>
  <c r="V18" i="1"/>
  <c r="V95" i="1"/>
  <c r="M91" i="1"/>
  <c r="V98" i="1"/>
  <c r="V82" i="1"/>
  <c r="V15" i="1"/>
  <c r="M64" i="1"/>
  <c r="V93" i="1"/>
  <c r="M16" i="1"/>
  <c r="V97" i="1"/>
  <c r="M70" i="1"/>
  <c r="V89" i="1"/>
  <c r="V67" i="1"/>
  <c r="M76" i="1"/>
  <c r="M32" i="1"/>
  <c r="V71" i="1"/>
  <c r="V6" i="1"/>
  <c r="M14" i="1"/>
  <c r="V12" i="1"/>
  <c r="V17" i="1"/>
  <c r="V20" i="1"/>
  <c r="M31" i="1"/>
  <c r="V81" i="1"/>
  <c r="M22" i="1"/>
  <c r="V11" i="1"/>
  <c r="V73" i="1"/>
  <c r="M3" i="1"/>
  <c r="V87" i="1"/>
  <c r="V85" i="1"/>
  <c r="M87" i="1"/>
  <c r="M30" i="1"/>
  <c r="V34" i="1"/>
  <c r="M75" i="1"/>
  <c r="V9" i="1"/>
  <c r="M92" i="1"/>
  <c r="V4" i="1"/>
  <c r="M66" i="1"/>
  <c r="V64" i="1"/>
  <c r="M78" i="1"/>
  <c r="M84" i="1"/>
  <c r="M17" i="1"/>
  <c r="M82" i="1"/>
  <c r="V8" i="1"/>
  <c r="V30" i="1"/>
  <c r="M90" i="1"/>
  <c r="M94" i="1"/>
  <c r="V78" i="1"/>
  <c r="M33" i="1"/>
  <c r="M98" i="1"/>
  <c r="V5" i="1"/>
  <c r="V75" i="1"/>
  <c r="M74" i="1"/>
  <c r="M81" i="1"/>
  <c r="V22" i="1"/>
  <c r="V94" i="1"/>
  <c r="M65" i="1"/>
  <c r="M89" i="1"/>
  <c r="M9" i="1"/>
  <c r="M80" i="1"/>
  <c r="M86" i="1"/>
  <c r="M72" i="1"/>
  <c r="M5" i="1"/>
  <c r="M77" i="1"/>
  <c r="M97" i="1"/>
  <c r="M8" i="1"/>
  <c r="M19" i="1"/>
  <c r="V74" i="1"/>
  <c r="M95" i="1"/>
  <c r="M104" i="1"/>
  <c r="V80" i="1"/>
  <c r="M93" i="1"/>
  <c r="V68" i="1"/>
  <c r="V86" i="1"/>
  <c r="M73" i="1"/>
  <c r="M83" i="1"/>
  <c r="V76" i="1"/>
  <c r="V32" i="1"/>
  <c r="M69" i="1"/>
  <c r="V96" i="1"/>
  <c r="V70" i="1"/>
  <c r="M68" i="1"/>
  <c r="V84" i="1"/>
  <c r="M105" i="1"/>
  <c r="V10" i="1"/>
  <c r="M4" i="1"/>
  <c r="V14" i="1"/>
  <c r="V92" i="1"/>
  <c r="V77" i="1"/>
  <c r="V90" i="1"/>
  <c r="V91" i="1"/>
  <c r="M106" i="1"/>
  <c r="V33" i="1"/>
  <c r="M96" i="1"/>
  <c r="V13" i="1"/>
  <c r="M85" i="1"/>
  <c r="M102" i="1"/>
  <c r="V16" i="1"/>
  <c r="V88" i="1"/>
  <c r="V99" i="1"/>
  <c r="M34" i="1"/>
  <c r="M100" i="1"/>
  <c r="M67" i="1"/>
  <c r="V2" i="1"/>
  <c r="AL108" i="1" l="1"/>
  <c r="AE108" i="1"/>
  <c r="V46" i="1"/>
  <c r="M46" i="1"/>
  <c r="V108" i="1"/>
  <c r="M108" i="1"/>
  <c r="J142" i="1" l="1"/>
  <c r="J143" i="1" s="1"/>
  <c r="J144" i="1" s="1"/>
  <c r="M143" i="1"/>
  <c r="M142" i="1"/>
  <c r="J130" i="1"/>
  <c r="D132" i="1"/>
  <c r="M148" i="1" l="1"/>
  <c r="L148" i="1"/>
  <c r="J148" i="1"/>
  <c r="K148" i="1"/>
  <c r="J150" i="1" l="1"/>
  <c r="J149" i="1"/>
  <c r="L150" i="1"/>
  <c r="L149" i="1"/>
  <c r="M150" i="1"/>
  <c r="M149" i="1"/>
  <c r="K149" i="1"/>
  <c r="K150" i="1"/>
</calcChain>
</file>

<file path=xl/sharedStrings.xml><?xml version="1.0" encoding="utf-8"?>
<sst xmlns="http://schemas.openxmlformats.org/spreadsheetml/2006/main" count="663" uniqueCount="136">
  <si>
    <t>Reel1</t>
  </si>
  <si>
    <t>Reel3</t>
  </si>
  <si>
    <t>Reel4</t>
  </si>
  <si>
    <t>Reel5</t>
  </si>
  <si>
    <t>Reel2</t>
  </si>
  <si>
    <t>enniari</t>
  </si>
  <si>
    <t>dekari</t>
  </si>
  <si>
    <t>vales</t>
  </si>
  <si>
    <t>ntama</t>
  </si>
  <si>
    <t>pappas</t>
  </si>
  <si>
    <t>assos</t>
  </si>
  <si>
    <t>roloi</t>
  </si>
  <si>
    <t>keri</t>
  </si>
  <si>
    <t>alogo</t>
  </si>
  <si>
    <t>pentamorfi</t>
  </si>
  <si>
    <t>teras</t>
  </si>
  <si>
    <t>scatter</t>
  </si>
  <si>
    <t>rodo</t>
  </si>
  <si>
    <t>total</t>
  </si>
  <si>
    <t>Winning Match</t>
  </si>
  <si>
    <t>Payoffs</t>
  </si>
  <si>
    <t>2 enniari</t>
  </si>
  <si>
    <t>3 enniari</t>
  </si>
  <si>
    <t>4 enniari</t>
  </si>
  <si>
    <t>5 enniari</t>
  </si>
  <si>
    <t>3 dekari</t>
  </si>
  <si>
    <t>4 dekari</t>
  </si>
  <si>
    <t>5 dekari</t>
  </si>
  <si>
    <t>3 vales</t>
  </si>
  <si>
    <t>4 vales</t>
  </si>
  <si>
    <t>5 vales</t>
  </si>
  <si>
    <t>3 ntama</t>
  </si>
  <si>
    <t>4 ntama</t>
  </si>
  <si>
    <t>5 ntama</t>
  </si>
  <si>
    <t>3 pappas</t>
  </si>
  <si>
    <t>4 pappas</t>
  </si>
  <si>
    <t>5 pappas</t>
  </si>
  <si>
    <t>3 assos</t>
  </si>
  <si>
    <t>4 assos</t>
  </si>
  <si>
    <t>5 assos</t>
  </si>
  <si>
    <t>3 keri</t>
  </si>
  <si>
    <t>4 keri</t>
  </si>
  <si>
    <t>5 keri</t>
  </si>
  <si>
    <t>3 alogo</t>
  </si>
  <si>
    <t>4 alogo</t>
  </si>
  <si>
    <t>5 alogo</t>
  </si>
  <si>
    <t>3 roloi</t>
  </si>
  <si>
    <t>4 roloi</t>
  </si>
  <si>
    <t>5 roloi</t>
  </si>
  <si>
    <t>3 pentamorfi</t>
  </si>
  <si>
    <t>2 pentamorfi</t>
  </si>
  <si>
    <t>4 pentamorfi</t>
  </si>
  <si>
    <t>5 pentamorfi</t>
  </si>
  <si>
    <t>2 teras</t>
  </si>
  <si>
    <t>3 teras</t>
  </si>
  <si>
    <t>4 teras</t>
  </si>
  <si>
    <t>5 teras</t>
  </si>
  <si>
    <t>All combinations</t>
  </si>
  <si>
    <t>Winning Lines</t>
  </si>
  <si>
    <t>2 wild(rodo)</t>
  </si>
  <si>
    <t>3 wild(rodo)</t>
  </si>
  <si>
    <t>4 wild(rodo)</t>
  </si>
  <si>
    <t>5 wild(rodo)</t>
  </si>
  <si>
    <t>2 scatters</t>
  </si>
  <si>
    <t>3 scatters</t>
  </si>
  <si>
    <t>4 scatters</t>
  </si>
  <si>
    <t>5 scatters</t>
  </si>
  <si>
    <t>Total</t>
  </si>
  <si>
    <t>Payoffs(X2)</t>
  </si>
  <si>
    <t>Win hits</t>
  </si>
  <si>
    <t>Winning Match(with wild)</t>
  </si>
  <si>
    <t xml:space="preserve">Probabilities(1 line) </t>
  </si>
  <si>
    <t>5/5 scatters</t>
  </si>
  <si>
    <t>Reels</t>
  </si>
  <si>
    <t>s</t>
  </si>
  <si>
    <t>Scatters</t>
  </si>
  <si>
    <t>4/5 scatters</t>
  </si>
  <si>
    <t>x</t>
  </si>
  <si>
    <t>3/5 scatters</t>
  </si>
  <si>
    <t>2/5 scatters</t>
  </si>
  <si>
    <t>combos</t>
  </si>
  <si>
    <t>Win hits (Both wild and without)</t>
  </si>
  <si>
    <t>Total payoffs</t>
  </si>
  <si>
    <t>Total Payoffs</t>
  </si>
  <si>
    <t>Rtp</t>
  </si>
  <si>
    <t>Total (Precentage) to win a line</t>
  </si>
  <si>
    <t>Bonus game</t>
  </si>
  <si>
    <t>Wins</t>
  </si>
  <si>
    <t>Base game win</t>
  </si>
  <si>
    <t>Trigger N scatts</t>
  </si>
  <si>
    <t>Free spins</t>
  </si>
  <si>
    <t>Prob</t>
  </si>
  <si>
    <t>Freespins</t>
  </si>
  <si>
    <t>freespins</t>
  </si>
  <si>
    <t>retrigger free spins</t>
  </si>
  <si>
    <t>E(freespins)</t>
  </si>
  <si>
    <t xml:space="preserve"> Bonus win (1 in..)</t>
  </si>
  <si>
    <t>Both wins</t>
  </si>
  <si>
    <t>bonus game</t>
  </si>
  <si>
    <t>left to right</t>
  </si>
  <si>
    <t>right to left</t>
  </si>
  <si>
    <t>Base game</t>
  </si>
  <si>
    <t>bonus game win</t>
  </si>
  <si>
    <t>TOTAL RTP</t>
  </si>
  <si>
    <t>Average pay per game</t>
  </si>
  <si>
    <t>scatter pays</t>
  </si>
  <si>
    <t>Extra spins retrigger</t>
  </si>
  <si>
    <t>Average free spins in a bonus game for n-&gt;oo</t>
  </si>
  <si>
    <t>Total Pays in bonus game</t>
  </si>
  <si>
    <t>Average pay in bonus game</t>
  </si>
  <si>
    <t>Paytable</t>
  </si>
  <si>
    <t>Pay</t>
  </si>
  <si>
    <t>Pay (%)</t>
  </si>
  <si>
    <t>Hits</t>
  </si>
  <si>
    <t>Hits (%)</t>
  </si>
  <si>
    <t>Hit Rate 10 Lines</t>
  </si>
  <si>
    <t>Total Bet</t>
  </si>
  <si>
    <t>Total Pay</t>
  </si>
  <si>
    <t>Percent (%)</t>
  </si>
  <si>
    <t>Total Hits</t>
  </si>
  <si>
    <t>Total Hits (%)</t>
  </si>
  <si>
    <t>HitRate</t>
  </si>
  <si>
    <t>FREE SPINS</t>
  </si>
  <si>
    <t>P(win-aveg.win.)^2</t>
  </si>
  <si>
    <t>Average pay per spin</t>
  </si>
  <si>
    <t>Total P(win-aveg.win)</t>
  </si>
  <si>
    <t>Std. dev.</t>
  </si>
  <si>
    <t>Volatility</t>
  </si>
  <si>
    <t>rtp range + -</t>
  </si>
  <si>
    <t>N</t>
  </si>
  <si>
    <t>rtp range  low</t>
  </si>
  <si>
    <t>rtp range high</t>
  </si>
  <si>
    <t>Std. dev</t>
  </si>
  <si>
    <t>Std dev.</t>
  </si>
  <si>
    <t>RTP 1 way</t>
  </si>
  <si>
    <t>RTP 2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</si>
</sst>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%"/>
    <numFmt numFmtId="165" formatCode="0.00000%"/>
    <numFmt numFmtId="166" formatCode="0.000%"/>
    <numFmt numFmtId="167" formatCode="#,##0.0000"/>
    <numFmt numFmtId="168" formatCode="0.0000%"/>
    <numFmt numFmtId="169" formatCode="0.000000%"/>
    <numFmt numFmtId="170" formatCode="#,##0.00000000"/>
    <numFmt numFmtId="171" formatCode="#,##0.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0"/>
      <name val="Arial"/>
      <family val="2"/>
      <charset val="161"/>
    </font>
    <font>
      <sz val="10"/>
      <name val="Arial"/>
      <family val="2"/>
      <charset val="16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88">
    <xf numFmtId="0" fontId="0" fillId="0" borderId="0" xfId="0"/>
    <xf numFmtId="0" fontId="0" fillId="0" borderId="0" xfId="1" applyNumberFormat="1" applyFont="1"/>
    <xf numFmtId="0" fontId="0" fillId="3" borderId="0" xfId="0" applyFill="1"/>
    <xf numFmtId="9" fontId="0" fillId="0" borderId="0" xfId="1" applyFont="1"/>
    <xf numFmtId="0" fontId="0" fillId="0" borderId="3" xfId="1" applyNumberFormat="1" applyFont="1" applyBorder="1"/>
    <xf numFmtId="0" fontId="0" fillId="0" borderId="6" xfId="1" applyNumberFormat="1" applyFont="1" applyBorder="1"/>
    <xf numFmtId="0" fontId="2" fillId="2" borderId="1" xfId="0" applyNumberFormat="1" applyFont="1" applyFill="1" applyBorder="1"/>
    <xf numFmtId="0" fontId="0" fillId="0" borderId="1" xfId="0" applyNumberFormat="1" applyBorder="1"/>
    <xf numFmtId="0" fontId="0" fillId="0" borderId="0" xfId="0" applyNumberFormat="1"/>
    <xf numFmtId="0" fontId="0" fillId="5" borderId="1" xfId="0" applyNumberFormat="1" applyFill="1" applyBorder="1"/>
    <xf numFmtId="0" fontId="0" fillId="5" borderId="7" xfId="0" applyNumberFormat="1" applyFill="1" applyBorder="1"/>
    <xf numFmtId="0" fontId="0" fillId="0" borderId="2" xfId="0" applyNumberFormat="1" applyBorder="1"/>
    <xf numFmtId="0" fontId="0" fillId="0" borderId="0" xfId="0" applyNumberFormat="1" applyBorder="1"/>
    <xf numFmtId="0" fontId="0" fillId="4" borderId="0" xfId="0" applyNumberFormat="1" applyFill="1"/>
    <xf numFmtId="0" fontId="0" fillId="0" borderId="4" xfId="0" applyNumberFormat="1" applyBorder="1"/>
    <xf numFmtId="0" fontId="0" fillId="0" borderId="5" xfId="0" applyNumberFormat="1" applyBorder="1"/>
    <xf numFmtId="0" fontId="0" fillId="3" borderId="1" xfId="0" applyNumberFormat="1" applyFill="1" applyBorder="1"/>
    <xf numFmtId="3" fontId="0" fillId="0" borderId="0" xfId="0" applyNumberFormat="1" applyBorder="1"/>
    <xf numFmtId="3" fontId="0" fillId="0" borderId="5" xfId="0" applyNumberFormat="1" applyBorder="1"/>
    <xf numFmtId="3" fontId="0" fillId="3" borderId="1" xfId="0" applyNumberFormat="1" applyFill="1" applyBorder="1"/>
    <xf numFmtId="3" fontId="0" fillId="3" borderId="1" xfId="1" applyNumberFormat="1" applyFont="1" applyFill="1" applyBorder="1"/>
    <xf numFmtId="3" fontId="0" fillId="0" borderId="3" xfId="0" applyNumberFormat="1" applyBorder="1"/>
    <xf numFmtId="3" fontId="0" fillId="0" borderId="0" xfId="0" applyNumberFormat="1"/>
    <xf numFmtId="3" fontId="0" fillId="0" borderId="1" xfId="0" applyNumberFormat="1" applyBorder="1"/>
    <xf numFmtId="3" fontId="0" fillId="3" borderId="8" xfId="0" applyNumberFormat="1" applyFill="1" applyBorder="1"/>
    <xf numFmtId="3" fontId="0" fillId="0" borderId="2" xfId="0" applyNumberFormat="1" applyBorder="1"/>
    <xf numFmtId="3" fontId="0" fillId="0" borderId="4" xfId="0" applyNumberFormat="1" applyBorder="1"/>
    <xf numFmtId="165" fontId="0" fillId="3" borderId="1" xfId="1" applyNumberFormat="1" applyFont="1" applyFill="1" applyBorder="1"/>
    <xf numFmtId="164" fontId="0" fillId="3" borderId="1" xfId="1" applyNumberFormat="1" applyFont="1" applyFill="1" applyBorder="1"/>
    <xf numFmtId="0" fontId="2" fillId="3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9" xfId="0" applyNumberFormat="1" applyFill="1" applyBorder="1"/>
    <xf numFmtId="0" fontId="0" fillId="5" borderId="13" xfId="0" applyNumberFormat="1" applyFill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3" xfId="0" applyNumberFormat="1" applyBorder="1"/>
    <xf numFmtId="0" fontId="0" fillId="0" borderId="5" xfId="1" applyNumberFormat="1" applyFon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13" xfId="0" applyNumberFormat="1" applyBorder="1"/>
    <xf numFmtId="0" fontId="0" fillId="0" borderId="2" xfId="0" applyBorder="1"/>
    <xf numFmtId="166" fontId="0" fillId="3" borderId="1" xfId="1" applyNumberFormat="1" applyFont="1" applyFill="1" applyBorder="1"/>
    <xf numFmtId="0" fontId="0" fillId="0" borderId="3" xfId="0" applyBorder="1"/>
    <xf numFmtId="0" fontId="3" fillId="3" borderId="1" xfId="0" applyNumberFormat="1" applyFont="1" applyFill="1" applyBorder="1"/>
    <xf numFmtId="0" fontId="3" fillId="3" borderId="1" xfId="1" applyNumberFormat="1" applyFont="1" applyFill="1" applyBorder="1"/>
    <xf numFmtId="165" fontId="3" fillId="3" borderId="1" xfId="1" applyNumberFormat="1" applyFont="1" applyFill="1" applyBorder="1"/>
    <xf numFmtId="0" fontId="3" fillId="3" borderId="4" xfId="0" applyFont="1" applyFill="1" applyBorder="1"/>
    <xf numFmtId="0" fontId="3" fillId="0" borderId="16" xfId="1" applyNumberFormat="1" applyFont="1" applyBorder="1"/>
    <xf numFmtId="0" fontId="0" fillId="6" borderId="1" xfId="0" applyFill="1" applyBorder="1" applyAlignment="1">
      <alignment horizontal="center"/>
    </xf>
    <xf numFmtId="166" fontId="5" fillId="6" borderId="1" xfId="1" applyNumberFormat="1" applyFont="1" applyFill="1" applyBorder="1" applyAlignment="1">
      <alignment horizontal="center"/>
    </xf>
    <xf numFmtId="0" fontId="4" fillId="6" borderId="1" xfId="0" applyFont="1" applyFill="1" applyBorder="1"/>
    <xf numFmtId="166" fontId="5" fillId="6" borderId="1" xfId="1" applyNumberFormat="1" applyFont="1" applyFill="1" applyBorder="1"/>
    <xf numFmtId="0" fontId="0" fillId="6" borderId="1" xfId="0" applyFill="1" applyBorder="1"/>
    <xf numFmtId="0" fontId="0" fillId="0" borderId="1" xfId="0" applyBorder="1"/>
    <xf numFmtId="168" fontId="0" fillId="0" borderId="1" xfId="1" applyNumberFormat="1" applyFont="1" applyBorder="1"/>
    <xf numFmtId="2" fontId="0" fillId="7" borderId="1" xfId="0" applyNumberFormat="1" applyFill="1" applyBorder="1"/>
    <xf numFmtId="3" fontId="0" fillId="7" borderId="1" xfId="0" applyNumberFormat="1" applyFill="1" applyBorder="1"/>
    <xf numFmtId="0" fontId="0" fillId="7" borderId="1" xfId="0" applyFill="1" applyBorder="1"/>
    <xf numFmtId="168" fontId="0" fillId="7" borderId="1" xfId="1" applyNumberFormat="1" applyFont="1" applyFill="1" applyBorder="1"/>
    <xf numFmtId="165" fontId="0" fillId="0" borderId="1" xfId="1" applyNumberFormat="1" applyFont="1" applyBorder="1"/>
    <xf numFmtId="9" fontId="0" fillId="0" borderId="1" xfId="1" applyFont="1" applyBorder="1"/>
    <xf numFmtId="169" fontId="0" fillId="0" borderId="1" xfId="1" applyNumberFormat="1" applyFont="1" applyBorder="1"/>
    <xf numFmtId="169" fontId="0" fillId="7" borderId="1" xfId="1" applyNumberFormat="1" applyFont="1" applyFill="1" applyBorder="1"/>
    <xf numFmtId="169" fontId="0" fillId="0" borderId="0" xfId="0" applyNumberFormat="1"/>
    <xf numFmtId="167" fontId="0" fillId="0" borderId="1" xfId="0" applyNumberFormat="1" applyBorder="1"/>
    <xf numFmtId="0" fontId="0" fillId="3" borderId="6" xfId="0" applyNumberFormat="1" applyFill="1" applyBorder="1"/>
    <xf numFmtId="0" fontId="6" fillId="0" borderId="6" xfId="0" applyNumberFormat="1" applyFont="1" applyBorder="1"/>
    <xf numFmtId="0" fontId="6" fillId="0" borderId="3" xfId="0" applyNumberFormat="1" applyFont="1" applyBorder="1"/>
    <xf numFmtId="0" fontId="0" fillId="0" borderId="0" xfId="0" applyBorder="1"/>
    <xf numFmtId="0" fontId="3" fillId="3" borderId="19" xfId="0" applyNumberFormat="1" applyFont="1" applyFill="1" applyBorder="1"/>
    <xf numFmtId="0" fontId="3" fillId="3" borderId="13" xfId="0" applyNumberFormat="1" applyFont="1" applyFill="1" applyBorder="1"/>
    <xf numFmtId="170" fontId="0" fillId="0" borderId="0" xfId="0" applyNumberFormat="1" applyBorder="1"/>
    <xf numFmtId="171" fontId="0" fillId="0" borderId="0" xfId="0" applyNumberFormat="1" applyBorder="1"/>
    <xf numFmtId="170" fontId="0" fillId="3" borderId="1" xfId="0" applyNumberFormat="1" applyFill="1" applyBorder="1"/>
    <xf numFmtId="0" fontId="0" fillId="0" borderId="13" xfId="0" applyBorder="1"/>
    <xf numFmtId="170" fontId="0" fillId="0" borderId="1" xfId="0" applyNumberFormat="1" applyBorder="1"/>
    <xf numFmtId="0" fontId="0" fillId="0" borderId="1" xfId="0" applyFill="1" applyBorder="1"/>
    <xf numFmtId="0" fontId="0" fillId="0" borderId="5" xfId="0" applyBorder="1"/>
    <xf numFmtId="0" fontId="0" fillId="0" borderId="1" xfId="1" applyNumberFormat="1" applyFont="1" applyBorder="1"/>
    <xf numFmtId="3" fontId="7" fillId="0" borderId="0" xfId="0" applyNumberFormat="1" applyFont="1"/>
    <xf numFmtId="170" fontId="0" fillId="0" borderId="0" xfId="0" applyNumberFormat="1"/>
    <xf numFmtId="0" fontId="0" fillId="3" borderId="1" xfId="0" applyFill="1" applyBorder="1"/>
  </cellXfs>
  <cellStyles count="3">
    <cellStyle name="Normal" xfId="0" builtinId="0"/>
    <cellStyle name="Normal 2" xfId="2" xr:uid="{06873B76-A2B0-4F19-A01C-B2F03C3589E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14</xdr:col>
      <xdr:colOff>256098</xdr:colOff>
      <xdr:row>43</xdr:row>
      <xdr:rowOff>122798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95250"/>
          <a:ext cx="8619048" cy="82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29</xdr:col>
      <xdr:colOff>27498</xdr:colOff>
      <xdr:row>43</xdr:row>
      <xdr:rowOff>27548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0"/>
          <a:ext cx="8619048" cy="8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69"/>
  <sheetViews>
    <sheetView tabSelected="1" zoomScale="85" zoomScaleNormal="85" workbookViewId="0">
      <selection activeCell="H25" sqref="H25"/>
    </sheetView>
  </sheetViews>
  <sheetFormatPr defaultRowHeight="15" x14ac:dyDescent="0.25"/>
  <cols>
    <col min="1" max="1" width="17.85546875" customWidth="1"/>
    <col min="2" max="2" width="15.5703125" customWidth="1"/>
    <col min="3" max="3" width="13.140625" customWidth="1"/>
    <col min="4" max="4" width="14.42578125" bestFit="1" customWidth="1"/>
    <col min="5" max="5" width="10.140625" customWidth="1"/>
    <col min="6" max="6" width="17.28515625" customWidth="1"/>
    <col min="7" max="7" width="12.42578125" bestFit="1" customWidth="1"/>
    <col min="9" max="9" width="24.85546875" customWidth="1"/>
    <col min="10" max="10" width="17" customWidth="1"/>
    <col min="11" max="11" width="14.28515625" customWidth="1"/>
    <col min="12" max="12" width="12.140625" customWidth="1"/>
    <col min="13" max="13" width="18" customWidth="1"/>
    <col min="14" max="14" width="40.42578125" customWidth="1"/>
    <col min="15" max="15" width="18.7109375" customWidth="1"/>
    <col min="16" max="16" width="25" customWidth="1"/>
    <col min="17" max="17" width="17" customWidth="1"/>
    <col min="18" max="18" width="15.140625" customWidth="1"/>
    <col min="19" max="20" width="11" customWidth="1"/>
    <col min="21" max="21" width="15.140625" customWidth="1"/>
    <col min="22" max="22" width="20" customWidth="1"/>
    <col min="23" max="23" width="32.5703125" customWidth="1"/>
    <col min="24" max="24" width="17.140625" customWidth="1"/>
    <col min="25" max="25" width="21.5703125" customWidth="1"/>
    <col min="26" max="26" width="16" customWidth="1"/>
    <col min="27" max="27" width="14.42578125" customWidth="1"/>
    <col min="28" max="28" width="17.5703125" customWidth="1"/>
    <col min="31" max="31" width="19.140625" customWidth="1"/>
    <col min="33" max="33" width="15.28515625" customWidth="1"/>
    <col min="34" max="34" width="26.42578125" customWidth="1"/>
    <col min="35" max="35" width="11.85546875" customWidth="1"/>
    <col min="36" max="36" width="12.5703125" customWidth="1"/>
    <col min="37" max="37" width="14.140625" customWidth="1"/>
    <col min="38" max="38" width="18.5703125" customWidth="1"/>
    <col min="40" max="40" width="14.7109375" customWidth="1"/>
    <col min="41" max="41" width="32" customWidth="1"/>
    <col min="42" max="42" width="10.7109375" customWidth="1"/>
    <col min="43" max="43" width="18.7109375" customWidth="1"/>
  </cols>
  <sheetData>
    <row r="1" spans="1:29" x14ac:dyDescent="0.25">
      <c r="A1" s="6"/>
      <c r="B1" s="7" t="s">
        <v>0</v>
      </c>
      <c r="C1" s="7" t="s">
        <v>4</v>
      </c>
      <c r="D1" s="7" t="s">
        <v>1</v>
      </c>
      <c r="E1" s="7" t="s">
        <v>2</v>
      </c>
      <c r="F1" s="7" t="s">
        <v>3</v>
      </c>
      <c r="G1" s="8"/>
      <c r="H1" s="8"/>
      <c r="I1" s="9" t="s">
        <v>19</v>
      </c>
      <c r="J1" s="9" t="s">
        <v>69</v>
      </c>
      <c r="K1" s="9" t="s">
        <v>20</v>
      </c>
      <c r="L1" s="9" t="s">
        <v>91</v>
      </c>
      <c r="M1" s="9" t="s">
        <v>123</v>
      </c>
      <c r="N1" s="9" t="s">
        <v>87</v>
      </c>
      <c r="O1" s="9" t="s">
        <v>82</v>
      </c>
      <c r="P1" s="9" t="s">
        <v>70</v>
      </c>
      <c r="Q1" s="9" t="s">
        <v>69</v>
      </c>
      <c r="R1" s="9" t="s">
        <v>68</v>
      </c>
      <c r="S1" s="9" t="s">
        <v>91</v>
      </c>
      <c r="T1" s="9" t="s">
        <v>87</v>
      </c>
      <c r="U1" s="10" t="s">
        <v>82</v>
      </c>
      <c r="V1" s="10" t="s">
        <v>123</v>
      </c>
      <c r="W1" s="9" t="s">
        <v>81</v>
      </c>
      <c r="X1" s="9" t="s">
        <v>97</v>
      </c>
      <c r="Y1" s="9" t="s">
        <v>71</v>
      </c>
      <c r="Z1" s="8"/>
      <c r="AA1" s="8"/>
      <c r="AB1" s="8"/>
      <c r="AC1" s="8"/>
    </row>
    <row r="2" spans="1:29" x14ac:dyDescent="0.25">
      <c r="A2" s="7" t="s">
        <v>5</v>
      </c>
      <c r="B2" s="7">
        <v>1</v>
      </c>
      <c r="C2" s="7">
        <v>4</v>
      </c>
      <c r="D2" s="7">
        <v>3</v>
      </c>
      <c r="E2" s="7">
        <v>5</v>
      </c>
      <c r="F2" s="7">
        <v>6</v>
      </c>
      <c r="G2" s="8"/>
      <c r="H2" s="8"/>
      <c r="I2" s="11" t="s">
        <v>21</v>
      </c>
      <c r="J2" s="17">
        <f>B2*C2*(D15-D14-D2)*E15*F15</f>
        <v>288444</v>
      </c>
      <c r="K2" s="12">
        <v>2</v>
      </c>
      <c r="L2" s="12">
        <f>J2/$F$17</f>
        <v>2.3619186046511626E-3</v>
      </c>
      <c r="M2" s="12">
        <f>L2*POWER(K2-$D$121,2)</f>
        <v>2.5380601401501176E-3</v>
      </c>
      <c r="N2" s="12">
        <f>K2*L2</f>
        <v>4.7238372093023253E-3</v>
      </c>
      <c r="O2" s="21">
        <f t="shared" ref="O2:O45" si="0">J2*K2</f>
        <v>576888</v>
      </c>
      <c r="P2" s="11" t="s">
        <v>21</v>
      </c>
      <c r="Q2" s="17">
        <f>W2-J2</f>
        <v>360555</v>
      </c>
      <c r="R2" s="12">
        <f t="shared" ref="R2:R37" si="1">K2*2</f>
        <v>4</v>
      </c>
      <c r="S2" s="12">
        <f>Q2/$F$17</f>
        <v>2.9523982558139535E-3</v>
      </c>
      <c r="T2" s="12">
        <f>R2*S2</f>
        <v>1.1809593023255814E-2</v>
      </c>
      <c r="U2" s="17">
        <f>Q2*R2</f>
        <v>1442220</v>
      </c>
      <c r="V2" s="78">
        <f t="shared" ref="V2:V37" si="2">S2*POWER(R2-$D$121,2)</f>
        <v>2.7224197712319112E-2</v>
      </c>
      <c r="W2" s="11">
        <f>(B2+B14)*(C2+C14)*(D15-D14-D2)*E15*F15-B14*C14*(D15-D14-D2)*E15*F15</f>
        <v>648999</v>
      </c>
      <c r="X2" s="12">
        <f t="shared" ref="X2:X45" si="3">T2+N2</f>
        <v>1.6533430232558141E-2</v>
      </c>
      <c r="Y2" s="4">
        <f t="shared" ref="Y2:Y45" si="4">(Q2+J2)/$F$17</f>
        <v>5.3143168604651162E-3</v>
      </c>
      <c r="Z2" s="8"/>
      <c r="AA2" s="8"/>
      <c r="AB2" s="8"/>
      <c r="AC2" s="8"/>
    </row>
    <row r="3" spans="1:29" x14ac:dyDescent="0.25">
      <c r="A3" s="7" t="s">
        <v>6</v>
      </c>
      <c r="B3" s="7">
        <v>5</v>
      </c>
      <c r="C3" s="7">
        <v>4</v>
      </c>
      <c r="D3" s="7">
        <v>6</v>
      </c>
      <c r="E3" s="7">
        <v>3</v>
      </c>
      <c r="F3" s="7">
        <v>2</v>
      </c>
      <c r="G3" s="8"/>
      <c r="H3" s="8"/>
      <c r="I3" s="11" t="s">
        <v>22</v>
      </c>
      <c r="J3" s="17">
        <f>B2*C2*D2*(E15-E14-E2)*F15</f>
        <v>18576</v>
      </c>
      <c r="K3" s="12">
        <v>5</v>
      </c>
      <c r="L3" s="12">
        <f t="shared" ref="L3:L44" si="5">J3/$F$17</f>
        <v>1.5210924824229314E-4</v>
      </c>
      <c r="M3" s="12">
        <f t="shared" ref="M3:M45" si="6">L3*POWER(K3-$D$121,2)</f>
        <v>2.4785106761213045E-3</v>
      </c>
      <c r="N3" s="12">
        <f t="shared" ref="N3:N44" si="7">K3*L3</f>
        <v>7.605462412114657E-4</v>
      </c>
      <c r="O3" s="21">
        <f t="shared" si="0"/>
        <v>92880</v>
      </c>
      <c r="P3" s="11" t="s">
        <v>22</v>
      </c>
      <c r="Q3" s="17">
        <f>B2*C2*D14*(E15-E14-E2)*F15+B2*C14*D2*(E15-E14-E2)*F15+B14*C2*D2*(E15-E14-E2)*F15+B2*C14*D14*(E15-E14-E2)*F15+B14*C2*D14*(E15-E14-E2)*F15+B14*C14*D2*(E15-E14-E2)*F15</f>
        <v>41796</v>
      </c>
      <c r="R3" s="12">
        <f t="shared" si="1"/>
        <v>10</v>
      </c>
      <c r="S3" s="12">
        <f t="shared" ref="S3:S37" si="8">Q3/$F$17</f>
        <v>3.4224580854515956E-4</v>
      </c>
      <c r="T3" s="12">
        <f t="shared" ref="T3:T37" si="9">R3*S3</f>
        <v>3.4224580854515956E-3</v>
      </c>
      <c r="U3" s="17">
        <f t="shared" ref="U3:U37" si="10">Q3*R3</f>
        <v>417960</v>
      </c>
      <c r="V3" s="78">
        <f t="shared" si="2"/>
        <v>2.79479480641509E-2</v>
      </c>
      <c r="W3" s="11">
        <f>(B2+$B$14)*(C2+$C$14)*($D$14+D2)*($E$15-$E$14-E2)*$F$15-$B$14*$C$14*$D$14*($E$15-$E$14-E2)*$F$15</f>
        <v>60372</v>
      </c>
      <c r="X3" s="12">
        <f t="shared" si="3"/>
        <v>4.1830043266630618E-3</v>
      </c>
      <c r="Y3" s="4">
        <f t="shared" si="4"/>
        <v>4.943550567874527E-4</v>
      </c>
      <c r="Z3" s="8"/>
      <c r="AA3" s="8"/>
      <c r="AB3" s="8"/>
      <c r="AC3" s="8"/>
    </row>
    <row r="4" spans="1:29" x14ac:dyDescent="0.25">
      <c r="A4" s="7" t="s">
        <v>7</v>
      </c>
      <c r="B4" s="7">
        <v>3</v>
      </c>
      <c r="C4" s="7">
        <v>9</v>
      </c>
      <c r="D4" s="7">
        <v>4</v>
      </c>
      <c r="E4" s="7">
        <v>6</v>
      </c>
      <c r="F4" s="7">
        <v>6</v>
      </c>
      <c r="G4" s="8"/>
      <c r="H4" s="8"/>
      <c r="I4" s="11" t="s">
        <v>23</v>
      </c>
      <c r="J4" s="17">
        <f>B2*C2*D2*E2*(F15-F14-F2)</f>
        <v>2160</v>
      </c>
      <c r="K4" s="12">
        <v>25</v>
      </c>
      <c r="L4" s="12">
        <f t="shared" si="5"/>
        <v>1.7687121888638738E-5</v>
      </c>
      <c r="M4" s="12">
        <f t="shared" si="6"/>
        <v>1.021889342409988E-2</v>
      </c>
      <c r="N4" s="12">
        <f t="shared" si="7"/>
        <v>4.4217804721596843E-4</v>
      </c>
      <c r="O4" s="21">
        <f t="shared" si="0"/>
        <v>54000</v>
      </c>
      <c r="P4" s="11" t="s">
        <v>23</v>
      </c>
      <c r="Q4" s="17">
        <f>W4-J4-(B14*C14*D14*E2*(F15-F14-F2))</f>
        <v>7668</v>
      </c>
      <c r="R4" s="12">
        <f t="shared" si="1"/>
        <v>50</v>
      </c>
      <c r="S4" s="12">
        <f t="shared" si="8"/>
        <v>6.2789282704667508E-5</v>
      </c>
      <c r="T4" s="12">
        <f t="shared" si="9"/>
        <v>3.1394641352333755E-3</v>
      </c>
      <c r="U4" s="17">
        <f t="shared" si="10"/>
        <v>383400</v>
      </c>
      <c r="V4" s="78">
        <f t="shared" si="2"/>
        <v>0.15098247157876171</v>
      </c>
      <c r="W4" s="11">
        <f>(B2+$B$14)*(C2+$C$14)*($D$14+D2)*($E$14+E2)*($F$15-$F$14-F2)-$B$14*$C$14*$D$14*$E$14*($F$15-$F$14-F2)</f>
        <v>10008</v>
      </c>
      <c r="X4" s="12">
        <f t="shared" si="3"/>
        <v>3.5816421824493442E-3</v>
      </c>
      <c r="Y4" s="4">
        <f t="shared" si="4"/>
        <v>8.0476404593306252E-5</v>
      </c>
      <c r="Z4" s="8"/>
      <c r="AA4" s="8"/>
      <c r="AB4" s="8"/>
      <c r="AC4" s="8"/>
    </row>
    <row r="5" spans="1:29" x14ac:dyDescent="0.25">
      <c r="A5" s="7" t="s">
        <v>8</v>
      </c>
      <c r="B5" s="7">
        <v>6</v>
      </c>
      <c r="C5" s="7">
        <v>4</v>
      </c>
      <c r="D5" s="7">
        <v>6</v>
      </c>
      <c r="E5" s="7">
        <v>3</v>
      </c>
      <c r="F5" s="7">
        <v>2</v>
      </c>
      <c r="G5" s="8"/>
      <c r="H5" s="8"/>
      <c r="I5" s="11" t="s">
        <v>24</v>
      </c>
      <c r="J5" s="17">
        <f>B2*C2*D2*E2*F2</f>
        <v>360</v>
      </c>
      <c r="K5" s="12">
        <v>100</v>
      </c>
      <c r="L5" s="12">
        <f t="shared" si="5"/>
        <v>2.9478536481064561E-6</v>
      </c>
      <c r="M5" s="12">
        <f t="shared" si="6"/>
        <v>2.8913290214445036E-2</v>
      </c>
      <c r="N5" s="12">
        <f t="shared" si="7"/>
        <v>2.947853648106456E-4</v>
      </c>
      <c r="O5" s="21">
        <f t="shared" si="0"/>
        <v>36000</v>
      </c>
      <c r="P5" s="11" t="s">
        <v>24</v>
      </c>
      <c r="Q5" s="17">
        <f>W5-J5-(B14*C14*D14*E14*F2)</f>
        <v>1586</v>
      </c>
      <c r="R5" s="12">
        <f t="shared" si="1"/>
        <v>200</v>
      </c>
      <c r="S5" s="12">
        <f t="shared" si="8"/>
        <v>1.2986933016380109E-5</v>
      </c>
      <c r="T5" s="12">
        <f t="shared" si="9"/>
        <v>2.5973866032760217E-3</v>
      </c>
      <c r="U5" s="17">
        <f t="shared" si="10"/>
        <v>317200</v>
      </c>
      <c r="V5" s="78">
        <f t="shared" si="2"/>
        <v>0.51448481974376958</v>
      </c>
      <c r="W5" s="11">
        <f>(B2+$B$14)*(C2+$C$14)*($D$14+D2)*($E$14+E2)*($F$14+F2)-$B$14*$C$14*$D$14*$E$14*$F$14</f>
        <v>1958</v>
      </c>
      <c r="X5" s="12">
        <f t="shared" si="3"/>
        <v>2.8921719680866675E-3</v>
      </c>
      <c r="Y5" s="4">
        <f t="shared" si="4"/>
        <v>1.5934786664486566E-5</v>
      </c>
      <c r="Z5" s="8"/>
      <c r="AA5" s="8"/>
      <c r="AB5" s="8"/>
      <c r="AC5" s="8"/>
    </row>
    <row r="6" spans="1:29" x14ac:dyDescent="0.25">
      <c r="A6" s="7" t="s">
        <v>9</v>
      </c>
      <c r="B6" s="7">
        <v>3</v>
      </c>
      <c r="C6" s="7">
        <v>7</v>
      </c>
      <c r="D6" s="7">
        <v>3</v>
      </c>
      <c r="E6" s="7">
        <v>4</v>
      </c>
      <c r="F6" s="7">
        <v>6</v>
      </c>
      <c r="G6" s="8"/>
      <c r="H6" s="8"/>
      <c r="I6" s="11" t="s">
        <v>25</v>
      </c>
      <c r="J6" s="17">
        <f>B3*C3*D3*(E15-E14-E3)*F15</f>
        <v>196080</v>
      </c>
      <c r="K6" s="12">
        <v>5</v>
      </c>
      <c r="L6" s="12">
        <f t="shared" si="5"/>
        <v>1.6055976203353164E-3</v>
      </c>
      <c r="M6" s="12">
        <f t="shared" si="6"/>
        <v>2.6162057136835989E-2</v>
      </c>
      <c r="N6" s="12">
        <f t="shared" si="7"/>
        <v>8.0279881016765819E-3</v>
      </c>
      <c r="O6" s="21">
        <f t="shared" si="0"/>
        <v>980400</v>
      </c>
      <c r="P6" s="11" t="s">
        <v>25</v>
      </c>
      <c r="Q6" s="17">
        <f>W6-J6</f>
        <v>145426</v>
      </c>
      <c r="R6" s="12">
        <f t="shared" si="1"/>
        <v>10</v>
      </c>
      <c r="S6" s="12">
        <f t="shared" si="8"/>
        <v>1.1908182350820263E-3</v>
      </c>
      <c r="T6" s="12">
        <f t="shared" si="9"/>
        <v>1.1908182350820263E-2</v>
      </c>
      <c r="U6" s="17">
        <f t="shared" si="10"/>
        <v>1454260</v>
      </c>
      <c r="V6" s="78">
        <f t="shared" si="2"/>
        <v>9.7242757564771951E-2</v>
      </c>
      <c r="W6" s="11">
        <f>(B3+$B$14)*(C3+$C$14)*($D$14+D3)*($E$15-$E$14-E3)*$F$15-$B$14*$C$14*$D$14*($E$15-$E$14-E3)*$F$15</f>
        <v>341506</v>
      </c>
      <c r="X6" s="12">
        <f t="shared" si="3"/>
        <v>1.9936170452496845E-2</v>
      </c>
      <c r="Y6" s="4">
        <f t="shared" si="4"/>
        <v>2.7964158554173429E-3</v>
      </c>
      <c r="Z6" s="8"/>
      <c r="AA6" s="8"/>
      <c r="AB6" s="8"/>
      <c r="AC6" s="8"/>
    </row>
    <row r="7" spans="1:29" x14ac:dyDescent="0.25">
      <c r="A7" s="7" t="s">
        <v>10</v>
      </c>
      <c r="B7" s="7">
        <v>4</v>
      </c>
      <c r="C7" s="7">
        <v>3</v>
      </c>
      <c r="D7" s="7">
        <v>5</v>
      </c>
      <c r="E7" s="7">
        <v>3</v>
      </c>
      <c r="F7" s="7">
        <v>3</v>
      </c>
      <c r="G7" s="8"/>
      <c r="H7" s="8"/>
      <c r="I7" s="11" t="s">
        <v>26</v>
      </c>
      <c r="J7" s="17">
        <f>B3*C3*D3*E3*(F15-F3-F14)</f>
        <v>14400</v>
      </c>
      <c r="K7" s="12">
        <v>25</v>
      </c>
      <c r="L7" s="12">
        <f t="shared" si="5"/>
        <v>1.1791414592425824E-4</v>
      </c>
      <c r="M7" s="12">
        <f t="shared" si="6"/>
        <v>6.8125956160665857E-2</v>
      </c>
      <c r="N7" s="12">
        <f>K7*L7</f>
        <v>2.9478536481064559E-3</v>
      </c>
      <c r="O7" s="21">
        <f t="shared" si="0"/>
        <v>360000</v>
      </c>
      <c r="P7" s="11" t="s">
        <v>26</v>
      </c>
      <c r="Q7" s="17">
        <f>W7-J7-(B14*C14*D14*E3*(F15-F14-F3))</f>
        <v>27400</v>
      </c>
      <c r="R7" s="12">
        <f t="shared" si="1"/>
        <v>50</v>
      </c>
      <c r="S7" s="12">
        <f t="shared" si="8"/>
        <v>2.2436441655032471E-4</v>
      </c>
      <c r="T7" s="12">
        <f t="shared" si="9"/>
        <v>1.1218220827516235E-2</v>
      </c>
      <c r="U7" s="17">
        <f t="shared" si="10"/>
        <v>1370000</v>
      </c>
      <c r="V7" s="78">
        <f t="shared" si="2"/>
        <v>0.53950439766015534</v>
      </c>
      <c r="W7" s="11">
        <f>(B3+$B$14)*(C3+$C$14)*($D$14+D3)*($E$14+E3)*($F$15-$F$14-F3)-$B$14*$C$14*$D$14*$E$14*($F$15-$F$14-F3)</f>
        <v>41920</v>
      </c>
      <c r="X7" s="12">
        <f t="shared" si="3"/>
        <v>1.4166074475622691E-2</v>
      </c>
      <c r="Y7" s="4">
        <f t="shared" si="4"/>
        <v>3.4227856247458297E-4</v>
      </c>
      <c r="Z7" s="8"/>
      <c r="AA7" s="8"/>
      <c r="AB7" s="8"/>
      <c r="AC7" s="8"/>
    </row>
    <row r="8" spans="1:29" x14ac:dyDescent="0.25">
      <c r="A8" s="7" t="s">
        <v>11</v>
      </c>
      <c r="B8" s="7">
        <v>2</v>
      </c>
      <c r="C8" s="7">
        <v>3</v>
      </c>
      <c r="D8" s="7">
        <v>3</v>
      </c>
      <c r="E8" s="7">
        <v>5</v>
      </c>
      <c r="F8" s="7">
        <v>2</v>
      </c>
      <c r="G8" s="8"/>
      <c r="H8" s="8"/>
      <c r="I8" s="11" t="s">
        <v>27</v>
      </c>
      <c r="J8" s="17">
        <f>B3*C3*D3*E3*F3</f>
        <v>720</v>
      </c>
      <c r="K8" s="12">
        <v>100</v>
      </c>
      <c r="L8" s="12">
        <f t="shared" si="5"/>
        <v>5.8957072962129123E-6</v>
      </c>
      <c r="M8" s="12">
        <f t="shared" si="6"/>
        <v>5.7826580428890072E-2</v>
      </c>
      <c r="N8" s="12">
        <f t="shared" si="7"/>
        <v>5.8957072962129121E-4</v>
      </c>
      <c r="O8" s="21">
        <f t="shared" si="0"/>
        <v>72000</v>
      </c>
      <c r="P8" s="11" t="s">
        <v>27</v>
      </c>
      <c r="Q8" s="17">
        <f>W8-J8-(B14*C14*D14*E14*F3)</f>
        <v>2424</v>
      </c>
      <c r="R8" s="12">
        <f t="shared" si="1"/>
        <v>200</v>
      </c>
      <c r="S8" s="12">
        <f t="shared" si="8"/>
        <v>1.984888123058347E-5</v>
      </c>
      <c r="T8" s="12">
        <f t="shared" si="9"/>
        <v>3.9697762461166942E-3</v>
      </c>
      <c r="U8" s="17">
        <f t="shared" si="10"/>
        <v>484800</v>
      </c>
      <c r="V8" s="78">
        <f t="shared" si="2"/>
        <v>0.78632484429943095</v>
      </c>
      <c r="W8" s="11">
        <f>(B3+$B$14)*(C3+$C$14)*($D$14+D3)*($E$14+E3)*($F$14+F3)-$B$14*$C$14*$D$14*$E$14*$F$14</f>
        <v>3148</v>
      </c>
      <c r="X8" s="12">
        <f t="shared" si="3"/>
        <v>4.5593469757379858E-3</v>
      </c>
      <c r="Y8" s="4">
        <f t="shared" si="4"/>
        <v>2.5744588526796381E-5</v>
      </c>
      <c r="Z8" s="8"/>
      <c r="AA8" s="8"/>
      <c r="AB8" s="8"/>
      <c r="AC8" s="8"/>
    </row>
    <row r="9" spans="1:29" x14ac:dyDescent="0.25">
      <c r="A9" s="7" t="s">
        <v>12</v>
      </c>
      <c r="B9" s="7">
        <v>2</v>
      </c>
      <c r="C9" s="7">
        <v>4</v>
      </c>
      <c r="D9" s="7">
        <v>2</v>
      </c>
      <c r="E9" s="7">
        <v>4</v>
      </c>
      <c r="F9" s="7">
        <v>4</v>
      </c>
      <c r="G9" s="8"/>
      <c r="H9" s="8"/>
      <c r="I9" s="11" t="s">
        <v>28</v>
      </c>
      <c r="J9" s="17">
        <f>B4*C4*D4*(E15-E14-E4)*F15</f>
        <v>162540</v>
      </c>
      <c r="K9" s="12">
        <v>5</v>
      </c>
      <c r="L9" s="12">
        <f t="shared" si="5"/>
        <v>1.330955922120065E-3</v>
      </c>
      <c r="M9" s="12">
        <f t="shared" si="6"/>
        <v>2.1686968416061415E-2</v>
      </c>
      <c r="N9" s="12">
        <f t="shared" si="7"/>
        <v>6.6547796106003251E-3</v>
      </c>
      <c r="O9" s="21">
        <f t="shared" si="0"/>
        <v>812700</v>
      </c>
      <c r="P9" s="11" t="s">
        <v>28</v>
      </c>
      <c r="Q9" s="17">
        <f>W9-J9</f>
        <v>136955</v>
      </c>
      <c r="R9" s="12">
        <f t="shared" si="1"/>
        <v>10</v>
      </c>
      <c r="S9" s="12">
        <f t="shared" si="8"/>
        <v>1.1214536010456103E-3</v>
      </c>
      <c r="T9" s="12">
        <f t="shared" si="9"/>
        <v>1.1214536010456104E-2</v>
      </c>
      <c r="U9" s="17">
        <f t="shared" si="10"/>
        <v>1369550</v>
      </c>
      <c r="V9" s="78">
        <f t="shared" si="2"/>
        <v>9.1578410066173482E-2</v>
      </c>
      <c r="W9" s="11">
        <f>(B4+$B$14)*(C4+$C$14)*($D$14+D4)*($E$15-$E$14-E4)*$F$15-$B$14*$C$14*$D$14*($E$15-$E$14-E4)*$F$15</f>
        <v>299495</v>
      </c>
      <c r="X9" s="12">
        <f t="shared" si="3"/>
        <v>1.7869315621056429E-2</v>
      </c>
      <c r="Y9" s="4">
        <f t="shared" si="4"/>
        <v>2.4524095231656753E-3</v>
      </c>
      <c r="Z9" s="8"/>
      <c r="AA9" s="8"/>
      <c r="AB9" s="8"/>
      <c r="AC9" s="8"/>
    </row>
    <row r="10" spans="1:29" x14ac:dyDescent="0.25">
      <c r="A10" s="7" t="s">
        <v>13</v>
      </c>
      <c r="B10" s="7">
        <v>2</v>
      </c>
      <c r="C10" s="7">
        <v>3</v>
      </c>
      <c r="D10" s="7">
        <v>3</v>
      </c>
      <c r="E10" s="7">
        <v>2</v>
      </c>
      <c r="F10" s="7">
        <v>3</v>
      </c>
      <c r="G10" s="8"/>
      <c r="H10" s="8"/>
      <c r="I10" s="11" t="s">
        <v>29</v>
      </c>
      <c r="J10" s="17">
        <f>B4*C4*D4*E4*(F15-F14-F4)</f>
        <v>23328</v>
      </c>
      <c r="K10" s="12">
        <v>25</v>
      </c>
      <c r="L10" s="12">
        <f t="shared" si="5"/>
        <v>1.9102091639729835E-4</v>
      </c>
      <c r="M10" s="12">
        <f t="shared" si="6"/>
        <v>0.1103640489802787</v>
      </c>
      <c r="N10" s="12">
        <f t="shared" si="7"/>
        <v>4.7755229099324583E-3</v>
      </c>
      <c r="O10" s="21">
        <f t="shared" si="0"/>
        <v>583200</v>
      </c>
      <c r="P10" s="11" t="s">
        <v>29</v>
      </c>
      <c r="Q10" s="17">
        <f>W10-J10-(B14*C14*D14*E4*(F15-F14-F4))</f>
        <v>33984</v>
      </c>
      <c r="R10" s="12">
        <f t="shared" si="1"/>
        <v>50</v>
      </c>
      <c r="S10" s="12">
        <f t="shared" si="8"/>
        <v>2.7827738438124944E-4</v>
      </c>
      <c r="T10" s="12">
        <f t="shared" si="9"/>
        <v>1.3913869219062472E-2</v>
      </c>
      <c r="U10" s="17">
        <f t="shared" si="10"/>
        <v>1699200</v>
      </c>
      <c r="V10" s="78">
        <f t="shared" si="2"/>
        <v>0.66914297263075617</v>
      </c>
      <c r="W10" s="11">
        <f>(B4+$B$14)*(C4+$C$14)*($D$14+D4)*($E$14+E4)*($F$15-$F$14-F4)-$B$14*$C$14*$D$14*$E$14*($F$15-$F$14-F4)</f>
        <v>57528</v>
      </c>
      <c r="X10" s="12">
        <f t="shared" si="3"/>
        <v>1.8689392128994932E-2</v>
      </c>
      <c r="Y10" s="4">
        <f t="shared" si="4"/>
        <v>4.6929830077854778E-4</v>
      </c>
      <c r="Z10" s="8"/>
      <c r="AA10" s="8"/>
      <c r="AB10" s="8"/>
      <c r="AC10" s="8"/>
    </row>
    <row r="11" spans="1:29" x14ac:dyDescent="0.25">
      <c r="A11" s="7" t="s">
        <v>14</v>
      </c>
      <c r="B11" s="7">
        <v>1</v>
      </c>
      <c r="C11" s="7">
        <v>2</v>
      </c>
      <c r="D11" s="7">
        <v>3</v>
      </c>
      <c r="E11" s="7">
        <v>2</v>
      </c>
      <c r="F11" s="7">
        <v>5</v>
      </c>
      <c r="G11" s="8"/>
      <c r="H11" s="8"/>
      <c r="I11" s="11" t="s">
        <v>30</v>
      </c>
      <c r="J11" s="17">
        <f>B4*C4*D4*E4*F4</f>
        <v>3888</v>
      </c>
      <c r="K11" s="12">
        <v>100</v>
      </c>
      <c r="L11" s="12">
        <f t="shared" si="5"/>
        <v>3.1836819399549722E-5</v>
      </c>
      <c r="M11" s="12">
        <f t="shared" si="6"/>
        <v>0.31226353431600634</v>
      </c>
      <c r="N11" s="12">
        <f t="shared" si="7"/>
        <v>3.1836819399549722E-3</v>
      </c>
      <c r="O11" s="21">
        <f t="shared" si="0"/>
        <v>388800</v>
      </c>
      <c r="P11" s="11" t="s">
        <v>30</v>
      </c>
      <c r="Q11" s="17">
        <f>W11-J11-(B14*C14*D14*E14*F4)</f>
        <v>7298</v>
      </c>
      <c r="R11" s="12">
        <f t="shared" si="1"/>
        <v>200</v>
      </c>
      <c r="S11" s="12">
        <f t="shared" si="8"/>
        <v>5.9759544233002545E-5</v>
      </c>
      <c r="T11" s="12">
        <f t="shared" si="9"/>
        <v>1.1951908846600509E-2</v>
      </c>
      <c r="U11" s="17">
        <f t="shared" si="10"/>
        <v>1459600</v>
      </c>
      <c r="V11" s="78">
        <f t="shared" si="2"/>
        <v>2.3674087102711416</v>
      </c>
      <c r="W11" s="11">
        <f>(B4+$B$14)*(C4+$C$14)*($D$14+D4)*($E$14+E4)*($F$14+F4)-$B$14*$C$14*$D$14*$E$14*$F$14</f>
        <v>11198</v>
      </c>
      <c r="X11" s="12">
        <f t="shared" si="3"/>
        <v>1.5135590786555481E-2</v>
      </c>
      <c r="Y11" s="4">
        <f t="shared" si="4"/>
        <v>9.1596363632552274E-5</v>
      </c>
      <c r="Z11" s="8"/>
      <c r="AA11" s="8"/>
      <c r="AB11" s="8"/>
      <c r="AC11" s="8"/>
    </row>
    <row r="12" spans="1:29" x14ac:dyDescent="0.25">
      <c r="A12" s="7" t="s">
        <v>15</v>
      </c>
      <c r="B12" s="7">
        <v>1</v>
      </c>
      <c r="C12" s="7">
        <v>2</v>
      </c>
      <c r="D12" s="7">
        <v>3</v>
      </c>
      <c r="E12" s="7">
        <v>3</v>
      </c>
      <c r="F12" s="7">
        <v>2</v>
      </c>
      <c r="G12" s="8"/>
      <c r="H12" s="8"/>
      <c r="I12" s="11" t="s">
        <v>31</v>
      </c>
      <c r="J12" s="17">
        <f>$B5*$C5*$D5*($E$15-$E$14-$E5)*$F$15</f>
        <v>235296</v>
      </c>
      <c r="K12" s="12">
        <v>5</v>
      </c>
      <c r="L12" s="12">
        <f t="shared" si="5"/>
        <v>1.9267171444023797E-3</v>
      </c>
      <c r="M12" s="12">
        <f t="shared" si="6"/>
        <v>3.1394468564203186E-2</v>
      </c>
      <c r="N12" s="12">
        <f t="shared" si="7"/>
        <v>9.6335857220118983E-3</v>
      </c>
      <c r="O12" s="21">
        <f t="shared" si="0"/>
        <v>1176480</v>
      </c>
      <c r="P12" s="11" t="s">
        <v>31</v>
      </c>
      <c r="Q12" s="17">
        <f>W12-J12</f>
        <v>163400</v>
      </c>
      <c r="R12" s="12">
        <f t="shared" si="1"/>
        <v>10</v>
      </c>
      <c r="S12" s="12">
        <f t="shared" si="8"/>
        <v>1.3379980169460971E-3</v>
      </c>
      <c r="T12" s="12">
        <f t="shared" si="9"/>
        <v>1.3379980169460971E-2</v>
      </c>
      <c r="U12" s="17">
        <f t="shared" si="10"/>
        <v>1634000</v>
      </c>
      <c r="V12" s="78">
        <f t="shared" si="2"/>
        <v>0.10926152535367636</v>
      </c>
      <c r="W12" s="11">
        <f>(B5+$B$14)*(C5+$C$14)*($D$14+D5)*($E$15-$E$14-E5)*$F$15-$B$14*$C$14*$D$14*($E$15-$E$14-E5)*$F$15</f>
        <v>398696</v>
      </c>
      <c r="X12" s="12">
        <f t="shared" si="3"/>
        <v>2.3013565891472867E-2</v>
      </c>
      <c r="Y12" s="4">
        <f t="shared" si="4"/>
        <v>3.2647151613484767E-3</v>
      </c>
      <c r="Z12" s="8"/>
      <c r="AA12" s="8"/>
      <c r="AB12" s="8"/>
      <c r="AC12" s="8"/>
    </row>
    <row r="13" spans="1:29" x14ac:dyDescent="0.25">
      <c r="A13" s="7" t="s">
        <v>16</v>
      </c>
      <c r="B13" s="7">
        <v>1</v>
      </c>
      <c r="C13" s="7">
        <v>2</v>
      </c>
      <c r="D13" s="7">
        <v>1</v>
      </c>
      <c r="E13" s="7">
        <v>1</v>
      </c>
      <c r="F13" s="7">
        <v>1</v>
      </c>
      <c r="G13" s="8"/>
      <c r="H13" s="8"/>
      <c r="I13" s="11" t="s">
        <v>32</v>
      </c>
      <c r="J13" s="17">
        <f>$B5*$C5*$D5*$E5*($F$15-$F$14-$F5)</f>
        <v>17280</v>
      </c>
      <c r="K13" s="12">
        <v>25</v>
      </c>
      <c r="L13" s="12">
        <f t="shared" si="5"/>
        <v>1.414969751091099E-4</v>
      </c>
      <c r="M13" s="12">
        <f t="shared" si="6"/>
        <v>8.175114739279904E-2</v>
      </c>
      <c r="N13" s="12">
        <f t="shared" si="7"/>
        <v>3.5374243777277475E-3</v>
      </c>
      <c r="O13" s="21">
        <f t="shared" si="0"/>
        <v>432000</v>
      </c>
      <c r="P13" s="11" t="s">
        <v>32</v>
      </c>
      <c r="Q13" s="17">
        <f>W13-J13-(B14*C14*D14*E5*(F15-F14-F5))</f>
        <v>31520</v>
      </c>
      <c r="R13" s="12">
        <f t="shared" si="1"/>
        <v>50</v>
      </c>
      <c r="S13" s="12">
        <f t="shared" si="8"/>
        <v>2.5810096385643194E-4</v>
      </c>
      <c r="T13" s="12">
        <f t="shared" si="9"/>
        <v>1.2905048192821596E-2</v>
      </c>
      <c r="U13" s="17">
        <f t="shared" si="10"/>
        <v>1576000</v>
      </c>
      <c r="V13" s="78">
        <f t="shared" si="2"/>
        <v>0.62062695672438317</v>
      </c>
      <c r="W13" s="11">
        <f>(B5+$B$14)*(C5+$C$14)*($D$14+D5)*($E$14+E5)*($F$15-$F$14-F5)-$B$14*$C$14*$D$14*$E$14*($F$15-$F$14-F5)</f>
        <v>48920</v>
      </c>
      <c r="X13" s="12">
        <f t="shared" si="3"/>
        <v>1.6442472570549344E-2</v>
      </c>
      <c r="Y13" s="4">
        <f t="shared" si="4"/>
        <v>3.9959793896554184E-4</v>
      </c>
      <c r="Z13" s="8"/>
      <c r="AA13" s="8"/>
      <c r="AB13" s="8"/>
      <c r="AC13" s="8"/>
    </row>
    <row r="14" spans="1:29" x14ac:dyDescent="0.25">
      <c r="A14" s="7" t="s">
        <v>17</v>
      </c>
      <c r="B14" s="7">
        <v>1</v>
      </c>
      <c r="C14" s="7">
        <v>1</v>
      </c>
      <c r="D14" s="7">
        <v>1</v>
      </c>
      <c r="E14" s="7">
        <v>2</v>
      </c>
      <c r="F14" s="7">
        <v>1</v>
      </c>
      <c r="G14" s="8"/>
      <c r="H14" s="8"/>
      <c r="I14" s="11" t="s">
        <v>33</v>
      </c>
      <c r="J14" s="17">
        <f>$B5*$C5*$D5*$E5*$F5</f>
        <v>864</v>
      </c>
      <c r="K14" s="12">
        <v>100</v>
      </c>
      <c r="L14" s="12">
        <f t="shared" si="5"/>
        <v>7.0748487554554949E-6</v>
      </c>
      <c r="M14" s="12">
        <f t="shared" si="6"/>
        <v>6.9391896514668094E-2</v>
      </c>
      <c r="N14" s="12">
        <f t="shared" si="7"/>
        <v>7.0748487554554945E-4</v>
      </c>
      <c r="O14" s="21">
        <f t="shared" si="0"/>
        <v>86400</v>
      </c>
      <c r="P14" s="11" t="s">
        <v>33</v>
      </c>
      <c r="Q14" s="17">
        <f>W14-J14-(B14*C14*D14*E14*F5)</f>
        <v>2805</v>
      </c>
      <c r="R14" s="12">
        <f t="shared" si="1"/>
        <v>200</v>
      </c>
      <c r="S14" s="12">
        <f t="shared" si="8"/>
        <v>2.2968693008162802E-5</v>
      </c>
      <c r="T14" s="12">
        <f t="shared" si="9"/>
        <v>4.5937386016325606E-3</v>
      </c>
      <c r="U14" s="17">
        <f t="shared" si="10"/>
        <v>561000</v>
      </c>
      <c r="V14" s="78">
        <f t="shared" si="2"/>
        <v>0.90991798195540596</v>
      </c>
      <c r="W14" s="11">
        <f>(B5+$B$14)*(C5+$C$14)*($D$14+D5)*($E$14+E5)*($F$14+F5)-$B$14*$C$14*$D$14*$E$14*$F$14</f>
        <v>3673</v>
      </c>
      <c r="X14" s="12">
        <f t="shared" si="3"/>
        <v>5.3012234771781103E-3</v>
      </c>
      <c r="Y14" s="4">
        <f t="shared" si="4"/>
        <v>3.0043541763618298E-5</v>
      </c>
      <c r="Z14" s="8"/>
      <c r="AA14" s="8"/>
      <c r="AB14" s="8"/>
      <c r="AC14" s="8"/>
    </row>
    <row r="15" spans="1:29" x14ac:dyDescent="0.25">
      <c r="A15" s="7" t="s">
        <v>18</v>
      </c>
      <c r="B15" s="7">
        <f>SUM(B2:B14)</f>
        <v>32</v>
      </c>
      <c r="C15" s="7">
        <f>SUM(C2:C14)</f>
        <v>48</v>
      </c>
      <c r="D15" s="7">
        <f>SUM(D2:D14)</f>
        <v>43</v>
      </c>
      <c r="E15" s="7">
        <f>SUM(E2:E14)</f>
        <v>43</v>
      </c>
      <c r="F15" s="7">
        <f>SUM(F2:F14)</f>
        <v>43</v>
      </c>
      <c r="G15" s="8"/>
      <c r="H15" s="8"/>
      <c r="I15" s="11" t="s">
        <v>34</v>
      </c>
      <c r="J15" s="17">
        <f>B6*C6*D6*(E15-E14-E6)*F15</f>
        <v>100233</v>
      </c>
      <c r="K15" s="12">
        <v>10</v>
      </c>
      <c r="L15" s="12">
        <f t="shared" si="5"/>
        <v>8.2075615197403997E-4</v>
      </c>
      <c r="M15" s="12">
        <f t="shared" si="6"/>
        <v>6.7023319894584099E-2</v>
      </c>
      <c r="N15" s="12">
        <f t="shared" si="7"/>
        <v>8.2075615197404004E-3</v>
      </c>
      <c r="O15" s="21">
        <f t="shared" si="0"/>
        <v>1002330</v>
      </c>
      <c r="P15" s="11" t="s">
        <v>34</v>
      </c>
      <c r="Q15" s="17">
        <f>W15-J15</f>
        <v>101824</v>
      </c>
      <c r="R15" s="12">
        <f t="shared" si="1"/>
        <v>20</v>
      </c>
      <c r="S15" s="12">
        <f t="shared" si="8"/>
        <v>8.3378402740219939E-4</v>
      </c>
      <c r="T15" s="12">
        <f t="shared" si="9"/>
        <v>1.6675680548043987E-2</v>
      </c>
      <c r="U15" s="17">
        <f t="shared" si="10"/>
        <v>2036480</v>
      </c>
      <c r="V15" s="78">
        <f t="shared" si="2"/>
        <v>0.30215732971010295</v>
      </c>
      <c r="W15" s="11">
        <f>(B6+$B$14)*(C6+$C$14)*($D$14+D6)*($E$15-$E$14-E6)*$F$15-$B$14*$C$14*$D$14*($E$15-$E$14-E6)*$F$15</f>
        <v>202057</v>
      </c>
      <c r="X15" s="12">
        <f t="shared" si="3"/>
        <v>2.4883242067784389E-2</v>
      </c>
      <c r="Y15" s="4">
        <f t="shared" si="4"/>
        <v>1.6545401793762395E-3</v>
      </c>
      <c r="Z15" s="8"/>
      <c r="AA15" s="8"/>
      <c r="AB15" s="8"/>
      <c r="AC15" s="8"/>
    </row>
    <row r="16" spans="1:29" x14ac:dyDescent="0.25">
      <c r="A16" s="8"/>
      <c r="B16" s="8"/>
      <c r="C16" s="8"/>
      <c r="D16" s="8"/>
      <c r="E16" s="8"/>
      <c r="F16" s="8"/>
      <c r="G16" s="8"/>
      <c r="H16" s="8"/>
      <c r="I16" s="11" t="s">
        <v>35</v>
      </c>
      <c r="J16" s="17">
        <f>B6*C6*D6*E6*(F15-F14-F6)</f>
        <v>9072</v>
      </c>
      <c r="K16" s="12">
        <v>50</v>
      </c>
      <c r="L16" s="12">
        <f t="shared" si="5"/>
        <v>7.4285911932282697E-5</v>
      </c>
      <c r="M16" s="12">
        <f t="shared" si="6"/>
        <v>0.17862714947346459</v>
      </c>
      <c r="N16" s="12">
        <f t="shared" si="7"/>
        <v>3.7142955966141347E-3</v>
      </c>
      <c r="O16" s="21">
        <f t="shared" si="0"/>
        <v>453600</v>
      </c>
      <c r="P16" s="11" t="s">
        <v>35</v>
      </c>
      <c r="Q16" s="17">
        <f>W16-J16-(B14*C14*D14*E6*(F15-F14-F6))</f>
        <v>18360</v>
      </c>
      <c r="R16" s="12">
        <f t="shared" si="1"/>
        <v>100</v>
      </c>
      <c r="S16" s="12">
        <f t="shared" si="8"/>
        <v>1.5034053605342927E-4</v>
      </c>
      <c r="T16" s="12">
        <f t="shared" si="9"/>
        <v>1.5034053605342927E-2</v>
      </c>
      <c r="U16" s="17">
        <f t="shared" si="10"/>
        <v>1836000</v>
      </c>
      <c r="V16" s="78">
        <f t="shared" si="2"/>
        <v>1.4745778009366968</v>
      </c>
      <c r="W16" s="11">
        <f>(B6+$B$14)*(C6+$C$14)*($D$14+D6)*($E$14+E6)*($F$15-$F$14-F6)-$B$14*$C$14*$D$14*$E$14*($F$15-$F$14-F6)</f>
        <v>27576</v>
      </c>
      <c r="X16" s="12">
        <f t="shared" si="3"/>
        <v>1.8748349201957063E-2</v>
      </c>
      <c r="Y16" s="4">
        <f t="shared" si="4"/>
        <v>2.2462644798571196E-4</v>
      </c>
      <c r="Z16" s="8"/>
      <c r="AA16" s="8"/>
      <c r="AB16" s="8"/>
      <c r="AC16" s="8"/>
    </row>
    <row r="17" spans="1:29" x14ac:dyDescent="0.25">
      <c r="A17" s="7" t="s">
        <v>58</v>
      </c>
      <c r="B17" s="7">
        <v>10</v>
      </c>
      <c r="C17" s="8"/>
      <c r="D17" s="7" t="s">
        <v>57</v>
      </c>
      <c r="E17" s="7"/>
      <c r="F17" s="23">
        <f>B15*C15*D15*E15*F15</f>
        <v>122122752</v>
      </c>
      <c r="G17" s="8"/>
      <c r="H17" s="8"/>
      <c r="I17" s="11" t="s">
        <v>36</v>
      </c>
      <c r="J17" s="17">
        <f>B6*C6*D6*E6*F6</f>
        <v>1512</v>
      </c>
      <c r="K17" s="12">
        <v>125</v>
      </c>
      <c r="L17" s="12">
        <f t="shared" si="5"/>
        <v>1.2380985322047115E-5</v>
      </c>
      <c r="M17" s="12">
        <f t="shared" si="6"/>
        <v>0.19048248004038668</v>
      </c>
      <c r="N17" s="12">
        <f t="shared" si="7"/>
        <v>1.5476231652558894E-3</v>
      </c>
      <c r="O17" s="21">
        <f t="shared" si="0"/>
        <v>189000</v>
      </c>
      <c r="P17" s="11" t="s">
        <v>36</v>
      </c>
      <c r="Q17" s="17">
        <f>W17-J17-(B14*C14*D14*E14*F6)</f>
        <v>3850</v>
      </c>
      <c r="R17" s="12">
        <f t="shared" si="1"/>
        <v>250</v>
      </c>
      <c r="S17" s="12">
        <f t="shared" si="8"/>
        <v>3.1525657070027376E-5</v>
      </c>
      <c r="T17" s="12">
        <f t="shared" si="9"/>
        <v>7.8814142675068446E-3</v>
      </c>
      <c r="U17" s="17">
        <f t="shared" si="10"/>
        <v>962500</v>
      </c>
      <c r="V17" s="78">
        <f t="shared" si="2"/>
        <v>1.9551971911576238</v>
      </c>
      <c r="W17" s="11">
        <f>(B6+$B$14)*(C6+$C$14)*($D$14+D6)*($E$14+E6)*($F$14+F6)-$B$14*$C$14*$D$14*$E$14*$F$14</f>
        <v>5374</v>
      </c>
      <c r="X17" s="12">
        <f t="shared" si="3"/>
        <v>9.4290374327627331E-3</v>
      </c>
      <c r="Y17" s="4">
        <f t="shared" si="4"/>
        <v>4.3906642392074494E-5</v>
      </c>
      <c r="Z17" s="8"/>
      <c r="AA17" s="8"/>
      <c r="AB17" s="8"/>
      <c r="AC17" s="8"/>
    </row>
    <row r="18" spans="1:29" x14ac:dyDescent="0.25">
      <c r="A18" s="8"/>
      <c r="B18" s="8"/>
      <c r="C18" s="8"/>
      <c r="D18" s="8"/>
      <c r="E18" s="8"/>
      <c r="F18" s="8"/>
      <c r="G18" s="8"/>
      <c r="H18" s="8"/>
      <c r="I18" s="11" t="s">
        <v>37</v>
      </c>
      <c r="J18" s="17">
        <f>B7*C7*D7*(E15-E14-E7)*F15</f>
        <v>98040</v>
      </c>
      <c r="K18" s="12">
        <v>10</v>
      </c>
      <c r="L18" s="12">
        <f t="shared" si="5"/>
        <v>8.0279881016765819E-4</v>
      </c>
      <c r="M18" s="12">
        <f t="shared" si="6"/>
        <v>6.5556915212205816E-2</v>
      </c>
      <c r="N18" s="12">
        <f t="shared" si="7"/>
        <v>8.0279881016765819E-3</v>
      </c>
      <c r="O18" s="21">
        <f t="shared" si="0"/>
        <v>980400</v>
      </c>
      <c r="P18" s="11" t="s">
        <v>37</v>
      </c>
      <c r="Q18" s="17">
        <f>W18-J18</f>
        <v>96406</v>
      </c>
      <c r="R18" s="12">
        <f t="shared" si="1"/>
        <v>20</v>
      </c>
      <c r="S18" s="12">
        <f t="shared" si="8"/>
        <v>7.8941882999819719E-4</v>
      </c>
      <c r="T18" s="12">
        <f t="shared" si="9"/>
        <v>1.5788376599963943E-2</v>
      </c>
      <c r="U18" s="17">
        <f t="shared" si="10"/>
        <v>1928120</v>
      </c>
      <c r="V18" s="78">
        <f t="shared" si="2"/>
        <v>0.28607970152451467</v>
      </c>
      <c r="W18" s="11">
        <f>(B7+$B$14)*(C7+$C$14)*($D$14+D7)*($E$15-$E$14-E7)*$F$15-$B$14*$C$14*$D$14*($E$15-$E$14-E7)*$F$15</f>
        <v>194446</v>
      </c>
      <c r="X18" s="12">
        <f t="shared" si="3"/>
        <v>2.3816364701640523E-2</v>
      </c>
      <c r="Y18" s="4">
        <f t="shared" si="4"/>
        <v>1.5922176401658554E-3</v>
      </c>
      <c r="Z18" s="8"/>
      <c r="AA18" s="8"/>
      <c r="AB18" s="8"/>
      <c r="AC18" s="8"/>
    </row>
    <row r="19" spans="1:29" x14ac:dyDescent="0.25">
      <c r="A19" s="8"/>
      <c r="B19" s="8"/>
      <c r="C19" s="8"/>
      <c r="D19" s="8"/>
      <c r="E19" s="8"/>
      <c r="F19" s="8"/>
      <c r="G19" s="8"/>
      <c r="H19" s="8"/>
      <c r="I19" s="11" t="s">
        <v>38</v>
      </c>
      <c r="J19" s="17">
        <f>B7*C7*D7*E7*(F15-F14-F7)</f>
        <v>7020</v>
      </c>
      <c r="K19" s="12">
        <v>50</v>
      </c>
      <c r="L19" s="12">
        <f t="shared" si="5"/>
        <v>5.7483146138075896E-5</v>
      </c>
      <c r="M19" s="12">
        <f t="shared" si="6"/>
        <v>0.13822338947351426</v>
      </c>
      <c r="N19" s="12">
        <f t="shared" si="7"/>
        <v>2.8741573069037949E-3</v>
      </c>
      <c r="O19" s="21">
        <f t="shared" si="0"/>
        <v>351000</v>
      </c>
      <c r="P19" s="11" t="s">
        <v>38</v>
      </c>
      <c r="Q19" s="17">
        <f>W19-J19-(B14*C14*D14*E7*(F15-F14-F7))</f>
        <v>16185</v>
      </c>
      <c r="R19" s="12">
        <f t="shared" si="1"/>
        <v>100</v>
      </c>
      <c r="S19" s="12">
        <f t="shared" si="8"/>
        <v>1.3253058692945275E-4</v>
      </c>
      <c r="T19" s="12">
        <f t="shared" si="9"/>
        <v>1.3253058692945274E-2</v>
      </c>
      <c r="U19" s="17">
        <f t="shared" si="10"/>
        <v>1618500</v>
      </c>
      <c r="V19" s="78">
        <f t="shared" si="2"/>
        <v>1.2998933392244247</v>
      </c>
      <c r="W19" s="11">
        <f>(B7+$B$14)*(C7+$C$14)*($D$14+D7)*($E$14+E7)*($F$15-$F$14-F7)-$B$14*$C$14*$D$14*$E$14*($F$15-$F$14-F7)</f>
        <v>23322</v>
      </c>
      <c r="X19" s="12">
        <f t="shared" si="3"/>
        <v>1.6127215999849068E-2</v>
      </c>
      <c r="Y19" s="4">
        <f t="shared" si="4"/>
        <v>1.9001373306752863E-4</v>
      </c>
      <c r="Z19" s="8"/>
      <c r="AA19" s="8"/>
      <c r="AB19" s="8"/>
      <c r="AC19" s="8"/>
    </row>
    <row r="20" spans="1:29" x14ac:dyDescent="0.25">
      <c r="A20" s="8"/>
      <c r="B20" s="8"/>
      <c r="C20" s="8"/>
      <c r="D20" s="8"/>
      <c r="E20" s="8"/>
      <c r="F20" s="8"/>
      <c r="G20" s="8"/>
      <c r="H20" s="8"/>
      <c r="I20" s="11" t="s">
        <v>39</v>
      </c>
      <c r="J20" s="17">
        <f>B7*C7*D7*E7*F7</f>
        <v>540</v>
      </c>
      <c r="K20" s="12">
        <v>125</v>
      </c>
      <c r="L20" s="12">
        <f t="shared" si="5"/>
        <v>4.4217804721596844E-6</v>
      </c>
      <c r="M20" s="12">
        <f t="shared" si="6"/>
        <v>6.8029457157280968E-2</v>
      </c>
      <c r="N20" s="12">
        <f t="shared" si="7"/>
        <v>5.527225590199606E-4</v>
      </c>
      <c r="O20" s="21">
        <f t="shared" si="0"/>
        <v>67500</v>
      </c>
      <c r="P20" s="11" t="s">
        <v>39</v>
      </c>
      <c r="Q20" s="17">
        <f>W20-J20-(B14*C14*D14*E14*F7)</f>
        <v>1852</v>
      </c>
      <c r="R20" s="12">
        <f t="shared" si="1"/>
        <v>250</v>
      </c>
      <c r="S20" s="12">
        <f t="shared" si="8"/>
        <v>1.5165069323036547E-5</v>
      </c>
      <c r="T20" s="12">
        <f t="shared" si="9"/>
        <v>3.7912673307591367E-3</v>
      </c>
      <c r="U20" s="17">
        <f t="shared" si="10"/>
        <v>463000</v>
      </c>
      <c r="V20" s="78">
        <f t="shared" si="2"/>
        <v>0.94052602546075836</v>
      </c>
      <c r="W20" s="11">
        <f>(B7+$B$14)*(C7+$C$14)*($D$14+D7)*($E$14+E7)*($F$14+F7)-$B$14*$C$14*$D$14*$E$14*$F$14</f>
        <v>2398</v>
      </c>
      <c r="X20" s="12">
        <f t="shared" si="3"/>
        <v>4.3439898897790971E-3</v>
      </c>
      <c r="Y20" s="4">
        <f t="shared" si="4"/>
        <v>1.9586849795196229E-5</v>
      </c>
      <c r="Z20" s="8"/>
      <c r="AA20" s="8"/>
      <c r="AB20" s="8"/>
      <c r="AC20" s="8"/>
    </row>
    <row r="21" spans="1:29" x14ac:dyDescent="0.25">
      <c r="A21" s="8"/>
      <c r="B21" s="8"/>
      <c r="C21" s="8"/>
      <c r="D21" s="8"/>
      <c r="E21" s="8"/>
      <c r="F21" s="8"/>
      <c r="G21" s="8"/>
      <c r="H21" s="8"/>
      <c r="I21" s="11" t="s">
        <v>40</v>
      </c>
      <c r="J21" s="17">
        <f>B9*C9*D9*(E15-E14-E9)*F15</f>
        <v>25456</v>
      </c>
      <c r="K21" s="12">
        <v>15</v>
      </c>
      <c r="L21" s="12">
        <f t="shared" si="5"/>
        <v>2.0844600685054985E-4</v>
      </c>
      <c r="M21" s="12">
        <f t="shared" si="6"/>
        <v>4.1069413806890755E-2</v>
      </c>
      <c r="N21" s="12">
        <f t="shared" si="7"/>
        <v>3.1266901027582478E-3</v>
      </c>
      <c r="O21" s="21">
        <f t="shared" si="0"/>
        <v>381840</v>
      </c>
      <c r="P21" s="11" t="s">
        <v>40</v>
      </c>
      <c r="Q21" s="17">
        <f>W21-J21</f>
        <v>44548</v>
      </c>
      <c r="R21" s="12">
        <f t="shared" si="1"/>
        <v>30</v>
      </c>
      <c r="S21" s="12">
        <f t="shared" si="8"/>
        <v>3.6478051198846225E-4</v>
      </c>
      <c r="T21" s="12">
        <f t="shared" si="9"/>
        <v>1.0943415359653867E-2</v>
      </c>
      <c r="U21" s="17">
        <f t="shared" si="10"/>
        <v>1336440</v>
      </c>
      <c r="V21" s="78">
        <f t="shared" si="2"/>
        <v>0.30755562371866185</v>
      </c>
      <c r="W21" s="11">
        <f>(B9+$B$14)*(C9+$C$14)*($D$14+D9)*($E$15-$E$14-E9)*$F$15-$B$14*$C$14*$D$14*($E$15-$E$14-E9)*$F$15</f>
        <v>70004</v>
      </c>
      <c r="X21" s="12">
        <f t="shared" si="3"/>
        <v>1.4070105462412115E-2</v>
      </c>
      <c r="Y21" s="4">
        <f t="shared" si="4"/>
        <v>5.7322651883901204E-4</v>
      </c>
      <c r="Z21" s="8"/>
      <c r="AA21" s="8"/>
      <c r="AB21" s="8"/>
      <c r="AC21" s="8"/>
    </row>
    <row r="22" spans="1:29" x14ac:dyDescent="0.25">
      <c r="A22" s="8"/>
      <c r="B22" s="8"/>
      <c r="C22" s="8"/>
      <c r="D22" s="8"/>
      <c r="E22" s="8"/>
      <c r="F22" s="8"/>
      <c r="G22" s="8"/>
      <c r="H22" s="8"/>
      <c r="I22" s="11" t="s">
        <v>41</v>
      </c>
      <c r="J22" s="17">
        <f>B9*C9*E9*D9*(F15-F14-F9)</f>
        <v>2432</v>
      </c>
      <c r="K22" s="12">
        <v>75</v>
      </c>
      <c r="L22" s="12">
        <f t="shared" si="5"/>
        <v>1.9914389089430281E-5</v>
      </c>
      <c r="M22" s="12">
        <f t="shared" si="6"/>
        <v>0.10915914487675764</v>
      </c>
      <c r="N22" s="12">
        <f t="shared" si="7"/>
        <v>1.4935791817072711E-3</v>
      </c>
      <c r="O22" s="21">
        <f t="shared" si="0"/>
        <v>182400</v>
      </c>
      <c r="P22" s="11" t="s">
        <v>41</v>
      </c>
      <c r="Q22" s="17">
        <f>W22-J22-(B14*C14*D14*E9*(F15-F14-F9))</f>
        <v>7600</v>
      </c>
      <c r="R22" s="12">
        <f t="shared" si="1"/>
        <v>150</v>
      </c>
      <c r="S22" s="12">
        <f t="shared" si="8"/>
        <v>6.2232465904469623E-5</v>
      </c>
      <c r="T22" s="12">
        <f t="shared" si="9"/>
        <v>9.3348698856704441E-3</v>
      </c>
      <c r="U22" s="17">
        <f t="shared" si="10"/>
        <v>1140000</v>
      </c>
      <c r="V22" s="78">
        <f t="shared" si="2"/>
        <v>1.3823021385768779</v>
      </c>
      <c r="W22" s="11">
        <f>(B9+$B$14)*(C9+$C$14)*($D$14+D9)*($E$14+E9)*($F$15-$F$14-F9)-$B$14*$C$14*$D$14*$E$14*($F$15-$F$14-F9)</f>
        <v>10184</v>
      </c>
      <c r="X22" s="12">
        <f t="shared" si="3"/>
        <v>1.0828449067377715E-2</v>
      </c>
      <c r="Y22" s="4">
        <f t="shared" si="4"/>
        <v>8.2146854993899907E-5</v>
      </c>
      <c r="Z22" s="8"/>
      <c r="AA22" s="8"/>
      <c r="AB22" s="8"/>
      <c r="AC22" s="8"/>
    </row>
    <row r="23" spans="1:29" x14ac:dyDescent="0.25">
      <c r="A23" s="8"/>
      <c r="B23" s="8"/>
      <c r="C23" s="8"/>
      <c r="D23" s="8"/>
      <c r="E23" s="8"/>
      <c r="F23" s="8"/>
      <c r="G23" s="8"/>
      <c r="H23" s="8"/>
      <c r="I23" s="11" t="s">
        <v>42</v>
      </c>
      <c r="J23" s="17">
        <f>B9*C9*D9*E9*F9</f>
        <v>256</v>
      </c>
      <c r="K23" s="12">
        <v>250</v>
      </c>
      <c r="L23" s="12">
        <f t="shared" si="5"/>
        <v>2.0962514830979242E-6</v>
      </c>
      <c r="M23" s="12">
        <f t="shared" si="6"/>
        <v>0.13000791712632512</v>
      </c>
      <c r="N23" s="12">
        <f t="shared" si="7"/>
        <v>5.2406287077448111E-4</v>
      </c>
      <c r="O23" s="21">
        <f t="shared" si="0"/>
        <v>64000</v>
      </c>
      <c r="P23" s="11" t="s">
        <v>42</v>
      </c>
      <c r="Q23" s="17">
        <f>W23-J23-(B14*C14*D14*E14*F9)</f>
        <v>1084</v>
      </c>
      <c r="R23" s="12">
        <f t="shared" si="1"/>
        <v>500</v>
      </c>
      <c r="S23" s="12">
        <f t="shared" si="8"/>
        <v>8.8763148737427726E-6</v>
      </c>
      <c r="T23" s="12">
        <f t="shared" si="9"/>
        <v>4.4381574368713862E-3</v>
      </c>
      <c r="U23" s="17">
        <f t="shared" si="10"/>
        <v>542000</v>
      </c>
      <c r="V23" s="78">
        <f t="shared" si="2"/>
        <v>2.2105356692198725</v>
      </c>
      <c r="W23" s="11">
        <f>(B9+$B$14)*(C9+$C$14)*($D$14+D9)*($E$14+E9)*($F$14+F9)-$B$14*$C$14*$D$14*$E$14*$F$14</f>
        <v>1348</v>
      </c>
      <c r="X23" s="12">
        <f t="shared" si="3"/>
        <v>4.9622203076458669E-3</v>
      </c>
      <c r="Y23" s="4">
        <f t="shared" si="4"/>
        <v>1.0972566356840697E-5</v>
      </c>
      <c r="Z23" s="8"/>
      <c r="AA23" s="8"/>
      <c r="AB23" s="8"/>
      <c r="AC23" s="8"/>
    </row>
    <row r="24" spans="1:29" x14ac:dyDescent="0.25">
      <c r="A24" s="8"/>
      <c r="B24" s="8"/>
      <c r="C24" s="8"/>
      <c r="D24" s="8"/>
      <c r="E24" s="8"/>
      <c r="F24" s="8"/>
      <c r="G24" s="8"/>
      <c r="H24" s="8"/>
      <c r="I24" s="11" t="s">
        <v>43</v>
      </c>
      <c r="J24" s="17">
        <f>B10*C10*D10*(E15-E14-E10)*F15</f>
        <v>30186</v>
      </c>
      <c r="K24" s="12">
        <v>20</v>
      </c>
      <c r="L24" s="12">
        <f t="shared" si="5"/>
        <v>2.4717752839372635E-4</v>
      </c>
      <c r="M24" s="12">
        <f t="shared" si="6"/>
        <v>8.9575357033991665E-2</v>
      </c>
      <c r="N24" s="12">
        <f t="shared" si="7"/>
        <v>4.9435505678745266E-3</v>
      </c>
      <c r="O24" s="21">
        <f t="shared" si="0"/>
        <v>603720</v>
      </c>
      <c r="P24" s="11" t="s">
        <v>43</v>
      </c>
      <c r="Q24" s="17">
        <f>W24-J24</f>
        <v>48633</v>
      </c>
      <c r="R24" s="12">
        <f t="shared" si="1"/>
        <v>40</v>
      </c>
      <c r="S24" s="12">
        <f t="shared" si="8"/>
        <v>3.9823046241211464E-4</v>
      </c>
      <c r="T24" s="12">
        <f t="shared" si="9"/>
        <v>1.5929218496484585E-2</v>
      </c>
      <c r="U24" s="17">
        <f t="shared" si="10"/>
        <v>1945320</v>
      </c>
      <c r="V24" s="78">
        <f t="shared" si="2"/>
        <v>0.60684647582646989</v>
      </c>
      <c r="W24" s="11">
        <f>(B10+$B$14)*(C10+$C$14)*($D$14+D10)*($E$15-$E$14-E10)*$F$15-$B$14*$C$14*$D$14*($E$15-$E$14-E10)*$F$15</f>
        <v>78819</v>
      </c>
      <c r="X24" s="12">
        <f t="shared" si="3"/>
        <v>2.0872769064359111E-2</v>
      </c>
      <c r="Y24" s="4">
        <f t="shared" si="4"/>
        <v>6.4540799080584099E-4</v>
      </c>
      <c r="Z24" s="8"/>
      <c r="AA24" s="8"/>
      <c r="AB24" s="8"/>
      <c r="AC24" s="8"/>
    </row>
    <row r="25" spans="1:29" x14ac:dyDescent="0.25">
      <c r="A25" s="8"/>
      <c r="B25" s="8"/>
      <c r="C25" s="8"/>
      <c r="D25" s="8"/>
      <c r="E25" s="8"/>
      <c r="F25" s="8"/>
      <c r="G25" s="8"/>
      <c r="H25" s="8"/>
      <c r="I25" s="11" t="s">
        <v>44</v>
      </c>
      <c r="J25" s="17">
        <f>B10*C10*D10*E10*(F15-F14-F10)</f>
        <v>1404</v>
      </c>
      <c r="K25" s="12">
        <v>100</v>
      </c>
      <c r="L25" s="12">
        <f t="shared" si="5"/>
        <v>1.1496629227615178E-5</v>
      </c>
      <c r="M25" s="12">
        <f t="shared" si="6"/>
        <v>0.11276183183633563</v>
      </c>
      <c r="N25" s="12">
        <f t="shared" si="7"/>
        <v>1.1496629227615179E-3</v>
      </c>
      <c r="O25" s="21">
        <f t="shared" si="0"/>
        <v>140400</v>
      </c>
      <c r="P25" s="11" t="s">
        <v>44</v>
      </c>
      <c r="Q25" s="17">
        <f>W25-J25-(B14*C14*D14*E10*(F15-F14-F10))</f>
        <v>5928</v>
      </c>
      <c r="R25" s="12">
        <f t="shared" si="1"/>
        <v>200</v>
      </c>
      <c r="S25" s="12">
        <f t="shared" si="8"/>
        <v>4.8541323405486312E-5</v>
      </c>
      <c r="T25" s="12">
        <f t="shared" si="9"/>
        <v>9.7082646810972631E-3</v>
      </c>
      <c r="U25" s="17">
        <f t="shared" si="10"/>
        <v>1185600</v>
      </c>
      <c r="V25" s="78">
        <f t="shared" si="2"/>
        <v>1.9229924410094998</v>
      </c>
      <c r="W25" s="11">
        <f>(B10+$B$14)*(C10+$C$14)*($D$14+D10)*($E$14+E10)*($F$15-$F$14-F10)-$B$14*$C$14*$D$14*$E$14*($F$15-$F$14-F10)</f>
        <v>7410</v>
      </c>
      <c r="X25" s="12">
        <f t="shared" si="3"/>
        <v>1.0857927603858781E-2</v>
      </c>
      <c r="Y25" s="4">
        <f t="shared" si="4"/>
        <v>6.0037952633101487E-5</v>
      </c>
      <c r="Z25" s="8"/>
      <c r="AA25" s="8"/>
      <c r="AB25" s="8"/>
      <c r="AC25" s="8"/>
    </row>
    <row r="26" spans="1:29" x14ac:dyDescent="0.25">
      <c r="A26" s="8"/>
      <c r="B26" s="8"/>
      <c r="C26" s="8"/>
      <c r="D26" s="8"/>
      <c r="E26" s="8"/>
      <c r="F26" s="8"/>
      <c r="G26" s="8"/>
      <c r="H26" s="8"/>
      <c r="I26" s="11" t="s">
        <v>45</v>
      </c>
      <c r="J26" s="17">
        <f>B10*C10*D10*E10*F10</f>
        <v>108</v>
      </c>
      <c r="K26" s="12">
        <v>400</v>
      </c>
      <c r="L26" s="12">
        <f t="shared" si="5"/>
        <v>8.8435609443193686E-7</v>
      </c>
      <c r="M26" s="12">
        <f t="shared" si="6"/>
        <v>0.1408162172604405</v>
      </c>
      <c r="N26" s="12">
        <f t="shared" si="7"/>
        <v>3.5374243777277473E-4</v>
      </c>
      <c r="O26" s="21">
        <f t="shared" si="0"/>
        <v>43200</v>
      </c>
      <c r="P26" s="11" t="s">
        <v>45</v>
      </c>
      <c r="Q26" s="17">
        <f>W26-J26-(B14*C14*D14*E14*F10)</f>
        <v>652</v>
      </c>
      <c r="R26" s="12">
        <f t="shared" si="1"/>
        <v>800</v>
      </c>
      <c r="S26" s="12">
        <f t="shared" si="8"/>
        <v>5.3388904960150256E-6</v>
      </c>
      <c r="T26" s="12">
        <f t="shared" si="9"/>
        <v>4.2711123968120204E-3</v>
      </c>
      <c r="U26" s="17">
        <f t="shared" si="10"/>
        <v>521600</v>
      </c>
      <c r="V26" s="78">
        <f t="shared" si="2"/>
        <v>3.4086654417017019</v>
      </c>
      <c r="W26" s="11">
        <f>(B10+$B$14)*(C10+$C$14)*($D$14+D10)*($E$14+E10)*($F$14+F10)-$B$14*$C$14*$D$14*$E$14*$F$14</f>
        <v>766</v>
      </c>
      <c r="X26" s="12">
        <f t="shared" si="3"/>
        <v>4.6248548345847948E-3</v>
      </c>
      <c r="Y26" s="4">
        <f t="shared" si="4"/>
        <v>6.223246590446963E-6</v>
      </c>
      <c r="Z26" s="8"/>
      <c r="AA26" s="8"/>
      <c r="AB26" s="8"/>
      <c r="AC26" s="8"/>
    </row>
    <row r="27" spans="1:29" x14ac:dyDescent="0.25">
      <c r="A27" s="8"/>
      <c r="B27" s="8"/>
      <c r="C27" s="8"/>
      <c r="D27" s="8"/>
      <c r="E27" s="8"/>
      <c r="F27" s="8"/>
      <c r="G27" s="8"/>
      <c r="H27" s="8"/>
      <c r="I27" s="11" t="s">
        <v>46</v>
      </c>
      <c r="J27" s="17">
        <f>B8*C8*D8*(E15-E14-E8)*F15</f>
        <v>27864</v>
      </c>
      <c r="K27" s="12">
        <v>15</v>
      </c>
      <c r="L27" s="12">
        <f t="shared" si="5"/>
        <v>2.2816387236343971E-4</v>
      </c>
      <c r="M27" s="12">
        <f t="shared" si="6"/>
        <v>4.4954358356191236E-2</v>
      </c>
      <c r="N27" s="12">
        <f t="shared" si="7"/>
        <v>3.4224580854515956E-3</v>
      </c>
      <c r="O27" s="21">
        <f t="shared" si="0"/>
        <v>417960</v>
      </c>
      <c r="P27" s="11" t="s">
        <v>46</v>
      </c>
      <c r="Q27" s="17">
        <f>W27-J27</f>
        <v>44892</v>
      </c>
      <c r="R27" s="12">
        <f t="shared" si="1"/>
        <v>30</v>
      </c>
      <c r="S27" s="12">
        <f t="shared" si="8"/>
        <v>3.6759734991887507E-4</v>
      </c>
      <c r="T27" s="12">
        <f t="shared" si="9"/>
        <v>1.1027920497566252E-2</v>
      </c>
      <c r="U27" s="17">
        <f t="shared" si="10"/>
        <v>1346760</v>
      </c>
      <c r="V27" s="78">
        <f t="shared" si="2"/>
        <v>0.30993057061996421</v>
      </c>
      <c r="W27" s="11">
        <f>(B8+$B$14)*(C8+$C$14)*($D$14+D8)*($E$15-$E$14-E8)*$F$15-$B$14*$C$14*$D$14*($E$15-$E$14-E8)*$F$15</f>
        <v>72756</v>
      </c>
      <c r="X27" s="12">
        <f t="shared" si="3"/>
        <v>1.4450378583017847E-2</v>
      </c>
      <c r="Y27" s="4">
        <f t="shared" si="4"/>
        <v>5.9576122228231472E-4</v>
      </c>
      <c r="Z27" s="8"/>
      <c r="AA27" s="8"/>
      <c r="AB27" s="8"/>
      <c r="AC27" s="8"/>
    </row>
    <row r="28" spans="1:29" x14ac:dyDescent="0.25">
      <c r="A28" s="8"/>
      <c r="B28" s="8"/>
      <c r="C28" s="8"/>
      <c r="D28" s="8"/>
      <c r="E28" s="8"/>
      <c r="F28" s="8"/>
      <c r="G28" s="8"/>
      <c r="H28" s="8"/>
      <c r="I28" s="11" t="s">
        <v>47</v>
      </c>
      <c r="J28" s="17">
        <f>B8*C8*D8*E8*(F15-F14-F8)</f>
        <v>3600</v>
      </c>
      <c r="K28" s="12">
        <v>75</v>
      </c>
      <c r="L28" s="12">
        <f t="shared" si="5"/>
        <v>2.947853648106456E-5</v>
      </c>
      <c r="M28" s="12">
        <f t="shared" si="6"/>
        <v>0.16158426050835836</v>
      </c>
      <c r="N28" s="12">
        <f t="shared" si="7"/>
        <v>2.210890236079842E-3</v>
      </c>
      <c r="O28" s="21">
        <f t="shared" si="0"/>
        <v>270000</v>
      </c>
      <c r="P28" s="11" t="s">
        <v>47</v>
      </c>
      <c r="Q28" s="17">
        <f>W28-J28-(B14*C14*D14*E8*(F15-F14-F8))</f>
        <v>9560</v>
      </c>
      <c r="R28" s="12">
        <f t="shared" si="1"/>
        <v>150</v>
      </c>
      <c r="S28" s="12">
        <f t="shared" si="8"/>
        <v>7.828189132193811E-5</v>
      </c>
      <c r="T28" s="12">
        <f t="shared" si="9"/>
        <v>1.1742283698290716E-2</v>
      </c>
      <c r="U28" s="17">
        <f t="shared" si="10"/>
        <v>1434000</v>
      </c>
      <c r="V28" s="78">
        <f t="shared" si="2"/>
        <v>1.7387905848414411</v>
      </c>
      <c r="W28" s="11">
        <f>(B8+$B$14)*(C8+$C$14)*($D$14+D8)*($E$14+E8)*($F$15-$F$14-F8)-$B$14*$C$14*$D$14*$E$14*($F$15-$F$14-F8)</f>
        <v>13360</v>
      </c>
      <c r="X28" s="12">
        <f t="shared" si="3"/>
        <v>1.3953173934370558E-2</v>
      </c>
      <c r="Y28" s="4">
        <f t="shared" si="4"/>
        <v>1.0776042780300267E-4</v>
      </c>
      <c r="Z28" s="8"/>
      <c r="AA28" s="8"/>
      <c r="AB28" s="8"/>
      <c r="AC28" s="8"/>
    </row>
    <row r="29" spans="1:29" x14ac:dyDescent="0.25">
      <c r="A29" s="8"/>
      <c r="B29" s="8"/>
      <c r="C29" s="8"/>
      <c r="D29" s="8"/>
      <c r="E29" s="8"/>
      <c r="F29" s="8"/>
      <c r="G29" s="8"/>
      <c r="H29" s="8"/>
      <c r="I29" s="11" t="s">
        <v>48</v>
      </c>
      <c r="J29" s="17">
        <f>B8*C8*D8*E8*F8</f>
        <v>180</v>
      </c>
      <c r="K29" s="12">
        <v>250</v>
      </c>
      <c r="L29" s="12">
        <f t="shared" si="5"/>
        <v>1.4739268240532281E-6</v>
      </c>
      <c r="M29" s="12">
        <f t="shared" si="6"/>
        <v>9.1411816729447357E-2</v>
      </c>
      <c r="N29" s="12">
        <f t="shared" si="7"/>
        <v>3.6848170601330699E-4</v>
      </c>
      <c r="O29" s="21">
        <f t="shared" si="0"/>
        <v>45000</v>
      </c>
      <c r="P29" s="11" t="s">
        <v>48</v>
      </c>
      <c r="Q29" s="17">
        <f>W29-J29-(B14*C14*D14*E14*F8)</f>
        <v>822</v>
      </c>
      <c r="R29" s="12">
        <f t="shared" si="1"/>
        <v>500</v>
      </c>
      <c r="S29" s="12">
        <f t="shared" si="8"/>
        <v>6.7309324965097414E-6</v>
      </c>
      <c r="T29" s="12">
        <f t="shared" si="9"/>
        <v>3.3654662482548708E-3</v>
      </c>
      <c r="U29" s="17">
        <f t="shared" si="10"/>
        <v>411000</v>
      </c>
      <c r="V29" s="78">
        <f t="shared" si="2"/>
        <v>1.6762549078401618</v>
      </c>
      <c r="W29" s="11">
        <f>(B8+$B$14)*(C8+$C$14)*($D$14+D8)*($E$14+E8)*($F$14+F8)-$B$14*$C$14*$D$14*$E$14*$F$14</f>
        <v>1006</v>
      </c>
      <c r="X29" s="12">
        <f t="shared" si="3"/>
        <v>3.733947954268178E-3</v>
      </c>
      <c r="Y29" s="4">
        <f t="shared" si="4"/>
        <v>8.2048593205629693E-6</v>
      </c>
      <c r="Z29" s="8"/>
      <c r="AA29" s="8"/>
      <c r="AB29" s="8"/>
      <c r="AC29" s="8"/>
    </row>
    <row r="30" spans="1:29" x14ac:dyDescent="0.25">
      <c r="A30" s="8"/>
      <c r="B30" s="8"/>
      <c r="C30" s="8"/>
      <c r="D30" s="8"/>
      <c r="E30" s="8"/>
      <c r="F30" s="8"/>
      <c r="G30" s="8"/>
      <c r="H30" s="8"/>
      <c r="I30" s="11" t="s">
        <v>50</v>
      </c>
      <c r="J30" s="17">
        <f>B11*C11*(D15-D14-D11)*E15*F15</f>
        <v>144222</v>
      </c>
      <c r="K30" s="12">
        <v>2</v>
      </c>
      <c r="L30" s="12">
        <f t="shared" si="5"/>
        <v>1.1809593023255813E-3</v>
      </c>
      <c r="M30" s="12">
        <f t="shared" si="6"/>
        <v>1.2690300700750588E-3</v>
      </c>
      <c r="N30" s="12">
        <f t="shared" si="7"/>
        <v>2.3619186046511626E-3</v>
      </c>
      <c r="O30" s="21">
        <f t="shared" si="0"/>
        <v>288444</v>
      </c>
      <c r="P30" s="11" t="s">
        <v>50</v>
      </c>
      <c r="Q30" s="17">
        <f>W30-J30</f>
        <v>216333</v>
      </c>
      <c r="R30" s="12">
        <f t="shared" si="1"/>
        <v>4</v>
      </c>
      <c r="S30" s="12">
        <f t="shared" si="8"/>
        <v>1.771438953488372E-3</v>
      </c>
      <c r="T30" s="12">
        <f t="shared" si="9"/>
        <v>7.0857558139534879E-3</v>
      </c>
      <c r="U30" s="17">
        <f t="shared" si="10"/>
        <v>865332</v>
      </c>
      <c r="V30" s="78">
        <f t="shared" si="2"/>
        <v>1.6334518627391468E-2</v>
      </c>
      <c r="W30" s="11">
        <f>(B11+B14)*(C11+C14)*(D15-D14-D11)*E15*F15-B14*C14*(D15-D14-D11)*E15*F15</f>
        <v>360555</v>
      </c>
      <c r="X30" s="12">
        <f t="shared" si="3"/>
        <v>9.4476744186046506E-3</v>
      </c>
      <c r="Y30" s="4">
        <f t="shared" si="4"/>
        <v>2.9523982558139535E-3</v>
      </c>
      <c r="Z30" s="8"/>
      <c r="AA30" s="8"/>
      <c r="AB30" s="8"/>
      <c r="AC30" s="8"/>
    </row>
    <row r="31" spans="1:29" x14ac:dyDescent="0.25">
      <c r="A31" s="8"/>
      <c r="B31" s="8"/>
      <c r="C31" s="8"/>
      <c r="D31" s="8"/>
      <c r="E31" s="8"/>
      <c r="F31" s="8"/>
      <c r="G31" s="8"/>
      <c r="H31" s="8"/>
      <c r="I31" s="11" t="s">
        <v>49</v>
      </c>
      <c r="J31" s="17">
        <f>B11*C11*D11*(E15-E14-E11)*F15</f>
        <v>10062</v>
      </c>
      <c r="K31" s="12">
        <v>25</v>
      </c>
      <c r="L31" s="12">
        <f t="shared" si="5"/>
        <v>8.2392509464575446E-5</v>
      </c>
      <c r="M31" s="12">
        <f t="shared" si="6"/>
        <v>4.7603011867265267E-2</v>
      </c>
      <c r="N31" s="12">
        <f t="shared" si="7"/>
        <v>2.0598127366143861E-3</v>
      </c>
      <c r="O31" s="21">
        <f t="shared" si="0"/>
        <v>251550</v>
      </c>
      <c r="P31" s="11" t="s">
        <v>49</v>
      </c>
      <c r="Q31" s="17">
        <f>W31-J31</f>
        <v>28509</v>
      </c>
      <c r="R31" s="12">
        <f t="shared" si="1"/>
        <v>50</v>
      </c>
      <c r="S31" s="12">
        <f t="shared" si="8"/>
        <v>2.3344544348296377E-4</v>
      </c>
      <c r="T31" s="12">
        <f t="shared" si="9"/>
        <v>1.1672272174148188E-2</v>
      </c>
      <c r="U31" s="17">
        <f t="shared" si="10"/>
        <v>1425450</v>
      </c>
      <c r="V31" s="78">
        <f t="shared" si="2"/>
        <v>0.56134054280632739</v>
      </c>
      <c r="W31" s="11">
        <f>(B11+$B$14)*(C11+$C$14)*($D$14+D11)*($E$15-$E$14-E11)*$F$15-$B$14*$C$14*$D$14*($E$15-$E$14-E11)*$F$15</f>
        <v>38571</v>
      </c>
      <c r="X31" s="12">
        <f t="shared" si="3"/>
        <v>1.3732084910762575E-2</v>
      </c>
      <c r="Y31" s="4">
        <f t="shared" si="4"/>
        <v>3.158379529475392E-4</v>
      </c>
      <c r="Z31" s="8"/>
      <c r="AA31" s="8"/>
      <c r="AB31" s="8"/>
      <c r="AC31" s="8"/>
    </row>
    <row r="32" spans="1:29" x14ac:dyDescent="0.25">
      <c r="A32" s="8"/>
      <c r="B32" s="8"/>
      <c r="C32" s="8"/>
      <c r="D32" s="8"/>
      <c r="E32" s="8"/>
      <c r="F32" s="8"/>
      <c r="G32" s="8"/>
      <c r="H32" s="8"/>
      <c r="I32" s="11" t="s">
        <v>51</v>
      </c>
      <c r="J32" s="17">
        <f>B11*C11*D11*E11*(F15-F14-F11)</f>
        <v>444</v>
      </c>
      <c r="K32" s="12">
        <v>125</v>
      </c>
      <c r="L32" s="12">
        <f t="shared" si="5"/>
        <v>3.6356861659979622E-6</v>
      </c>
      <c r="M32" s="12">
        <f t="shared" si="6"/>
        <v>5.5935331440431009E-2</v>
      </c>
      <c r="N32" s="12">
        <f t="shared" si="7"/>
        <v>4.5446077074974529E-4</v>
      </c>
      <c r="O32" s="21">
        <f t="shared" si="0"/>
        <v>55500</v>
      </c>
      <c r="P32" s="11" t="s">
        <v>51</v>
      </c>
      <c r="Q32" s="17">
        <f>W32-J32-(B14*C14*D14*E11*(F15-F14-F11))</f>
        <v>2960</v>
      </c>
      <c r="R32" s="12">
        <f t="shared" si="1"/>
        <v>250</v>
      </c>
      <c r="S32" s="12">
        <f t="shared" si="8"/>
        <v>2.4237907773319749E-5</v>
      </c>
      <c r="T32" s="12">
        <f t="shared" si="9"/>
        <v>6.059476943329937E-3</v>
      </c>
      <c r="U32" s="17">
        <f t="shared" si="10"/>
        <v>740000</v>
      </c>
      <c r="V32" s="78">
        <f t="shared" si="2"/>
        <v>1.5032165417731342</v>
      </c>
      <c r="W32" s="11">
        <f>(B11+$B$14)*(C11+$C$14)*($D$14+D11)*($E$14+E11)*($F$15-$F$14-F11)-$B$14*$C$14*$D$14*$E$14*($F$15-$F$14-F11)</f>
        <v>3478</v>
      </c>
      <c r="X32" s="12">
        <f t="shared" si="3"/>
        <v>6.5139377140796826E-3</v>
      </c>
      <c r="Y32" s="4">
        <f t="shared" si="4"/>
        <v>2.7873593939317713E-5</v>
      </c>
      <c r="Z32" s="8"/>
      <c r="AA32" s="8"/>
      <c r="AB32" s="8"/>
      <c r="AC32" s="8"/>
    </row>
    <row r="33" spans="1:29" ht="12.75" customHeight="1" x14ac:dyDescent="0.25">
      <c r="A33" s="8"/>
      <c r="B33" s="8"/>
      <c r="C33" s="8"/>
      <c r="D33" s="8"/>
      <c r="E33" s="8"/>
      <c r="F33" s="8"/>
      <c r="G33" s="8"/>
      <c r="H33" s="8"/>
      <c r="I33" s="11" t="s">
        <v>52</v>
      </c>
      <c r="J33" s="17">
        <f>B11*C11*D11*E11*F11</f>
        <v>60</v>
      </c>
      <c r="K33" s="12">
        <v>750</v>
      </c>
      <c r="L33" s="12">
        <f t="shared" si="5"/>
        <v>4.9130894135107599E-7</v>
      </c>
      <c r="M33" s="12">
        <f t="shared" si="6"/>
        <v>0.27565175776249856</v>
      </c>
      <c r="N33" s="12">
        <f t="shared" si="7"/>
        <v>3.6848170601330699E-4</v>
      </c>
      <c r="O33" s="21">
        <f t="shared" si="0"/>
        <v>45000</v>
      </c>
      <c r="P33" s="11" t="s">
        <v>52</v>
      </c>
      <c r="Q33" s="17">
        <f>W33-J33-(B14*C14*D14*E14*F11)</f>
        <v>504</v>
      </c>
      <c r="R33" s="12">
        <f t="shared" si="1"/>
        <v>1500</v>
      </c>
      <c r="S33" s="12">
        <f t="shared" si="8"/>
        <v>4.1269951073490383E-6</v>
      </c>
      <c r="T33" s="12">
        <f t="shared" si="9"/>
        <v>6.1904926610235576E-3</v>
      </c>
      <c r="U33" s="17">
        <f t="shared" si="10"/>
        <v>756000</v>
      </c>
      <c r="V33" s="78">
        <f t="shared" si="2"/>
        <v>9.2738151958885151</v>
      </c>
      <c r="W33" s="11">
        <f>(B11+$B$14)*(C11+$C$14)*($D$14+D11)*($E$14+E11)*($F$14+F11)-$B$14*$C$14*$D$14*$E$14*$F$14</f>
        <v>574</v>
      </c>
      <c r="X33" s="12">
        <f t="shared" si="3"/>
        <v>6.5589743670368648E-3</v>
      </c>
      <c r="Y33" s="4">
        <f t="shared" si="4"/>
        <v>4.6183040487001148E-6</v>
      </c>
      <c r="Z33" s="8"/>
      <c r="AA33" s="8"/>
      <c r="AB33" s="8"/>
      <c r="AC33" s="8"/>
    </row>
    <row r="34" spans="1:29" x14ac:dyDescent="0.25">
      <c r="A34" s="8"/>
      <c r="B34" s="8"/>
      <c r="C34" s="8"/>
      <c r="D34" s="8"/>
      <c r="E34" s="8"/>
      <c r="F34" s="8"/>
      <c r="G34" s="8"/>
      <c r="H34" s="8"/>
      <c r="I34" s="11" t="s">
        <v>53</v>
      </c>
      <c r="J34" s="17">
        <f>B12*C12*(D15-D14-D12)*E15*F15</f>
        <v>144222</v>
      </c>
      <c r="K34" s="12">
        <v>2</v>
      </c>
      <c r="L34" s="12">
        <f t="shared" si="5"/>
        <v>1.1809593023255813E-3</v>
      </c>
      <c r="M34" s="12">
        <f t="shared" si="6"/>
        <v>1.2690300700750588E-3</v>
      </c>
      <c r="N34" s="12">
        <f t="shared" si="7"/>
        <v>2.3619186046511626E-3</v>
      </c>
      <c r="O34" s="21">
        <f t="shared" si="0"/>
        <v>288444</v>
      </c>
      <c r="P34" s="11" t="s">
        <v>53</v>
      </c>
      <c r="Q34" s="17">
        <f>W34-J34</f>
        <v>216333</v>
      </c>
      <c r="R34" s="12">
        <f t="shared" si="1"/>
        <v>4</v>
      </c>
      <c r="S34" s="12">
        <f t="shared" si="8"/>
        <v>1.771438953488372E-3</v>
      </c>
      <c r="T34" s="12">
        <f t="shared" si="9"/>
        <v>7.0857558139534879E-3</v>
      </c>
      <c r="U34" s="17">
        <f t="shared" si="10"/>
        <v>865332</v>
      </c>
      <c r="V34" s="78">
        <f t="shared" si="2"/>
        <v>1.6334518627391468E-2</v>
      </c>
      <c r="W34" s="11">
        <f>(B12+B14)*(C12+C14)*(D15-D14-D12)*E15*F15-B14*C14*(D15-D14-D12)*E15*F15</f>
        <v>360555</v>
      </c>
      <c r="X34" s="12">
        <f t="shared" si="3"/>
        <v>9.4476744186046506E-3</v>
      </c>
      <c r="Y34" s="4">
        <f t="shared" si="4"/>
        <v>2.9523982558139535E-3</v>
      </c>
      <c r="Z34" s="8"/>
      <c r="AA34" s="8"/>
      <c r="AB34" s="8"/>
      <c r="AC34" s="8"/>
    </row>
    <row r="35" spans="1:29" x14ac:dyDescent="0.25">
      <c r="A35" s="8"/>
      <c r="B35" s="8"/>
      <c r="C35" s="8"/>
      <c r="D35" s="8"/>
      <c r="E35" s="8"/>
      <c r="F35" s="8"/>
      <c r="G35" s="8"/>
      <c r="H35" s="8"/>
      <c r="I35" s="11" t="s">
        <v>54</v>
      </c>
      <c r="J35" s="17">
        <f>B12*C12*D12*(E15-E12-E14)*F15</f>
        <v>9804</v>
      </c>
      <c r="K35" s="12">
        <v>25</v>
      </c>
      <c r="L35" s="12">
        <f t="shared" si="5"/>
        <v>8.0279881016765816E-5</v>
      </c>
      <c r="M35" s="12">
        <f t="shared" si="6"/>
        <v>4.638242181938667E-2</v>
      </c>
      <c r="N35" s="12">
        <f t="shared" si="7"/>
        <v>2.0069970254191455E-3</v>
      </c>
      <c r="O35" s="21">
        <f t="shared" si="0"/>
        <v>245100</v>
      </c>
      <c r="P35" s="11" t="s">
        <v>54</v>
      </c>
      <c r="Q35" s="17">
        <f>W35-J35</f>
        <v>27778</v>
      </c>
      <c r="R35" s="12">
        <f t="shared" si="1"/>
        <v>50</v>
      </c>
      <c r="S35" s="12">
        <f t="shared" si="8"/>
        <v>2.2745966288083649E-4</v>
      </c>
      <c r="T35" s="12">
        <f t="shared" si="9"/>
        <v>1.1372983144041825E-2</v>
      </c>
      <c r="U35" s="17">
        <f t="shared" si="10"/>
        <v>1388900</v>
      </c>
      <c r="V35" s="78">
        <f t="shared" si="2"/>
        <v>0.54694719555488303</v>
      </c>
      <c r="W35" s="11">
        <f>(B12+$B$14)*(C12+$C$14)*($D$14+D12)*($E$15-$E$14-E12)*$F$15-$B$14*$C$14*$D$14*($E$15-$E$14-E12)*$F$15</f>
        <v>37582</v>
      </c>
      <c r="X35" s="12">
        <f t="shared" si="3"/>
        <v>1.3379980169460971E-2</v>
      </c>
      <c r="Y35" s="4">
        <f t="shared" si="4"/>
        <v>3.0773954389760232E-4</v>
      </c>
      <c r="Z35" s="8"/>
      <c r="AA35" s="8"/>
      <c r="AB35" s="8"/>
      <c r="AC35" s="8"/>
    </row>
    <row r="36" spans="1:29" x14ac:dyDescent="0.25">
      <c r="A36" s="8"/>
      <c r="B36" s="8"/>
      <c r="C36" s="8"/>
      <c r="D36" s="8"/>
      <c r="E36" s="8"/>
      <c r="F36" s="8"/>
      <c r="G36" s="8"/>
      <c r="H36" s="8"/>
      <c r="I36" s="11" t="s">
        <v>55</v>
      </c>
      <c r="J36" s="17">
        <f>B12*C12*D12*E12*(F15-F14-F12)</f>
        <v>720</v>
      </c>
      <c r="K36" s="12">
        <v>125</v>
      </c>
      <c r="L36" s="12">
        <f t="shared" si="5"/>
        <v>5.8957072962129123E-6</v>
      </c>
      <c r="M36" s="12">
        <f t="shared" si="6"/>
        <v>9.070594287637461E-2</v>
      </c>
      <c r="N36" s="12">
        <f t="shared" si="7"/>
        <v>7.3696341202661398E-4</v>
      </c>
      <c r="O36" s="21">
        <f t="shared" si="0"/>
        <v>90000</v>
      </c>
      <c r="P36" s="11" t="s">
        <v>55</v>
      </c>
      <c r="Q36" s="17">
        <f>W36-J36-(B14*C14*D14*E12*(F15-F14-F12))</f>
        <v>3880</v>
      </c>
      <c r="R36" s="12">
        <f t="shared" si="1"/>
        <v>250</v>
      </c>
      <c r="S36" s="12">
        <f t="shared" si="8"/>
        <v>3.1771311540702915E-5</v>
      </c>
      <c r="T36" s="12">
        <f t="shared" si="9"/>
        <v>7.9428278851757291E-3</v>
      </c>
      <c r="U36" s="17">
        <f>Q36*R36</f>
        <v>970000</v>
      </c>
      <c r="V36" s="78">
        <f t="shared" si="2"/>
        <v>1.9704324939458651</v>
      </c>
      <c r="W36" s="11">
        <f>(B12+$B$14)*(C12+$C$14)*($D$14+D12)*($E$14+E12)*($F$15-$F$14-F12)-$B$14*$C$14*$D$14*$E$14*($F$15-$F$14-F12)</f>
        <v>4720</v>
      </c>
      <c r="X36" s="12">
        <f t="shared" si="3"/>
        <v>8.6797912972023435E-3</v>
      </c>
      <c r="Y36" s="4">
        <f t="shared" si="4"/>
        <v>3.7667018836915829E-5</v>
      </c>
      <c r="Z36" s="8"/>
      <c r="AA36" s="8"/>
      <c r="AB36" s="8"/>
      <c r="AC36" s="8"/>
    </row>
    <row r="37" spans="1:29" x14ac:dyDescent="0.25">
      <c r="A37" s="8"/>
      <c r="B37" s="8"/>
      <c r="C37" s="8"/>
      <c r="D37" s="8"/>
      <c r="E37" s="8"/>
      <c r="F37" s="8"/>
      <c r="G37" s="8"/>
      <c r="H37" s="8"/>
      <c r="I37" s="11" t="s">
        <v>56</v>
      </c>
      <c r="J37" s="17">
        <f>B12*C12*D12*E12*F12</f>
        <v>36</v>
      </c>
      <c r="K37" s="12">
        <v>750</v>
      </c>
      <c r="L37" s="12">
        <f t="shared" si="5"/>
        <v>2.947853648106456E-7</v>
      </c>
      <c r="M37" s="12">
        <f t="shared" si="6"/>
        <v>0.16539105465749915</v>
      </c>
      <c r="N37" s="12">
        <f t="shared" si="7"/>
        <v>2.2108902360798419E-4</v>
      </c>
      <c r="O37" s="21">
        <f t="shared" si="0"/>
        <v>27000</v>
      </c>
      <c r="P37" s="11" t="s">
        <v>56</v>
      </c>
      <c r="Q37" s="17">
        <f>W37-J37-(B14*C14*D14*E14*F12)</f>
        <v>318</v>
      </c>
      <c r="R37" s="12">
        <f t="shared" si="1"/>
        <v>1500</v>
      </c>
      <c r="S37" s="12">
        <f t="shared" si="8"/>
        <v>2.6039373891607027E-6</v>
      </c>
      <c r="T37" s="12">
        <f t="shared" si="9"/>
        <v>3.9059060837410538E-3</v>
      </c>
      <c r="U37" s="17">
        <f t="shared" si="10"/>
        <v>477000</v>
      </c>
      <c r="V37" s="78">
        <f t="shared" si="2"/>
        <v>5.85133577835823</v>
      </c>
      <c r="W37" s="11">
        <f>(B12+$B$14)*(C12+$C$14)*($D$14+D12)*($E$14+E12)*($F$14+F12)-$B$14*$C$14*$D$14*$E$14*$F$14</f>
        <v>358</v>
      </c>
      <c r="X37" s="12">
        <f t="shared" si="3"/>
        <v>4.1269951073490381E-3</v>
      </c>
      <c r="Y37" s="4">
        <f t="shared" si="4"/>
        <v>2.8987227539713483E-6</v>
      </c>
      <c r="Z37" s="8"/>
      <c r="AA37" s="8"/>
      <c r="AB37" s="8"/>
      <c r="AC37" s="8"/>
    </row>
    <row r="38" spans="1:29" x14ac:dyDescent="0.25">
      <c r="A38" s="8"/>
      <c r="B38" s="8"/>
      <c r="C38" s="8"/>
      <c r="D38" s="8"/>
      <c r="E38" s="8"/>
      <c r="F38" s="8"/>
      <c r="G38" s="8"/>
      <c r="H38" s="8"/>
      <c r="I38" s="11" t="s">
        <v>59</v>
      </c>
      <c r="J38" s="17">
        <f>B14*C14*(D13)*E15*F15</f>
        <v>1849</v>
      </c>
      <c r="K38" s="12">
        <v>10</v>
      </c>
      <c r="L38" s="12">
        <f t="shared" si="5"/>
        <v>1.5140503875968992E-5</v>
      </c>
      <c r="M38" s="12">
        <f t="shared" si="6"/>
        <v>1.2363804184758113E-3</v>
      </c>
      <c r="N38" s="12">
        <f t="shared" si="7"/>
        <v>1.5140503875968992E-4</v>
      </c>
      <c r="O38" s="21">
        <f t="shared" si="0"/>
        <v>18490</v>
      </c>
      <c r="P38" s="11"/>
      <c r="Q38" s="17"/>
      <c r="R38" s="12"/>
      <c r="S38" s="12"/>
      <c r="T38" s="12"/>
      <c r="U38" s="17"/>
      <c r="V38" s="17"/>
      <c r="W38" s="25">
        <f t="shared" ref="W38:W45" si="11">J38</f>
        <v>1849</v>
      </c>
      <c r="X38" s="12">
        <f t="shared" si="3"/>
        <v>1.5140503875968992E-4</v>
      </c>
      <c r="Y38" s="4">
        <f t="shared" si="4"/>
        <v>1.5140503875968992E-5</v>
      </c>
      <c r="Z38" s="8"/>
      <c r="AA38" s="8"/>
      <c r="AB38" s="8"/>
      <c r="AC38" s="8"/>
    </row>
    <row r="39" spans="1:29" x14ac:dyDescent="0.25">
      <c r="A39" s="8"/>
      <c r="B39" s="8"/>
      <c r="C39" s="8"/>
      <c r="D39" s="8"/>
      <c r="E39" s="8"/>
      <c r="F39" s="8"/>
      <c r="G39" s="13"/>
      <c r="H39" s="8"/>
      <c r="I39" s="11" t="s">
        <v>60</v>
      </c>
      <c r="J39" s="17">
        <f>B14*C14*D14*(E15-E14)*F15</f>
        <v>1763</v>
      </c>
      <c r="K39" s="12">
        <v>250</v>
      </c>
      <c r="L39" s="12">
        <f t="shared" si="5"/>
        <v>1.4436294393365783E-5</v>
      </c>
      <c r="M39" s="12">
        <f t="shared" si="6"/>
        <v>0.89532796052230934</v>
      </c>
      <c r="N39" s="12">
        <f t="shared" si="7"/>
        <v>3.6090735983414458E-3</v>
      </c>
      <c r="O39" s="21">
        <f t="shared" si="0"/>
        <v>440750</v>
      </c>
      <c r="P39" s="11"/>
      <c r="Q39" s="17"/>
      <c r="R39" s="12"/>
      <c r="S39" s="12"/>
      <c r="T39" s="12"/>
      <c r="U39" s="17"/>
      <c r="V39" s="17"/>
      <c r="W39" s="25">
        <f t="shared" si="11"/>
        <v>1763</v>
      </c>
      <c r="X39" s="12">
        <f t="shared" si="3"/>
        <v>3.6090735983414458E-3</v>
      </c>
      <c r="Y39" s="4">
        <f t="shared" si="4"/>
        <v>1.4436294393365783E-5</v>
      </c>
      <c r="Z39" s="8"/>
      <c r="AA39" s="8"/>
      <c r="AB39" s="8"/>
      <c r="AC39" s="8"/>
    </row>
    <row r="40" spans="1:29" x14ac:dyDescent="0.25">
      <c r="A40" s="8"/>
      <c r="B40" s="8"/>
      <c r="C40" s="8"/>
      <c r="D40" s="8"/>
      <c r="E40" s="8"/>
      <c r="F40" s="8"/>
      <c r="G40" s="8"/>
      <c r="H40" s="8"/>
      <c r="I40" s="11" t="s">
        <v>61</v>
      </c>
      <c r="J40" s="17">
        <f>B14*C14*D14*E14*(F15-F14)</f>
        <v>84</v>
      </c>
      <c r="K40" s="12">
        <v>2500</v>
      </c>
      <c r="L40" s="12">
        <f t="shared" si="5"/>
        <v>6.8783251789150642E-7</v>
      </c>
      <c r="M40" s="12">
        <f t="shared" si="6"/>
        <v>4.2956406457767837</v>
      </c>
      <c r="N40" s="12">
        <f t="shared" si="7"/>
        <v>1.7195812947287661E-3</v>
      </c>
      <c r="O40" s="21">
        <f t="shared" si="0"/>
        <v>210000</v>
      </c>
      <c r="P40" s="11"/>
      <c r="Q40" s="17"/>
      <c r="R40" s="12"/>
      <c r="S40" s="12"/>
      <c r="T40" s="12"/>
      <c r="U40" s="17"/>
      <c r="V40" s="17"/>
      <c r="W40" s="25">
        <f t="shared" si="11"/>
        <v>84</v>
      </c>
      <c r="X40" s="12">
        <f t="shared" si="3"/>
        <v>1.7195812947287661E-3</v>
      </c>
      <c r="Y40" s="4">
        <f t="shared" si="4"/>
        <v>6.8783251789150642E-7</v>
      </c>
      <c r="Z40" s="8"/>
      <c r="AA40" s="8"/>
      <c r="AB40" s="8"/>
      <c r="AC40" s="8"/>
    </row>
    <row r="41" spans="1:29" x14ac:dyDescent="0.25">
      <c r="A41" s="8"/>
      <c r="B41" s="8"/>
      <c r="C41" s="8"/>
      <c r="D41" s="8"/>
      <c r="E41" s="8"/>
      <c r="F41" s="8"/>
      <c r="G41" s="8"/>
      <c r="H41" s="8"/>
      <c r="I41" s="11" t="s">
        <v>62</v>
      </c>
      <c r="J41" s="17">
        <f>B14*C14*D14*E14*F14</f>
        <v>2</v>
      </c>
      <c r="K41" s="12">
        <v>9000</v>
      </c>
      <c r="L41" s="12">
        <f t="shared" si="5"/>
        <v>1.6376964711702533E-8</v>
      </c>
      <c r="M41" s="12">
        <f t="shared" si="6"/>
        <v>1.326250165753752</v>
      </c>
      <c r="N41" s="12">
        <f>K41*L41</f>
        <v>1.473926824053228E-4</v>
      </c>
      <c r="O41" s="21">
        <f t="shared" si="0"/>
        <v>18000</v>
      </c>
      <c r="P41" s="11"/>
      <c r="Q41" s="17"/>
      <c r="R41" s="12"/>
      <c r="S41" s="12"/>
      <c r="T41" s="12"/>
      <c r="U41" s="17"/>
      <c r="V41" s="17"/>
      <c r="W41" s="25">
        <f t="shared" si="11"/>
        <v>2</v>
      </c>
      <c r="X41" s="12">
        <f t="shared" si="3"/>
        <v>1.473926824053228E-4</v>
      </c>
      <c r="Y41" s="4">
        <f t="shared" si="4"/>
        <v>1.6376964711702533E-8</v>
      </c>
      <c r="Z41" s="8"/>
      <c r="AA41" s="8"/>
      <c r="AB41" s="8"/>
      <c r="AC41" s="8"/>
    </row>
    <row r="42" spans="1:29" x14ac:dyDescent="0.25">
      <c r="A42" s="8"/>
      <c r="B42" s="8"/>
      <c r="C42" s="8"/>
      <c r="D42" s="8"/>
      <c r="E42" s="8"/>
      <c r="F42" s="8"/>
      <c r="G42" s="8"/>
      <c r="H42" s="8"/>
      <c r="I42" s="11" t="s">
        <v>63</v>
      </c>
      <c r="J42" s="17">
        <f>Sheet2!P25</f>
        <v>6787440</v>
      </c>
      <c r="K42" s="12">
        <v>2</v>
      </c>
      <c r="L42" s="12">
        <f t="shared" si="5"/>
        <v>5.5578832681399119E-2</v>
      </c>
      <c r="M42" s="12">
        <f t="shared" si="6"/>
        <v>5.9723658379652607E-2</v>
      </c>
      <c r="N42" s="12">
        <f>K42*L42</f>
        <v>0.11115766536279824</v>
      </c>
      <c r="O42" s="21">
        <f t="shared" si="0"/>
        <v>13574880</v>
      </c>
      <c r="P42" s="11"/>
      <c r="Q42" s="17"/>
      <c r="R42" s="12"/>
      <c r="S42" s="12"/>
      <c r="T42" s="12"/>
      <c r="U42" s="17"/>
      <c r="V42" s="17"/>
      <c r="W42" s="25">
        <f t="shared" si="11"/>
        <v>6787440</v>
      </c>
      <c r="X42" s="12">
        <f t="shared" si="3"/>
        <v>0.11115766536279824</v>
      </c>
      <c r="Y42" s="4">
        <f t="shared" si="4"/>
        <v>5.5578832681399119E-2</v>
      </c>
      <c r="Z42" s="8"/>
      <c r="AA42" s="8"/>
      <c r="AB42" s="8"/>
      <c r="AC42" s="8"/>
    </row>
    <row r="43" spans="1:29" x14ac:dyDescent="0.25">
      <c r="A43" s="8"/>
      <c r="B43" s="8"/>
      <c r="C43" s="8"/>
      <c r="D43" s="8"/>
      <c r="E43" s="8"/>
      <c r="F43" s="8"/>
      <c r="G43" s="8"/>
      <c r="H43" s="8"/>
      <c r="I43" s="11" t="s">
        <v>64</v>
      </c>
      <c r="J43" s="17">
        <f>Sheet2!G46</f>
        <v>616086</v>
      </c>
      <c r="K43" s="12">
        <v>5</v>
      </c>
      <c r="L43" s="12">
        <f t="shared" si="5"/>
        <v>5.0448093406869838E-3</v>
      </c>
      <c r="M43" s="12">
        <f t="shared" si="6"/>
        <v>8.2201535767058034E-2</v>
      </c>
      <c r="N43" s="12">
        <f t="shared" si="7"/>
        <v>2.5224046703434918E-2</v>
      </c>
      <c r="O43" s="21">
        <f t="shared" si="0"/>
        <v>3080430</v>
      </c>
      <c r="P43" s="11"/>
      <c r="Q43" s="17"/>
      <c r="R43" s="12"/>
      <c r="S43" s="12"/>
      <c r="T43" s="12"/>
      <c r="U43" s="17"/>
      <c r="V43" s="17"/>
      <c r="W43" s="25">
        <f t="shared" si="11"/>
        <v>616086</v>
      </c>
      <c r="X43" s="12">
        <f t="shared" si="3"/>
        <v>2.5224046703434918E-2</v>
      </c>
      <c r="Y43" s="4">
        <f t="shared" si="4"/>
        <v>5.0448093406869838E-3</v>
      </c>
      <c r="Z43" s="8"/>
      <c r="AA43" s="8"/>
      <c r="AB43" s="8"/>
      <c r="AC43" s="8"/>
    </row>
    <row r="44" spans="1:29" x14ac:dyDescent="0.25">
      <c r="A44" s="8"/>
      <c r="B44" s="8"/>
      <c r="C44" s="8"/>
      <c r="D44" s="8"/>
      <c r="E44" s="8"/>
      <c r="F44" s="8"/>
      <c r="G44" s="8"/>
      <c r="H44" s="8"/>
      <c r="I44" s="11" t="s">
        <v>65</v>
      </c>
      <c r="J44" s="17">
        <f>3*B13*3*C13*3*D13*3*E13*(F15-3*F13)+3*B13*3*C13*3*D13*(E15-3*E13)*3*F13+3*B13*3*C13*(D15-3*D13)*3*E13*3*F13+3*B13*(C15-3*C13)*3*D13*3*E13*3*F13+(B15-3*B13)*3*C13*3*D13*3*E13*3*F13</f>
        <v>27540</v>
      </c>
      <c r="K44" s="12">
        <v>20</v>
      </c>
      <c r="L44" s="12">
        <f t="shared" si="5"/>
        <v>2.2551080408014389E-4</v>
      </c>
      <c r="M44" s="12">
        <f t="shared" si="6"/>
        <v>8.1723492106146239E-2</v>
      </c>
      <c r="N44" s="12">
        <f t="shared" si="7"/>
        <v>4.5102160816028782E-3</v>
      </c>
      <c r="O44" s="21">
        <f t="shared" si="0"/>
        <v>550800</v>
      </c>
      <c r="P44" s="11"/>
      <c r="Q44" s="17"/>
      <c r="R44" s="12"/>
      <c r="S44" s="12"/>
      <c r="T44" s="12"/>
      <c r="U44" s="17"/>
      <c r="V44" s="21"/>
      <c r="W44" s="17">
        <f t="shared" si="11"/>
        <v>27540</v>
      </c>
      <c r="X44" s="12">
        <f t="shared" si="3"/>
        <v>4.5102160816028782E-3</v>
      </c>
      <c r="Y44" s="4">
        <f t="shared" si="4"/>
        <v>2.2551080408014389E-4</v>
      </c>
      <c r="Z44" s="8"/>
      <c r="AA44" s="8"/>
      <c r="AB44" s="8"/>
      <c r="AC44" s="8"/>
    </row>
    <row r="45" spans="1:29" x14ac:dyDescent="0.25">
      <c r="A45" s="8"/>
      <c r="B45" s="8"/>
      <c r="C45" s="8"/>
      <c r="D45" s="8"/>
      <c r="E45" s="8"/>
      <c r="F45" s="8"/>
      <c r="G45" s="8"/>
      <c r="H45" s="8"/>
      <c r="I45" s="14" t="s">
        <v>66</v>
      </c>
      <c r="J45" s="18">
        <f>Sheet2!G5</f>
        <v>486</v>
      </c>
      <c r="K45" s="15">
        <v>500</v>
      </c>
      <c r="L45" s="15">
        <f>J45/$F$17</f>
        <v>3.9796024249437153E-6</v>
      </c>
      <c r="M45" s="12">
        <f t="shared" si="6"/>
        <v>0.99107041996389111</v>
      </c>
      <c r="N45" s="15">
        <f>K45*L45</f>
        <v>1.9898012124718576E-3</v>
      </c>
      <c r="O45" s="18">
        <f t="shared" si="0"/>
        <v>243000</v>
      </c>
      <c r="P45" s="14"/>
      <c r="Q45" s="22"/>
      <c r="R45" s="8"/>
      <c r="S45" s="8"/>
      <c r="T45" s="8"/>
      <c r="U45" s="22"/>
      <c r="V45" s="22"/>
      <c r="W45" s="26">
        <f t="shared" si="11"/>
        <v>486</v>
      </c>
      <c r="X45" s="12">
        <f t="shared" si="3"/>
        <v>1.9898012124718576E-3</v>
      </c>
      <c r="Y45" s="5">
        <f t="shared" si="4"/>
        <v>3.9796024249437153E-6</v>
      </c>
      <c r="Z45" s="8"/>
      <c r="AA45" s="8"/>
      <c r="AB45" s="8"/>
      <c r="AC45" s="8"/>
    </row>
    <row r="46" spans="1:29" x14ac:dyDescent="0.25">
      <c r="A46" s="8"/>
      <c r="B46" s="8"/>
      <c r="C46" s="8"/>
      <c r="D46" s="8"/>
      <c r="E46" s="8"/>
      <c r="F46" s="8"/>
      <c r="G46" s="8"/>
      <c r="H46" s="8"/>
      <c r="I46" s="16" t="s">
        <v>67</v>
      </c>
      <c r="J46" s="19">
        <f t="shared" ref="J46:O46" si="12">SUM(J2:J45)</f>
        <v>9016659</v>
      </c>
      <c r="K46" s="16">
        <f t="shared" si="12"/>
        <v>16183</v>
      </c>
      <c r="L46" s="16">
        <f t="shared" si="12"/>
        <v>7.3832753130227538E-2</v>
      </c>
      <c r="M46" s="16">
        <f t="shared" si="12"/>
        <v>10.869780280403075</v>
      </c>
      <c r="N46" s="16">
        <f t="shared" si="12"/>
        <v>0.24787752899639864</v>
      </c>
      <c r="O46" s="19">
        <f t="shared" si="12"/>
        <v>30271486</v>
      </c>
      <c r="P46" s="16" t="s">
        <v>67</v>
      </c>
      <c r="Q46" s="19">
        <f t="shared" ref="Q46:V46" si="13">SUM(Q2:Q37)</f>
        <v>1861628</v>
      </c>
      <c r="R46" s="16">
        <f t="shared" si="13"/>
        <v>7792</v>
      </c>
      <c r="S46" s="16">
        <f t="shared" si="13"/>
        <v>1.5243908031158685E-2</v>
      </c>
      <c r="T46" s="16">
        <f t="shared" si="13"/>
        <v>0.33052419257633497</v>
      </c>
      <c r="U46" s="19">
        <f t="shared" si="13"/>
        <v>40364524</v>
      </c>
      <c r="V46" s="79">
        <f t="shared" si="13"/>
        <v>46.473710020575396</v>
      </c>
      <c r="W46" s="24">
        <f>SUM(W2:W45)</f>
        <v>10879890</v>
      </c>
      <c r="X46" s="16">
        <f>SUM(X2:X45)</f>
        <v>0.57840172157273362</v>
      </c>
      <c r="Y46" s="8"/>
      <c r="Z46" s="8"/>
      <c r="AA46" s="8"/>
      <c r="AB46" s="8"/>
      <c r="AC46" s="8"/>
    </row>
    <row r="47" spans="1:29" x14ac:dyDescent="0.25">
      <c r="A47" s="8"/>
      <c r="B47" s="8"/>
      <c r="C47" s="8"/>
      <c r="D47" s="8"/>
      <c r="E47" s="8"/>
      <c r="F47" s="8"/>
      <c r="G47" s="8"/>
      <c r="H47" s="8"/>
      <c r="I47" s="16" t="s">
        <v>83</v>
      </c>
      <c r="J47" s="20">
        <f>SUM(O2:O45,U2:U37)</f>
        <v>70636010</v>
      </c>
      <c r="K47" s="8"/>
      <c r="L47" s="8"/>
      <c r="M47" s="8"/>
      <c r="N47" s="8"/>
      <c r="O47" s="22">
        <f>SUM(O2:O37)</f>
        <v>12135136</v>
      </c>
      <c r="P47" s="8"/>
      <c r="Q47" s="8"/>
      <c r="R47" s="8"/>
      <c r="S47" s="8"/>
      <c r="T47" s="8"/>
      <c r="U47" s="8"/>
      <c r="V47" s="8"/>
      <c r="W47" s="16" t="s">
        <v>85</v>
      </c>
      <c r="X47" s="16"/>
      <c r="Y47" s="28">
        <f>SUM(Y2:Y45)</f>
        <v>8.9076661161386211E-2</v>
      </c>
      <c r="Z47" s="8"/>
      <c r="AA47" s="8"/>
      <c r="AB47" s="8"/>
      <c r="AC47" s="8"/>
    </row>
    <row r="48" spans="1:29" x14ac:dyDescent="0.25">
      <c r="A48" s="8"/>
      <c r="B48" s="8"/>
      <c r="C48" s="8"/>
      <c r="D48" s="8"/>
      <c r="E48" s="8"/>
      <c r="F48" s="8"/>
      <c r="G48" s="8"/>
      <c r="H48" s="8"/>
      <c r="I48" s="16" t="s">
        <v>84</v>
      </c>
      <c r="J48" s="27">
        <f>J47/(F17)</f>
        <v>0.57840172157273362</v>
      </c>
      <c r="K48" s="8"/>
      <c r="L48" s="8"/>
      <c r="M48" s="8"/>
      <c r="N48" s="8"/>
      <c r="O48" s="22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4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1"/>
      <c r="X49" s="1"/>
      <c r="Y49" s="8"/>
      <c r="Z49" s="8"/>
      <c r="AA49" s="8"/>
      <c r="AB49" s="8"/>
      <c r="AC49" s="8"/>
    </row>
    <row r="50" spans="1:4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4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3"/>
      <c r="M51" s="3"/>
      <c r="N51" s="8"/>
      <c r="O51" s="8"/>
      <c r="P51" s="8"/>
      <c r="Q51" s="8"/>
      <c r="R51" s="8"/>
      <c r="S51" s="8"/>
      <c r="T51" s="8"/>
      <c r="U51" s="8"/>
      <c r="V51" s="8"/>
      <c r="X51" s="8"/>
      <c r="Y51" s="8"/>
      <c r="Z51" s="8"/>
      <c r="AA51" s="8"/>
      <c r="AB51" s="8"/>
      <c r="AC51" s="8"/>
    </row>
    <row r="52" spans="1:4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1"/>
      <c r="M52" s="1"/>
      <c r="N52" s="8"/>
      <c r="O52" s="8"/>
      <c r="P52" s="8"/>
      <c r="Q52" s="8"/>
      <c r="R52" s="8"/>
      <c r="S52" s="8"/>
      <c r="T52" s="8"/>
      <c r="U52" s="8"/>
      <c r="V52" s="8"/>
      <c r="X52" s="8"/>
      <c r="Y52" s="8"/>
      <c r="Z52" s="8"/>
      <c r="AA52" s="8"/>
      <c r="AB52" s="8"/>
      <c r="AC52" s="8"/>
    </row>
    <row r="53" spans="1:4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O53" s="8"/>
      <c r="P53" s="8"/>
      <c r="Q53" s="8"/>
      <c r="R53" s="8"/>
      <c r="S53" s="8"/>
      <c r="T53" s="8"/>
      <c r="V53" s="8"/>
      <c r="X53" s="8"/>
      <c r="Y53" s="8"/>
      <c r="Z53" s="8"/>
      <c r="AA53" s="8"/>
      <c r="AB53" s="8"/>
      <c r="AC53" s="8"/>
    </row>
    <row r="54" spans="1:4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X54" s="8"/>
      <c r="Y54" s="8"/>
      <c r="Z54" s="8"/>
      <c r="AA54" s="8"/>
      <c r="AB54" s="8"/>
      <c r="AC54" s="8"/>
    </row>
    <row r="55" spans="1:46" x14ac:dyDescent="0.25">
      <c r="A55" s="8"/>
      <c r="B55" s="8"/>
      <c r="C55" s="8"/>
      <c r="D55" s="8"/>
      <c r="E55" s="8"/>
      <c r="F55" s="8"/>
      <c r="G55" s="13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X55" s="8"/>
      <c r="Y55" s="8"/>
      <c r="Z55" s="8"/>
      <c r="AA55" s="8"/>
      <c r="AB55" s="8"/>
      <c r="AC55" s="8"/>
    </row>
    <row r="56" spans="1:4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Y56" s="8"/>
      <c r="Z56" s="8"/>
      <c r="AA56" s="8"/>
      <c r="AB56" s="8"/>
      <c r="AC56" s="8"/>
    </row>
    <row r="57" spans="1:4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Y57" s="8"/>
      <c r="Z57" s="8"/>
      <c r="AA57" s="8"/>
      <c r="AB57" s="8"/>
      <c r="AC57" s="8"/>
    </row>
    <row r="58" spans="1:4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Y58" s="8"/>
      <c r="Z58" s="8"/>
      <c r="AA58" s="8"/>
      <c r="AB58" s="8"/>
      <c r="AC58" s="8"/>
    </row>
    <row r="59" spans="1:4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Y59" s="8"/>
      <c r="Z59" s="8"/>
      <c r="AA59" s="8"/>
      <c r="AB59" s="8"/>
      <c r="AC59" s="8"/>
    </row>
    <row r="60" spans="1:4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74"/>
      <c r="X60" s="12"/>
      <c r="Y60" s="8"/>
      <c r="Z60" s="8"/>
      <c r="AA60" s="8"/>
      <c r="AB60" s="8"/>
      <c r="AC60" s="8"/>
    </row>
    <row r="61" spans="1:46" ht="15.75" thickBot="1" x14ac:dyDescent="0.3">
      <c r="A61" s="16" t="s">
        <v>86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74"/>
      <c r="X61" s="12"/>
      <c r="Y61" s="8"/>
      <c r="Z61" s="8"/>
      <c r="AA61" s="8"/>
      <c r="AB61" s="8"/>
      <c r="AC61" s="8"/>
    </row>
    <row r="62" spans="1:46" ht="15.75" thickBot="1" x14ac:dyDescent="0.3">
      <c r="A62" s="8"/>
      <c r="B62" s="8"/>
      <c r="C62" s="8"/>
      <c r="D62" s="8"/>
      <c r="E62" s="8"/>
      <c r="F62" s="8"/>
      <c r="G62" s="8"/>
      <c r="H62" s="8"/>
      <c r="I62" s="33" t="s">
        <v>99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33" t="s">
        <v>100</v>
      </c>
      <c r="AB62" s="8"/>
      <c r="AC62" s="8"/>
    </row>
    <row r="63" spans="1:46" x14ac:dyDescent="0.25">
      <c r="A63" s="6"/>
      <c r="B63" s="7" t="s">
        <v>0</v>
      </c>
      <c r="C63" s="7" t="s">
        <v>4</v>
      </c>
      <c r="D63" s="7" t="s">
        <v>1</v>
      </c>
      <c r="E63" s="7" t="s">
        <v>2</v>
      </c>
      <c r="F63" s="7" t="s">
        <v>3</v>
      </c>
      <c r="G63" s="8"/>
      <c r="H63" s="8"/>
      <c r="I63" s="34" t="s">
        <v>19</v>
      </c>
      <c r="J63" s="9" t="s">
        <v>69</v>
      </c>
      <c r="K63" s="9" t="s">
        <v>20</v>
      </c>
      <c r="L63" s="9" t="s">
        <v>91</v>
      </c>
      <c r="M63" s="9" t="s">
        <v>123</v>
      </c>
      <c r="N63" s="9" t="s">
        <v>87</v>
      </c>
      <c r="O63" s="9" t="s">
        <v>82</v>
      </c>
      <c r="P63" s="9" t="s">
        <v>70</v>
      </c>
      <c r="Q63" s="9" t="s">
        <v>69</v>
      </c>
      <c r="R63" s="9" t="s">
        <v>68</v>
      </c>
      <c r="S63" s="9" t="s">
        <v>91</v>
      </c>
      <c r="T63" s="9" t="s">
        <v>87</v>
      </c>
      <c r="U63" s="10" t="s">
        <v>82</v>
      </c>
      <c r="V63" s="10" t="s">
        <v>123</v>
      </c>
      <c r="W63" s="9" t="s">
        <v>81</v>
      </c>
      <c r="X63" s="9" t="s">
        <v>97</v>
      </c>
      <c r="Y63" s="9" t="s">
        <v>71</v>
      </c>
      <c r="Z63" s="8"/>
      <c r="AA63" s="34" t="s">
        <v>19</v>
      </c>
      <c r="AB63" s="9" t="s">
        <v>69</v>
      </c>
      <c r="AC63" s="9" t="s">
        <v>20</v>
      </c>
      <c r="AD63" s="9" t="s">
        <v>91</v>
      </c>
      <c r="AE63" s="9" t="s">
        <v>123</v>
      </c>
      <c r="AF63" s="9" t="s">
        <v>87</v>
      </c>
      <c r="AG63" s="9" t="s">
        <v>82</v>
      </c>
      <c r="AH63" s="9" t="s">
        <v>70</v>
      </c>
      <c r="AI63" s="9" t="s">
        <v>69</v>
      </c>
      <c r="AJ63" s="9" t="s">
        <v>68</v>
      </c>
      <c r="AK63" s="9" t="s">
        <v>91</v>
      </c>
      <c r="AL63" s="10" t="s">
        <v>123</v>
      </c>
      <c r="AM63" s="9" t="s">
        <v>87</v>
      </c>
      <c r="AN63" s="10" t="s">
        <v>82</v>
      </c>
      <c r="AO63" s="9" t="s">
        <v>81</v>
      </c>
      <c r="AP63" s="9" t="s">
        <v>97</v>
      </c>
      <c r="AQ63" s="9" t="s">
        <v>71</v>
      </c>
    </row>
    <row r="64" spans="1:46" x14ac:dyDescent="0.25">
      <c r="A64" s="7" t="s">
        <v>5</v>
      </c>
      <c r="B64" s="7">
        <v>2</v>
      </c>
      <c r="C64" s="7">
        <v>2</v>
      </c>
      <c r="D64" s="7">
        <v>4</v>
      </c>
      <c r="E64" s="7">
        <v>2</v>
      </c>
      <c r="F64" s="7">
        <v>3</v>
      </c>
      <c r="G64" s="8"/>
      <c r="H64" s="8"/>
      <c r="I64" s="11" t="s">
        <v>21</v>
      </c>
      <c r="J64" s="17">
        <f>B64*C64*(D77-D76-D64)*E77*F77-B64*C64*D65*E65*F65-B64*C64*D66*E66*F66-B64*C64*D67*E67*F67-B64*C64*D68*E68*F68-B64*C64*D69*E69*F69-B64*C64*D70*E70*F70-B64*C64*D71*E71*F71-B64*C64*D72*E72*F72-B64*C64*D73*E73*F73-B64*C64*D74*E74*F74-B64*C64*(D77-D76-D64)*E76*F76-B64*C64*(D77-D76-D64)*E73*F73-B64*C64*(D77-D76-D64)*E74*F74-B64*C64*D65*E76*F65-B64*C64*D66*E76*F66-B64*C64*D67*E76*F67-B64*C64*D68*E76*F68-B64*C64*D69*E76*F69-B64*C64*D70*E76*F70-B64*C64*D71*E76*F71-B64*C64*D72*E76*F72-B64*C64*D73*E76*F73-B64*C64*D74*E76*F74-B64*C64*D65*E65*F76-B64*C64*D66*E66*F76-B64*C64*D67*E67*F76-B64*C64*D68*E68*F76-B64*C64*D69*E69*F76-B64*C64*D70*E70*F76-B64*C64*D71*E71*F76-B64*C64*D72*E72*F76-B64*C64*D73*E73*F76-B64*C64*D74*E74*F76-B64*C64*(D77-D76-D64)*E76*F73-B64*C64*(D77-D76-D64)*E76*F74-B64*C64*(D77-D76-D64)*E76*F64-B64*C64*(D77-D76-D64)*E74*F76-B64*C64*(D77-D76-D64)*E73*F76-B64*C64*(D77-D76-D64)*E64*F76</f>
        <v>151032</v>
      </c>
      <c r="K64" s="12">
        <v>2</v>
      </c>
      <c r="L64" s="12">
        <f>J64/$F$79</f>
        <v>2.7248652505854152E-3</v>
      </c>
      <c r="M64" s="12">
        <f t="shared" ref="M64:M107" si="14">L64*POWER(K64-$D$121,2)</f>
        <v>2.9280737558745919E-3</v>
      </c>
      <c r="N64" s="12">
        <f>K64*L64</f>
        <v>5.4497305011708304E-3</v>
      </c>
      <c r="O64" s="21">
        <f t="shared" ref="O64:O107" si="15">J64*K64*3</f>
        <v>906192</v>
      </c>
      <c r="P64" s="11" t="s">
        <v>21</v>
      </c>
      <c r="Q64" s="17">
        <f>W64-J64-B64*C76*D65*E65*F65-B64*C76*D66*E66*F66-B64*C76*D67*E67*F67-B64*C76*D68*E68*F68-B64*C76*D69*E69*F69-B64*C76*D70*E70*F70-B64*C76*D71*E71*F71-B64*C76*D72*E72*F72-B64*C76*D73*E73*F73-B64*C76*D74*E74*F74-B64*C76*D65*E76*F65-B64*C76*D66*E76*F66-B64*C76*D67*E76*F67-B64*C76*D68*E76*F68-B64*C76*D69*E76*F69-B64*C76*D70*E76*F70-B64*C76*D71*E76*F71-B64*C76*D72*E76*F72-B64*C76*D73*E76*F73-B64*C76*D74*E76*F74-B64*C76*D65*E65*F76-B64*C76*D66*E66*F76-B64*C76*D67*E67*F76-B64*C76*D68*E68*F76-B64*C76*D69*E69*F76-B64*C76*D70*E70*F76-B64*C76*D71*E71*F76-B64*C76*D72*E72*F76-B64*C76*D73*E73*F76-B64*C76*D74*E74*F76-B64*C76*(D77-D76-D64)*E76*F76-B76*C64*D65*E65*F65-B76*C64*D66*E66*F66-B76*C64*D67*E67*F67-B76*C64*D68*E68*F68-B76*C64*D69*E69*F69-B76*C64*D70*E70*F70-B76*C64*D71*E71*F71-B76*C64*D72*E72*F72-B76*C64*D73*E73*F73-B76*C64*D74*E74*F74-B76*C64*D65*E76*F65-B76*C64*D66*E76*F66-B76*C64*D67*E76*F67-B76*C64*D68*E76*F68-B76*C64*D69*E76*F69-B76*C64*D70*E76*F70-B76*C64*D71*E76*F71-B76*C64*D72*E76*F72-B76*C64*D73*E76*F73-B76*C64*D74*E76*F74-B76*C64*D65*E65*F76-B76*C64*D66*E66*F76-B76*C64*D67*E67*F76-B76*C64*D68*E68*F76-B76*C64*D69*E69*F76-B76*C64*D70*E70*F76-B76*C64*D71*E71*F76-B76*C64*D72*E72*F76-B76*C64*D73*E73*F76-B76*C64*D74*E74*F76-B76*C64*(D77-D76-D64)*E76*F76-B76*C64*(D77-D76-D64)*E76*F74-B76*C64*(D77-D76-D64)*E76*F73-B76*C64*(D77-D76-D64)*E74*F76-B76*C64*(D77-D76-D64)*E73*F76-B64*C76*(D77-D76-D64)*E76*F74-B64*C76*(D77-D76-D64)*E76*F73-B64*C76*(D77-D76-D64)*E74*F76-B64*C76*(D77-D76-D64)*E73*F76</f>
        <v>233376</v>
      </c>
      <c r="R64" s="12">
        <f t="shared" ref="R64:R99" si="16">K64*2</f>
        <v>4</v>
      </c>
      <c r="S64" s="12">
        <f>Q64/$F$79</f>
        <v>4.2104862063709805E-3</v>
      </c>
      <c r="T64" s="12">
        <f>R64*S64</f>
        <v>1.6841944825483922E-2</v>
      </c>
      <c r="U64" s="17">
        <f>Q64*R64*3</f>
        <v>2800512</v>
      </c>
      <c r="V64" s="77">
        <f t="shared" ref="V64:V99" si="17">S64*POWER(R64-$D$121,2)</f>
        <v>3.8825083547420744E-2</v>
      </c>
      <c r="W64" s="11">
        <f>(B64+B76)*(C64+C76)*(D77-D76-D64)*E77*F77-B76*C76*(D77-D76-D64)*E77*F77</f>
        <v>388800</v>
      </c>
      <c r="X64" s="12">
        <f t="shared" ref="X64:X107" si="18">T64+N64</f>
        <v>2.2291675326654752E-2</v>
      </c>
      <c r="Y64" s="4">
        <f t="shared" ref="Y64:Y107" si="19">(Q64+J64)/$F$79</f>
        <v>6.9353514569563957E-3</v>
      </c>
      <c r="Z64" s="8"/>
      <c r="AA64" s="11" t="s">
        <v>21</v>
      </c>
      <c r="AB64" s="17">
        <f>F64*E64*(D77-D76-D64)*C77*B77-F64*E64*D65*C65*B65-F64*E64*D66*C66*B66-F64*E64*D67*C67*B67-F64*E64*D68*C68*B68-F64*E64*D69*C69*B69-F64*E64*D70*C70*B70-F64*E64*D71*C71*B71-F64*E64*D72*C72*B72-F64*E64*D74*C74*B74-F64*E64*D73*C73*B73-F64*E64*(D77-D76-D64)*C76*B76-F64*E64*(D77-D76-D64)*C73*B73-F64*E64*(D77-D76-D64)*C74*B74-F64*E64*D65*C76*B65-F64*E64*D66*C76*B66-F64*E64*D67*C76*B67-F64*E64*D68*C76*B68-F64*E64*D69*C76*B69-F64*E64*D70*C76*B70-F64*E64*D71*C76*B71-F64*E64*D72*C76*B72-F64*E64*D74*C76*B74-F64*E64*D73*C76*B73-F64*E64*D65*C65*B76-F64*E64*D66*C66*B76-F64*E64*D67*C67*B76-F64*E64*D68*C68*B76-F64*E64*D69*C69*B76-F64*E64*D70*C70*B76-F64*E64*D71*C71*B76-F64*E64*D72*C72*B76-F64*E64*D74*C74*B76</f>
        <v>209400</v>
      </c>
      <c r="AC64" s="12">
        <v>2</v>
      </c>
      <c r="AD64" s="12">
        <f>AB64/$F$79</f>
        <v>3.7779198015823528E-3</v>
      </c>
      <c r="AE64" s="12">
        <f t="shared" ref="AE64:AE107" si="20">AD64*POWER(AC64-$D$121,2)</f>
        <v>4.0596604989680297E-3</v>
      </c>
      <c r="AF64" s="12">
        <f>AC64*AD64</f>
        <v>7.5558396031647056E-3</v>
      </c>
      <c r="AG64" s="21">
        <f>AB64*AC64*3</f>
        <v>1256400</v>
      </c>
      <c r="AH64" s="11" t="s">
        <v>21</v>
      </c>
      <c r="AI64" s="17">
        <f>AO64-AB64-F64*E76*D65*C65*B65-F64*E76*D66*C66*B66-F64*E76*D67*C67*B67-F64*E76*D68*C68*B68-F64*E76*D69*C69*B69-F64*E76*D70*C70*B70-F64*E76*D71*C71*B71-F64*E76*D72*C72*B72-F64*E76*D73*C73*B73-F64*E76*D74*C74*B74-F64*E76*D65*C76*B65-F64*E76*D66*C76*B66-F64*E76*D67*C76*B67-F64*E76*D68*C76*B68-F64*E76*D69*C76*B69-F64*E76*D70*C76*B70-F64*E76*D71*C76*B71-F64*E76*D72*C76*B72-F64*E76*D73*C76*B73-F64*E76*D74*C76*B74-F64*E76*D65*C65*B76-F64*E76*D66*C66*B76-F64*E76*D67*C67*B76-F64*E76*D68*C68*B76-F64*E76*D69*C69*B76-F64*E76*D70*C70*B76-F64*E76*D71*C71*B76-F64*E76*D72*C72*B76-F64*E76*D73*C73*B76-F64*E76*D74*C74*B76-F64*E76*(D77-D76-D64)*C76*B76-F76*E64*D65*C65*B65-F76*E64*D66*C66*B66-F76*E64*D67*C67*B67-F76*E64*D68*C68*B68-F76*E64*D69*C69*B69-F76*E64*D70*C70*B70-F76*E64*D71*C71*B71-F76*E64*D72*C72*B72-F76*E64*D73*C73*B73-F76*E64*D74*C74*B74-F76*E64*D65*C76*B65-F76*E64*D66*C76*B66-F76*E64*D67*C76*B67-F76*E64*D68*C76*B68-F76*E64*D69*C76*B69-F76*E64*D70*C76*B70-F76*E64*D71*C76*B71-F76*E64*D72*C76*B72-F76*E64*D73*C76*B73-F76*E64*D74*C76*B74-F76*E64*D65*C65*B76-F76*E64*D66*C66*B76-F76*E64*D67*C67*B76-F76*E64*D68*C68*B76-F76*E64*D69*C69*B76-F76*E64*D70*C70*B76-F76*E64*D71*C71*B76-F76*E64*D72*C72*B76-F76*E64*D73*C73*B76-F76*E64*D74*C74*B76-F76*E64*(D77-D76-D64)*C76*B76-F76*E64*(D77-D76-D64)*C76*B74-F76*E64*(D77-D76-D64)*C76*B73-F76*E64*(D77-D76-D64)*C74*B76-F76*E64*(D77-D76-D64)*C73*B76-F64*E76*(D77-D76-D64)*C76*B74-F64*E76*(D77-D76-D64)*C76*B73-F64*E76*(D77-D76-D64)*C74*B76-F64*E76*(D77-D76-D64)*C73*B76</f>
        <v>178030</v>
      </c>
      <c r="AJ64" s="12">
        <f t="shared" ref="AJ64:AJ98" si="21">AC64*2</f>
        <v>4</v>
      </c>
      <c r="AK64" s="12">
        <f>AI64/$F$17</f>
        <v>1.4577955138122011E-3</v>
      </c>
      <c r="AL64" s="77">
        <f t="shared" ref="AL64:AL99" si="22">AK64*POWER(AJ64-$D$121,2)</f>
        <v>1.3442398299078288E-2</v>
      </c>
      <c r="AM64" s="12">
        <f>AJ64*AK64</f>
        <v>5.8311820552488045E-3</v>
      </c>
      <c r="AN64" s="17">
        <f>AI64*AJ64*3</f>
        <v>2136360</v>
      </c>
      <c r="AO64" s="11">
        <f>(F64+F76)*(E64+E76)*(D77-D76-D64)*C77*B77-F76*E76*(D77-D76-D64)*C77*B77</f>
        <v>392040</v>
      </c>
      <c r="AP64" s="12">
        <f>AM64+AF64</f>
        <v>1.338702165841351E-2</v>
      </c>
      <c r="AQ64" s="4">
        <f>(AI64+AB64)/$F$17</f>
        <v>3.1724637191274563E-3</v>
      </c>
      <c r="AS64" s="22">
        <f>SUM(J64+AB64)</f>
        <v>360432</v>
      </c>
      <c r="AT64" s="22">
        <f>Q64+AI64</f>
        <v>411406</v>
      </c>
    </row>
    <row r="65" spans="1:46" x14ac:dyDescent="0.25">
      <c r="A65" s="7" t="s">
        <v>6</v>
      </c>
      <c r="B65" s="7">
        <v>4</v>
      </c>
      <c r="C65" s="7">
        <v>5</v>
      </c>
      <c r="D65" s="7">
        <v>4</v>
      </c>
      <c r="E65" s="7">
        <v>4</v>
      </c>
      <c r="F65" s="7">
        <v>3</v>
      </c>
      <c r="G65" s="8"/>
      <c r="H65" s="8"/>
      <c r="I65" s="11" t="s">
        <v>22</v>
      </c>
      <c r="J65" s="17">
        <f>B64*C64*D64*(E77-E76-E64)*F77</f>
        <v>19008</v>
      </c>
      <c r="K65" s="12">
        <v>5</v>
      </c>
      <c r="L65" s="12">
        <f t="shared" ref="L65:L107" si="23">J65/$F$79</f>
        <v>3.4293552812071328E-4</v>
      </c>
      <c r="M65" s="12">
        <f t="shared" si="14"/>
        <v>5.587887505134329E-3</v>
      </c>
      <c r="N65" s="12">
        <f t="shared" ref="N65:N69" si="24">K65*L65</f>
        <v>1.7146776406035665E-3</v>
      </c>
      <c r="O65" s="21">
        <f t="shared" si="15"/>
        <v>285120</v>
      </c>
      <c r="P65" s="11" t="s">
        <v>22</v>
      </c>
      <c r="Q65" s="17">
        <f>W65-J65-B64*C76*D76*E65*F65-B64*C76*D76*E66*F66-B64*C76*D76*E67*F67-B64*C76*D76*E68*F68-B64*C76*D76*E69*F69-B64*C76*D76*E70*F70-B64*C76*D76*E71*F71-B64*C76*D76*E72*F72-B64*C76*D76*E73*F73-B64*C76*D76*E74*F74-B64*C64*D76*E65*F65-B64*C64*D76*E66*F66-B64*C64*D76*E67*F67-B64*C64*D76*E68*F68-B64*C64*D76*E69*F69-B64*C64*D76*E70*F70-B64*C64*D76*E71*F71-B64*C64*D76*E72*F72-B64*C64*D76*E73*F73-B64*C64*D76*E74*F74-B76*C64*D76*E65*F65-B76*C64*D76*E66*F66-B76*C64*D76*E67*F67-B76*C64*D76*E68*F68-B76*C64*D76*E69*F69-B76*C64*D76*E70*F70-B76*C64*D76*E71*F71-B76*C64*D76*E72*F72-B76*C64*D76*E73*F73-B76*C64*D76*E74*F74-B64*C76*D76*E65*F76-B64*C76*D76*E66*F76-B64*C76*D76*E67*F76-B64*C76*D76*E68*F76-B64*C76*D76*E69*F76-B64*C76*D76*E70*F76-B64*C76*D76*E71*F76-B64*C76*D76*E72*F76-B64*C76*D76*E73*F76-B64*C76*D76*E74*F76-B64*C64*D76*E65*F76-B64*C64*D76*E66*F76-B64*C64*D76*E67*F76-B64*C64*D76*E68*F76-B64*C64*D76*E69*F76-B64*C64*D76*E70*F76-B64*C64*D76*E71*F76-B64*C64*D76*E72*F76-B64*C64*D76*E73*F76-B64*C64*D76*E74*F76-B76*C64*D76*E65*F76-B76*C64*D76*E66*F76-B76*C64*D76*E67*F76-B76*C64*D76*E68*F76-B76*C64*D76*E69*F76-B76*C64*D76*E70*F76-B76*C64*D76*E71*F76-B76*C64*D76*E72*F76-B76*C64*D76*E73*F76-B76*C64*D76*E74*F76-B76*C76*D64*(E77-E76-E64)*F77</f>
        <v>49712</v>
      </c>
      <c r="R65" s="12">
        <f t="shared" si="16"/>
        <v>10</v>
      </c>
      <c r="S65" s="12">
        <f t="shared" ref="S65:S99" si="25">Q65/$F$79</f>
        <v>8.968860992180608E-4</v>
      </c>
      <c r="T65" s="12">
        <f t="shared" ref="T65:T99" si="26">R65*S65</f>
        <v>8.9688609921806071E-3</v>
      </c>
      <c r="U65" s="17">
        <f t="shared" ref="U65:U99" si="27">Q65*R65*3</f>
        <v>1491360</v>
      </c>
      <c r="V65" s="77">
        <f t="shared" si="17"/>
        <v>7.3240125940352493E-2</v>
      </c>
      <c r="W65" s="11">
        <f>(B64+B76)*(C64+C76)*(D76+D64)*(E77-E76-E64)*F77-B76*C76*D76*(E77-E76-E64)*F77</f>
        <v>80784</v>
      </c>
      <c r="X65" s="12">
        <f t="shared" si="18"/>
        <v>1.0683538632784173E-2</v>
      </c>
      <c r="Y65" s="4">
        <f t="shared" si="19"/>
        <v>1.2398216273387741E-3</v>
      </c>
      <c r="Z65" s="8"/>
      <c r="AA65" s="11" t="s">
        <v>22</v>
      </c>
      <c r="AB65" s="17">
        <f>F64*E64*D64*(C77-C76-C64)*B77</f>
        <v>25344</v>
      </c>
      <c r="AC65" s="12">
        <v>5</v>
      </c>
      <c r="AD65" s="12">
        <f t="shared" ref="AD65:AD102" si="28">AB65/$F$79</f>
        <v>4.5724737082761773E-4</v>
      </c>
      <c r="AE65" s="12">
        <f t="shared" si="20"/>
        <v>7.4505166735124384E-3</v>
      </c>
      <c r="AF65" s="12">
        <f>AC65*AD65</f>
        <v>2.2862368541380885E-3</v>
      </c>
      <c r="AG65" s="21">
        <f t="shared" ref="AG65:AG102" si="29">AB65*AC65*3</f>
        <v>380160</v>
      </c>
      <c r="AH65" s="11" t="s">
        <v>22</v>
      </c>
      <c r="AI65" s="17">
        <f>AO65-AB65-F64*E76*D76*C65*B65-F64*E76*D76*C66*B66-F64*E76*D76*C67*B67-F64*E76*D76*C68*B68-F64*E76*D76*C69*B69-F64*E76*D76*C70*B70-F64*E76*D76*C71*B71-F64*E76*D76*C72*B72-F64*E76*D76*C73*B73-F64*E76*D76*C74*B74-F64*E64*D76*C65*B65-F64*E64*D76*C66*B66-F64*E64*D76*C67*B67-F64*E64*D76*C68*B68-F64*E64*D76*C69*B69-F64*E64*D76*C70*B70-F64*E64*D76*C71*B71-F64*E64*D76*C72*B72-F64*E64*D76*C73*B73-F64*E64*D76*C74*B74-F76*E64*D76*C65*B65-F76*E64*D76*C66*B66-F76*E64*D76*C67*B67-F76*E64*D76*C68*B68-F76*E64*D76*C69*B69-F76*E64*D76*C70*B70-F76*E64*D76*C71*B71-F76*E64*D76*C72*B72-F76*E64*D76*C73*B73-F76*E64*D76*C74*B74-F64*E76*D76*C65*B76-F64*E76*D76*C66*B76-F64*E76*D76*C67*B76-F64*E76*D76*C68*B76-F64*E76*D76*C69*B76-F64*E76*D76*C70*B76-F64*E76*D76*C71*B76-F64*E76*D76*C72*B76-F64*E76*D76*C73*B76-F64*E76*D76*C74*B76-F64*E64*D76*C65*B76-F64*E64*D76*C66*B76-F64*E64*D76*C67*B76-F64*E64*D76*C68*B76-F64*E64*D76*C69*B76-F64*E64*D76*C70*B76-F64*E64*D76*C71*B76-F64*E64*D76*C72*B76-F64*E64*D76*C73*B76-F64*E64*D76*C74*B76-F76*E64*D76*C65*B76-F76*E64*D76*C66*B76-F76*E64*D76*C67*B76-F76*E64*D76*C68*B76-F76*E64*D76*C69*B76-F76*E64*D76*C70*B76-F76*E64*D76*C71*B76-F76*E64*D76*C72*B76-F76*E64*D76*C73*B76-F76*E64*D76*C74*B76-F76*E76*D64*(C77-C76-C64)*B77</f>
        <v>41624</v>
      </c>
      <c r="AJ65" s="12">
        <f t="shared" si="21"/>
        <v>10</v>
      </c>
      <c r="AK65" s="12">
        <f t="shared" ref="AK65:AK98" si="30">AI65/$F$17</f>
        <v>3.4083738957995313E-4</v>
      </c>
      <c r="AL65" s="77">
        <f t="shared" si="22"/>
        <v>2.7832935932199661E-2</v>
      </c>
      <c r="AM65" s="12">
        <f t="shared" ref="AM65:AM98" si="31">AJ65*AK65</f>
        <v>3.408373895799531E-3</v>
      </c>
      <c r="AN65" s="17">
        <f t="shared" ref="AN65:AN98" si="32">AI65*AJ65*3</f>
        <v>1248720</v>
      </c>
      <c r="AO65" s="11">
        <f>($F64+$F$76)*($E64+$E$76)*($D$76+$D64)*($C$77-$C$76-$C64)*$B$77-$F$76*$E$76*$D$76*($C$77-$C$76-$C64)*$B$77</f>
        <v>73920</v>
      </c>
      <c r="AP65" s="12">
        <f>AM65+AF65</f>
        <v>5.6946107499376199E-3</v>
      </c>
      <c r="AQ65" s="4">
        <f t="shared" ref="AQ65:AQ102" si="33">(AI65+AB65)/$F$17</f>
        <v>5.4836628640664764E-4</v>
      </c>
      <c r="AS65" s="22">
        <f t="shared" ref="AS65:AS107" si="34">SUM(J65+AB65)</f>
        <v>44352</v>
      </c>
      <c r="AT65" s="22">
        <f t="shared" ref="AT65:AT107" si="35">Q65+AI65</f>
        <v>91336</v>
      </c>
    </row>
    <row r="66" spans="1:46" x14ac:dyDescent="0.25">
      <c r="A66" s="7" t="s">
        <v>7</v>
      </c>
      <c r="B66" s="7">
        <v>4</v>
      </c>
      <c r="C66" s="7">
        <v>4</v>
      </c>
      <c r="D66" s="7">
        <v>3</v>
      </c>
      <c r="E66" s="7">
        <v>3</v>
      </c>
      <c r="F66" s="7">
        <v>3</v>
      </c>
      <c r="G66" s="8"/>
      <c r="H66" s="8"/>
      <c r="I66" s="11" t="s">
        <v>23</v>
      </c>
      <c r="J66" s="17">
        <f>B64*C64*D64*E64*(F77-F76-F64)</f>
        <v>1024</v>
      </c>
      <c r="K66" s="12">
        <v>25</v>
      </c>
      <c r="L66" s="12">
        <f t="shared" si="23"/>
        <v>1.8474641245560313E-5</v>
      </c>
      <c r="M66" s="12">
        <f t="shared" si="14"/>
        <v>1.067388980103821E-2</v>
      </c>
      <c r="N66" s="12">
        <f t="shared" si="24"/>
        <v>4.6186603113900783E-4</v>
      </c>
      <c r="O66" s="21">
        <f t="shared" si="15"/>
        <v>76800</v>
      </c>
      <c r="P66" s="11" t="s">
        <v>23</v>
      </c>
      <c r="Q66" s="17">
        <f>W66-J66-B76*C76*D76*E64*(F77-F76-F64)-B64*C76*D76*E76*F68-B64*C76*D76*E76*F69-B64*C76*D76*E76*F70-B64*C76*D76*E76*F71-B64*C76*D76*E76*F72-B64*C76*D76*E76*F73-B64*C76*D76*E76*F74-B64*C64*D76*E76*F73-B64*C64*D76*E76*F74-B76*C64*D76*E76*F73-B76*C64*D76*E76*F74</f>
        <v>5288</v>
      </c>
      <c r="R66" s="12">
        <f t="shared" si="16"/>
        <v>50</v>
      </c>
      <c r="S66" s="12">
        <f t="shared" si="25"/>
        <v>9.5404202057151308E-5</v>
      </c>
      <c r="T66" s="12">
        <f t="shared" si="26"/>
        <v>4.7702101028575658E-3</v>
      </c>
      <c r="U66" s="17">
        <f t="shared" si="27"/>
        <v>793200</v>
      </c>
      <c r="V66" s="77">
        <f t="shared" si="17"/>
        <v>0.22940797545561903</v>
      </c>
      <c r="W66" s="11">
        <f>(B64+$B$76)*(C64+$C$76)*($D$76+D64)*($E$76+E64)*($F$77-$F$76-F64)-$B$76*$C$76*$D$76*$E$76*($F$77-$F$76-F64)</f>
        <v>6784</v>
      </c>
      <c r="X66" s="12">
        <f t="shared" si="18"/>
        <v>5.2320761339965738E-3</v>
      </c>
      <c r="Y66" s="4">
        <f t="shared" si="19"/>
        <v>1.1387884330271162E-4</v>
      </c>
      <c r="Z66" s="8"/>
      <c r="AA66" s="11" t="s">
        <v>23</v>
      </c>
      <c r="AB66">
        <f>F64*E64*D64*C64*(B77-B76-B64)</f>
        <v>1440</v>
      </c>
      <c r="AC66" s="12">
        <v>25</v>
      </c>
      <c r="AD66" s="12">
        <f t="shared" si="28"/>
        <v>2.5979964251569189E-5</v>
      </c>
      <c r="AE66" s="12">
        <f t="shared" si="20"/>
        <v>1.5010157532709982E-2</v>
      </c>
      <c r="AF66" s="12">
        <f>AC66*AD66</f>
        <v>6.4949910628922969E-4</v>
      </c>
      <c r="AG66" s="21">
        <f t="shared" si="29"/>
        <v>108000</v>
      </c>
      <c r="AH66" s="11" t="s">
        <v>23</v>
      </c>
      <c r="AI66" s="17">
        <f>AO66-AB66-F76*E76*D76*C64*(B77-B76-B64)-F64*E76*D76*C76*B68-F64*E76*D76*C76*B69-F64*E76*D76*C76*B70-F64*E76*D76*C76*B71-F64*E76*D76*C76*B72-F64*E76*D76*C76*B73-F64*E76*D76*C76*B74-F64*E64*D76*C76*B73-F64*E64*D76*C76*B74-F76*E64*D76*C76*B73-F76*E64*D76*C76*B74</f>
        <v>6628</v>
      </c>
      <c r="AJ66" s="12">
        <f t="shared" si="21"/>
        <v>50</v>
      </c>
      <c r="AK66" s="12">
        <f t="shared" si="30"/>
        <v>5.4273261054582194E-5</v>
      </c>
      <c r="AL66" s="77">
        <f t="shared" si="22"/>
        <v>0.13050493239750036</v>
      </c>
      <c r="AM66" s="12">
        <f t="shared" si="31"/>
        <v>2.7136630527291095E-3</v>
      </c>
      <c r="AN66" s="17">
        <f t="shared" si="32"/>
        <v>994200</v>
      </c>
      <c r="AO66" s="11">
        <f>($F64+$F$76)*($E64+$E$76)*($D$76+$D64)*($C$76+$C64)*($B$77-$B$76-$B64)-$F$76*$E$76*$D$76*$C$76*($B$77-$B$76-$B64)</f>
        <v>8520</v>
      </c>
      <c r="AP66" s="12">
        <f t="shared" ref="AP66:AP102" si="36">AM66+AF66</f>
        <v>3.3631621590183391E-3</v>
      </c>
      <c r="AQ66" s="4">
        <f>(AI66+AB66)/$F$17</f>
        <v>6.6064675647008024E-5</v>
      </c>
      <c r="AS66" s="22">
        <f t="shared" si="34"/>
        <v>2464</v>
      </c>
      <c r="AT66" s="22">
        <f t="shared" si="35"/>
        <v>11916</v>
      </c>
    </row>
    <row r="67" spans="1:46" x14ac:dyDescent="0.25">
      <c r="A67" s="7" t="s">
        <v>8</v>
      </c>
      <c r="B67" s="7">
        <v>4</v>
      </c>
      <c r="C67" s="7">
        <v>3</v>
      </c>
      <c r="D67" s="7">
        <v>4</v>
      </c>
      <c r="E67" s="7">
        <v>3</v>
      </c>
      <c r="F67" s="7">
        <v>3</v>
      </c>
      <c r="G67" s="8"/>
      <c r="H67" s="8"/>
      <c r="I67" s="11" t="s">
        <v>24</v>
      </c>
      <c r="J67" s="17">
        <f>B64*C64*D64*E64*F64</f>
        <v>96</v>
      </c>
      <c r="K67" s="12">
        <v>100</v>
      </c>
      <c r="L67" s="12">
        <f t="shared" si="23"/>
        <v>1.7319976167712793E-6</v>
      </c>
      <c r="M67" s="12">
        <f t="shared" si="14"/>
        <v>1.6987868368771437E-2</v>
      </c>
      <c r="N67" s="12">
        <f t="shared" si="24"/>
        <v>1.7319976167712794E-4</v>
      </c>
      <c r="O67" s="21">
        <f t="shared" si="15"/>
        <v>28800</v>
      </c>
      <c r="P67" s="11" t="s">
        <v>24</v>
      </c>
      <c r="Q67" s="17">
        <f>W67-J67-(B76*C76*D76*E76*F64)-(B64*C76*D76*E76*F76)-(B76*C76*D76*E64*F64)-(B64*C64*D76*E76*F76)-(B76*C64*D76*E76*F76)-(B76*C76*D76*E64*F76)</f>
        <v>700</v>
      </c>
      <c r="R67" s="12">
        <f t="shared" si="16"/>
        <v>200</v>
      </c>
      <c r="S67" s="12">
        <f t="shared" si="25"/>
        <v>1.2629149288957245E-5</v>
      </c>
      <c r="T67" s="12">
        <f t="shared" si="26"/>
        <v>2.5258298577914488E-3</v>
      </c>
      <c r="U67" s="17">
        <f t="shared" si="27"/>
        <v>420000</v>
      </c>
      <c r="V67" s="77">
        <f t="shared" si="17"/>
        <v>0.50031101163386116</v>
      </c>
      <c r="W67" s="11">
        <f>(B64+$B$76)*(C64+$C$76)*($D$76+D64)*($E$76+E64)*($F$76+F64)-$B$76*$C$76*$D$76*$E$76*$F$76</f>
        <v>860</v>
      </c>
      <c r="X67" s="12">
        <f t="shared" si="18"/>
        <v>2.6990296194685766E-3</v>
      </c>
      <c r="Y67" s="4">
        <f t="shared" si="19"/>
        <v>1.4361146905728525E-5</v>
      </c>
      <c r="Z67" s="8"/>
      <c r="AA67" s="11"/>
      <c r="AB67" s="17"/>
      <c r="AC67" s="12"/>
      <c r="AD67" s="12">
        <f t="shared" si="28"/>
        <v>0</v>
      </c>
      <c r="AE67" s="12">
        <f t="shared" si="20"/>
        <v>0</v>
      </c>
      <c r="AF67" s="12"/>
      <c r="AG67" s="21">
        <f t="shared" si="29"/>
        <v>0</v>
      </c>
      <c r="AH67" s="11"/>
      <c r="AI67" s="17">
        <f t="shared" ref="AI67:AI95" si="37">AO67-AB67</f>
        <v>0</v>
      </c>
      <c r="AJ67" s="12"/>
      <c r="AK67" s="12"/>
      <c r="AL67" s="77">
        <f t="shared" si="22"/>
        <v>0</v>
      </c>
      <c r="AM67" s="12"/>
      <c r="AN67" s="21"/>
      <c r="AP67" s="12"/>
      <c r="AQ67" s="4">
        <f t="shared" si="33"/>
        <v>0</v>
      </c>
      <c r="AS67" s="22">
        <f t="shared" si="34"/>
        <v>96</v>
      </c>
      <c r="AT67" s="22">
        <f t="shared" si="35"/>
        <v>700</v>
      </c>
    </row>
    <row r="68" spans="1:46" x14ac:dyDescent="0.25">
      <c r="A68" s="7" t="s">
        <v>9</v>
      </c>
      <c r="B68" s="7">
        <v>3</v>
      </c>
      <c r="C68" s="7">
        <v>4</v>
      </c>
      <c r="D68" s="7">
        <v>3</v>
      </c>
      <c r="E68" s="7">
        <v>4</v>
      </c>
      <c r="F68" s="7">
        <v>4</v>
      </c>
      <c r="G68" s="8"/>
      <c r="H68" s="8"/>
      <c r="I68" s="11" t="s">
        <v>25</v>
      </c>
      <c r="J68" s="17">
        <f>B65*C65*D65*(E77-E76-E65)*F77</f>
        <v>89280</v>
      </c>
      <c r="K68" s="12">
        <v>5</v>
      </c>
      <c r="L68" s="12">
        <f t="shared" si="23"/>
        <v>1.6107577835972897E-3</v>
      </c>
      <c r="M68" s="12">
        <f t="shared" si="14"/>
        <v>2.6246138281691544E-2</v>
      </c>
      <c r="N68" s="12">
        <f t="shared" si="24"/>
        <v>8.0537889179864482E-3</v>
      </c>
      <c r="O68" s="21">
        <f t="shared" si="15"/>
        <v>1339200</v>
      </c>
      <c r="P68" s="11" t="s">
        <v>25</v>
      </c>
      <c r="Q68" s="17">
        <f>W68-J68-B65*C76*D76*E64*(F64+F76)-B65*C76*D76*E66*(F66+F76)-B65*C76*D76*E67*(F67+F76)-B65*C76*D76*E68*(F68+F76)-B65*C76*D76*E69*(F69+F76)-B65*C76*D76*E70*(F70+F76)-B65*C76*D76*E71*(F71+F76)-B65*C76*D76*E72*(F72+F76)-B65*C76*D76*E73*(F73+F76)-B65*C76*D76*E74*(F74+F76)-B65*C65*D76*E66*(F66+F76)-B65*C65*D76*E67*(F67+F76)-B65*C65*D76*E68*(F68+F76)-B65*C65*D76*E69*(F69+F76)-B65*C65*D76*E70*(F70+F76)-B65*C65*D76*E71*(F71+F76)-B65*C65*D76*E72*(F72+F76)-B65*C65*D76*E73*(F73+F76)-B65*C65*D76*E74*(F74+F76)-B76*C65*D76*E66*(F66+F76)-B76*C65*D76*E67*(F67+F76)-B76*C65*D76*E68*(F68+F76)-B76*C65*D76*E69*(F69+F76)-B76*C65*D76*E70*(F70+F76)-B76*C65*D76*E71*(F71+F76)-B76*C65*D76*E72*(F72+F76)-B76*C65*D76*E73*(F73+F76)-B76*C65*D76*E74*(F74+F76)-B76*C76*D65*(E77-E76-E65)*F77</f>
        <v>124168</v>
      </c>
      <c r="R68" s="12">
        <f t="shared" si="16"/>
        <v>10</v>
      </c>
      <c r="S68" s="12">
        <f t="shared" si="25"/>
        <v>2.2401945841589188E-3</v>
      </c>
      <c r="T68" s="12">
        <f t="shared" si="26"/>
        <v>2.2401945841589187E-2</v>
      </c>
      <c r="U68" s="17">
        <f t="shared" si="27"/>
        <v>3725040</v>
      </c>
      <c r="V68" s="77">
        <f t="shared" si="17"/>
        <v>0.18293530652079354</v>
      </c>
      <c r="W68" s="46">
        <f>(B65+$B$76)*(C65+$C$76)*($D$76+D65)*($E$77-$E$76-E65)*$F$77-$B$76*$C$76*$D$76*($E$77-$E$76-E65)*$F$77</f>
        <v>229896</v>
      </c>
      <c r="X68" s="12">
        <f t="shared" si="18"/>
        <v>3.0455734759575637E-2</v>
      </c>
      <c r="Y68" s="4">
        <f t="shared" si="19"/>
        <v>3.8509523677562087E-3</v>
      </c>
      <c r="Z68" s="8"/>
      <c r="AA68" s="11" t="s">
        <v>25</v>
      </c>
      <c r="AB68">
        <f>E65*F65*D65*(C77-C76-C65)*B77</f>
        <v>45936</v>
      </c>
      <c r="AC68" s="12">
        <v>5</v>
      </c>
      <c r="AD68" s="12">
        <f t="shared" si="28"/>
        <v>8.2876085962505712E-4</v>
      </c>
      <c r="AE68" s="12">
        <f t="shared" si="20"/>
        <v>1.3504061470741294E-2</v>
      </c>
      <c r="AF68" s="12">
        <f>AC68*AD68</f>
        <v>4.1438042981252858E-3</v>
      </c>
      <c r="AG68" s="21">
        <f t="shared" si="29"/>
        <v>689040</v>
      </c>
      <c r="AH68" s="11" t="s">
        <v>25</v>
      </c>
      <c r="AI68" s="17">
        <f>AO68-AB68-F65*E76*D76*C64*(B64+B76)-F65*E76*D76*C66*(B66+B76)-F65*E76*D76*C67*(B67+B76)-F65*E76*D76*C68*(B68+B76)-F65*E76*D76*C69*(B69+B76)-F65*E76*D76*C70*(B70+B76)-F65*E76*D76*C71*(B71+B76)-F65*E76*D76*C72*(B72+B76)-F65*E76*D76*C73*(B73+B76)-F65*E76*D76*C74*(B74+B76)-F65*E65*D76*C66*(B66+B76)-F65*E65*D76*C67*(B67+B76)-F65*E65*D76*C68*(B68+B76)-F65*E65*D76*C69*(B69+B76)-F65*E65*D76*C70*(B70+B76)-F65*E65*D76*C71*(B71+B76)-F65*E65*D76*C72*(B72+B76)-F65*E65*D76*C73*(B73+B76)-F65*E65*D76*C74*(B74+B76)-F76*E65*D76*C66*(B66+B76)-F76*E65*D76*C67*(B67+B76)-F76*E65*D76*C68*(B68+B76)-F76*E65*D76*C69*(B69+B76)-F76*E65*D76*C70*(B70+B76)-F76*E65*D76*C71*(B71+B76)-F76*E65*D76*C72*(B72+B76)-F76*E65*D76*C73*(B73+B76)-F76*E65*D76*C74*(B74+B76)-F76*E76*D65*(C77-C76-C65)*B77</f>
        <v>59364</v>
      </c>
      <c r="AJ68" s="12">
        <f t="shared" si="21"/>
        <v>10</v>
      </c>
      <c r="AK68" s="12">
        <f t="shared" si="30"/>
        <v>4.8610106657275459E-4</v>
      </c>
      <c r="AL68" s="77">
        <f t="shared" si="22"/>
        <v>3.9695233727635511E-2</v>
      </c>
      <c r="AM68" s="12">
        <f t="shared" si="31"/>
        <v>4.8610106657275458E-3</v>
      </c>
      <c r="AN68" s="17">
        <f t="shared" si="32"/>
        <v>1780920</v>
      </c>
      <c r="AO68" s="11">
        <f>($F65+$F$76)*($E65+$E$76)*($D$76+$D65)*($C$77-$C$76-$C65)*$B$77-$F$76*$E$76*$D$76*($C$77-$C$76-$C65)*$B$77</f>
        <v>112926</v>
      </c>
      <c r="AP68" s="12">
        <f t="shared" si="36"/>
        <v>9.0048149638528308E-3</v>
      </c>
      <c r="AQ68" s="4">
        <f t="shared" si="33"/>
        <v>8.6224719207113841E-4</v>
      </c>
      <c r="AS68" s="22">
        <f t="shared" si="34"/>
        <v>135216</v>
      </c>
      <c r="AT68" s="22">
        <f t="shared" si="35"/>
        <v>183532</v>
      </c>
    </row>
    <row r="69" spans="1:46" x14ac:dyDescent="0.25">
      <c r="A69" s="7" t="s">
        <v>10</v>
      </c>
      <c r="B69" s="7">
        <v>4</v>
      </c>
      <c r="C69" s="7">
        <v>3</v>
      </c>
      <c r="D69" s="7">
        <v>3</v>
      </c>
      <c r="E69" s="7">
        <v>4</v>
      </c>
      <c r="F69" s="7">
        <v>4</v>
      </c>
      <c r="G69" s="8"/>
      <c r="H69" s="8"/>
      <c r="I69" s="11" t="s">
        <v>26</v>
      </c>
      <c r="J69" s="17">
        <f>B65*C65*D65*E65*(F77-F65-F76)</f>
        <v>10240</v>
      </c>
      <c r="K69" s="12">
        <v>25</v>
      </c>
      <c r="L69" s="12">
        <f t="shared" si="23"/>
        <v>1.8474641245560313E-4</v>
      </c>
      <c r="M69" s="12">
        <f t="shared" si="14"/>
        <v>0.1067388980103821</v>
      </c>
      <c r="N69" s="12">
        <f t="shared" si="24"/>
        <v>4.6186603113900779E-3</v>
      </c>
      <c r="O69" s="21">
        <f t="shared" si="15"/>
        <v>768000</v>
      </c>
      <c r="P69" s="11" t="s">
        <v>26</v>
      </c>
      <c r="Q69" s="17">
        <f>W69-J69-(B76*C76*D76*E65*(F77-F76-F65))-B65*C76*D76*E76*F66-B65*C76*D76*E76*F67-B65*C76*D76*E76*F68-B65*C76*D76*E76*F69-B65*C76*D76*E76*F70-B65*C76*D76*E76*F71-B65*C76*D76*E76*F72-B65*C76*D76*E76*F73-B65*C76*D76*E76*F74</f>
        <v>22288</v>
      </c>
      <c r="R69" s="12">
        <f t="shared" si="16"/>
        <v>50</v>
      </c>
      <c r="S69" s="12">
        <f t="shared" si="25"/>
        <v>4.0211211336039869E-4</v>
      </c>
      <c r="T69" s="12">
        <f t="shared" si="26"/>
        <v>2.0105605668019933E-2</v>
      </c>
      <c r="U69" s="17">
        <f t="shared" si="27"/>
        <v>3343200</v>
      </c>
      <c r="V69" s="77">
        <f t="shared" si="17"/>
        <v>0.96691470441657279</v>
      </c>
      <c r="W69" s="11">
        <f>(B65+$B$76)*(C65+$C$76)*($D$76+D65)*($E$76+E65)*($F$77-$F$76-F65)-$B$76*$C$76*$D$76*$E$76*($F$77-$F$76-F65)</f>
        <v>33472</v>
      </c>
      <c r="X69" s="12">
        <f t="shared" si="18"/>
        <v>2.472426597941001E-2</v>
      </c>
      <c r="Y69" s="4">
        <f t="shared" si="19"/>
        <v>5.8685852581600185E-4</v>
      </c>
      <c r="Z69" s="8"/>
      <c r="AA69" s="11" t="s">
        <v>26</v>
      </c>
      <c r="AB69">
        <f>F65*E65*D65*C65*(B77-B65-B76)</f>
        <v>6720</v>
      </c>
      <c r="AC69" s="12">
        <v>25</v>
      </c>
      <c r="AD69" s="12">
        <f t="shared" si="28"/>
        <v>1.2123983317398955E-4</v>
      </c>
      <c r="AE69" s="12">
        <f t="shared" si="20"/>
        <v>7.0047401819313251E-2</v>
      </c>
      <c r="AF69" s="12">
        <f>AC69*AD69</f>
        <v>3.0309958293497389E-3</v>
      </c>
      <c r="AG69" s="21">
        <f t="shared" si="29"/>
        <v>504000</v>
      </c>
      <c r="AH69" s="11" t="s">
        <v>26</v>
      </c>
      <c r="AI69" s="17">
        <f>AO69-AB69-F76*E76*D76*C65*(B77-B76-B65)-F65*E76*D76*C76*B66-F65*E76*D76*C76*B67-F65*E76*D76*C76*B68-F65*E76*D76*C76*B69-F65*E76*D76*C76*B70-F65*E76*D76*C76*B71-F65*E76*D76*C76*B72-F65*E76*D76*C76*B73-F65*E76*D76*C76*B74</f>
        <v>16108</v>
      </c>
      <c r="AJ69" s="12">
        <f t="shared" si="21"/>
        <v>50</v>
      </c>
      <c r="AK69" s="12">
        <f t="shared" si="30"/>
        <v>1.319000737880522E-4</v>
      </c>
      <c r="AL69" s="77">
        <f t="shared" si="22"/>
        <v>0.31716557801130596</v>
      </c>
      <c r="AM69" s="12">
        <f t="shared" si="31"/>
        <v>6.59500368940261E-3</v>
      </c>
      <c r="AN69" s="17">
        <f t="shared" si="32"/>
        <v>2416200</v>
      </c>
      <c r="AO69" s="11">
        <f>($F65+$F$76)*($E65+$E$76)*($D$76+$D65)*($C$76+$C65)*($B$77-$B$76-$B65)-$F$76*$E$76*$D$76*$C$76*($B$77-$B$76-$B65)</f>
        <v>23408</v>
      </c>
      <c r="AP69" s="12">
        <f t="shared" si="36"/>
        <v>9.6259995187523498E-3</v>
      </c>
      <c r="AQ69" s="4">
        <f t="shared" si="33"/>
        <v>1.8692667521937273E-4</v>
      </c>
      <c r="AS69" s="22">
        <f t="shared" si="34"/>
        <v>16960</v>
      </c>
      <c r="AT69" s="22">
        <f t="shared" si="35"/>
        <v>38396</v>
      </c>
    </row>
    <row r="70" spans="1:46" x14ac:dyDescent="0.25">
      <c r="A70" s="7" t="s">
        <v>11</v>
      </c>
      <c r="B70" s="7">
        <v>2</v>
      </c>
      <c r="C70" s="7">
        <v>3</v>
      </c>
      <c r="D70" s="7">
        <v>2</v>
      </c>
      <c r="E70" s="7">
        <v>3</v>
      </c>
      <c r="F70" s="7">
        <v>3</v>
      </c>
      <c r="G70" s="8"/>
      <c r="H70" s="8"/>
      <c r="I70" s="11" t="s">
        <v>27</v>
      </c>
      <c r="J70" s="17">
        <f>B65*C65*D65*E65*F65</f>
        <v>960</v>
      </c>
      <c r="K70" s="12">
        <v>100</v>
      </c>
      <c r="L70" s="12">
        <f t="shared" si="23"/>
        <v>1.7319976167712792E-5</v>
      </c>
      <c r="M70" s="12">
        <f t="shared" si="14"/>
        <v>0.16987868368771436</v>
      </c>
      <c r="N70" s="12">
        <f t="shared" ref="N70:N106" si="38">K70*L70</f>
        <v>1.7319976167712793E-3</v>
      </c>
      <c r="O70" s="21">
        <f t="shared" si="15"/>
        <v>288000</v>
      </c>
      <c r="P70" s="11" t="s">
        <v>27</v>
      </c>
      <c r="Q70" s="17">
        <f>W70-J70-(B76*C76*D76*E76*F65)-(B65*C76*D76*E76*F76)-(B76*C76*D76*E65*F65)-(B65*C65*D76*E76*F76)-(B76*C65*D76*E76*F76)-(B76*C76*D76*E65*F76)</f>
        <v>3094</v>
      </c>
      <c r="R70" s="12">
        <f t="shared" si="16"/>
        <v>200</v>
      </c>
      <c r="S70" s="12">
        <f t="shared" si="25"/>
        <v>5.5820839857191026E-5</v>
      </c>
      <c r="T70" s="12">
        <f t="shared" si="26"/>
        <v>1.1164167971438205E-2</v>
      </c>
      <c r="U70" s="17">
        <f t="shared" si="27"/>
        <v>1856400</v>
      </c>
      <c r="V70" s="77">
        <f t="shared" si="17"/>
        <v>2.2113746714216664</v>
      </c>
      <c r="W70" s="11">
        <f>(B65+$B$76)*(C65+$C$76)*($D$76+D65)*($E$76+E65)*($F$76+F65)-$B$76*$C$76*$D$76*$E$76*$F$76</f>
        <v>4196</v>
      </c>
      <c r="X70" s="12">
        <f t="shared" si="18"/>
        <v>1.2896165588209484E-2</v>
      </c>
      <c r="Y70" s="4">
        <f t="shared" si="19"/>
        <v>7.3140816024903812E-5</v>
      </c>
      <c r="Z70" s="8"/>
      <c r="AA70" s="11"/>
      <c r="AC70" s="12"/>
      <c r="AD70" s="12">
        <f t="shared" si="28"/>
        <v>0</v>
      </c>
      <c r="AE70" s="12">
        <f t="shared" si="20"/>
        <v>0</v>
      </c>
      <c r="AF70" s="12"/>
      <c r="AG70" s="21">
        <f t="shared" si="29"/>
        <v>0</v>
      </c>
      <c r="AH70" s="11"/>
      <c r="AI70" s="17">
        <f t="shared" si="37"/>
        <v>0</v>
      </c>
      <c r="AJ70" s="12"/>
      <c r="AK70" s="12"/>
      <c r="AL70" s="77">
        <f t="shared" si="22"/>
        <v>0</v>
      </c>
      <c r="AM70" s="12"/>
      <c r="AN70" s="21"/>
      <c r="AP70" s="12"/>
      <c r="AQ70" s="4">
        <f t="shared" si="33"/>
        <v>0</v>
      </c>
      <c r="AS70" s="22">
        <f t="shared" si="34"/>
        <v>960</v>
      </c>
      <c r="AT70" s="22">
        <f t="shared" si="35"/>
        <v>3094</v>
      </c>
    </row>
    <row r="71" spans="1:46" x14ac:dyDescent="0.25">
      <c r="A71" s="7" t="s">
        <v>12</v>
      </c>
      <c r="B71" s="7">
        <v>2</v>
      </c>
      <c r="C71" s="7">
        <v>3</v>
      </c>
      <c r="D71" s="7">
        <v>3</v>
      </c>
      <c r="E71" s="7">
        <v>3</v>
      </c>
      <c r="F71" s="7">
        <v>3</v>
      </c>
      <c r="G71" s="8"/>
      <c r="H71" s="8"/>
      <c r="I71" s="11" t="s">
        <v>28</v>
      </c>
      <c r="J71" s="17">
        <f>B66*C66*D66*(E77-E76-E66)*F77</f>
        <v>55296</v>
      </c>
      <c r="K71" s="12">
        <v>5</v>
      </c>
      <c r="L71" s="12">
        <f t="shared" si="23"/>
        <v>9.9763062726025697E-4</v>
      </c>
      <c r="M71" s="12">
        <f t="shared" si="14"/>
        <v>1.625567274220896E-2</v>
      </c>
      <c r="N71" s="12">
        <f t="shared" si="38"/>
        <v>4.9881531363012849E-3</v>
      </c>
      <c r="O71" s="21">
        <f t="shared" si="15"/>
        <v>829440</v>
      </c>
      <c r="P71" s="11" t="s">
        <v>28</v>
      </c>
      <c r="Q71" s="17">
        <f>W71-J71-B66*C76*D76*E65*(F65+F76)-B66*C76*D76*E64*(F64+F76)-B66*C76*D76*E67*(F67+F76)-B66*C76*D76*E68*(F68+F76)-B66*C76*D76*E69*(F69+F76)-B66*C76*D76*E70*(F70+F76)-B66*C76*D76*E71*(F71+F76)-B66*C76*D76*E72*(F72+F76)-B66*C76*D76*E73*(F73+F76)-B66*C76*D76*E74*(F74+F76)-B66*C66*D76*E67*(F67+F76)-B66*C66*D76*E68*(F68+F76)-B66*C66*D76*E69*(F69+F76)-B66*C66*D76*E70*(F70+F76)-B66*C66*D76*E71*(F71+F76)-B66*C66*D76*E72*(F72+F76)-B66*C66*D76*E73*(F73+F76)-B66*C66*D76*E74*(F74+F76)-B76*C66*D76*E67*(F67+F76)-B76*C66*D76*E68*(F68+F76)-B76*C66*D76*E69*(F69+F76)-B76*C66*D76*E70*(F70+F76)-B76*C66*D76*E71*(F71+F76)-B76*C66*D76*E72*(F72+F76)-B76*C66*D76*E73*(F73+F76)-B76*C66*D76*E74*(F74+F76)-B76*C76*D66*(E77-E76-E66)*F77</f>
        <v>100000</v>
      </c>
      <c r="R71" s="12">
        <f t="shared" si="16"/>
        <v>10</v>
      </c>
      <c r="S71" s="12">
        <f t="shared" si="25"/>
        <v>1.8041641841367493E-3</v>
      </c>
      <c r="T71" s="12">
        <f t="shared" si="26"/>
        <v>1.8041641841367494E-2</v>
      </c>
      <c r="U71" s="17">
        <f t="shared" si="27"/>
        <v>3000000</v>
      </c>
      <c r="V71" s="77">
        <f t="shared" si="17"/>
        <v>0.14732886614972743</v>
      </c>
      <c r="W71" s="11">
        <f>(B66+$B$76)*(C66+$C$76)*($D$76+D66)*($E$77-$E$76-E66)*$F$77-$B$76*$C$76*$D$76*($E$77-$E$76-E66)*$F$77</f>
        <v>168192</v>
      </c>
      <c r="X71" s="12">
        <f t="shared" si="18"/>
        <v>2.3029794977668779E-2</v>
      </c>
      <c r="Y71" s="4">
        <f t="shared" si="19"/>
        <v>2.8017948113970063E-3</v>
      </c>
      <c r="Z71" s="8"/>
      <c r="AA71" s="11" t="s">
        <v>28</v>
      </c>
      <c r="AB71">
        <f>F66*E66*D66*(C77-C76-C66)*B77</f>
        <v>26730</v>
      </c>
      <c r="AC71" s="12">
        <v>5</v>
      </c>
      <c r="AD71" s="12">
        <f t="shared" si="28"/>
        <v>4.8225308641975306E-4</v>
      </c>
      <c r="AE71" s="12">
        <f t="shared" si="20"/>
        <v>7.8579668040951508E-3</v>
      </c>
      <c r="AF71" s="12">
        <f t="shared" ref="AF71:AF102" si="39">AC71*AD71</f>
        <v>2.4112654320987653E-3</v>
      </c>
      <c r="AG71" s="21">
        <f t="shared" si="29"/>
        <v>400950</v>
      </c>
      <c r="AH71" s="11" t="s">
        <v>28</v>
      </c>
      <c r="AI71" s="17">
        <f>AO71-AB71-F66*E76*D76*C65*(B65+B76)-F66*E76*D76*C64*(B64+B76)-F66*E76*D76*C67*(B67+B76)-F66*E76*D76*C68*(B68+B76)-F66*E76*D76*C69*(B69+B76)-F66*E76*D76*C70*(B70+B76)-F66*E76*D76*C71*(B71+B76)-F66*E76*D76*C72*(B72+B76)-F66*E76*D76*C73*(B73+B76)-F66*E76*D76*C74*(B74+B76)-F66*E66*D76*C67*(B67+B76)-F66*E66*D76*C68*(B68+B76)-F66*E66*D76*C69*(B69+B76)-F66*E66*D76*C70*(B70+B76)-F66*E66*D76*C71*(B71+B76)-F66*E66*D76*C72*(B72+B76)-F66*E66*D76*C73*(B73+B76)-F66*E66*D76*C74*(B74+B76)-F76*E66*D76*C67*(B67+B76)-F76*E66*D76*C68*(B68+B76)-F76*E66*D76*C69*(B69+B76)-F76*E66*D76*C70*(B70+B76)-F76*E66*D76*C71*(B71+B76)-F76*E66*D76*C72*(B72+B76)-F76*E66*D76*C73*(B73+B76)-F76*E66*D76*C74*(B74+B76)-F76*E76*D66*(C77-C76-C66)*B77</f>
        <v>44964</v>
      </c>
      <c r="AJ71" s="12">
        <f t="shared" si="21"/>
        <v>10</v>
      </c>
      <c r="AK71" s="12">
        <f t="shared" si="30"/>
        <v>3.6818692064849635E-4</v>
      </c>
      <c r="AL71" s="77">
        <f t="shared" si="22"/>
        <v>3.0066311052648124E-2</v>
      </c>
      <c r="AM71" s="12">
        <f t="shared" si="31"/>
        <v>3.6818692064849636E-3</v>
      </c>
      <c r="AN71" s="17">
        <f t="shared" si="32"/>
        <v>1348920</v>
      </c>
      <c r="AO71" s="11">
        <f>($F66+$F$76)*($E66+$E$76)*($D$76+$D66)*($C$77-$C$76-$C66)*$B$77-$F$76*$E$76*$D$76*($C$77-$C$76-$C66)*$B$77</f>
        <v>77220</v>
      </c>
      <c r="AP71" s="12">
        <f t="shared" si="36"/>
        <v>6.0931346385837293E-3</v>
      </c>
      <c r="AQ71" s="4">
        <f t="shared" si="33"/>
        <v>5.8706505402040068E-4</v>
      </c>
      <c r="AS71" s="22">
        <f t="shared" si="34"/>
        <v>82026</v>
      </c>
      <c r="AT71" s="22">
        <f t="shared" si="35"/>
        <v>144964</v>
      </c>
    </row>
    <row r="72" spans="1:46" x14ac:dyDescent="0.25">
      <c r="A72" s="7" t="s">
        <v>13</v>
      </c>
      <c r="B72" s="7">
        <v>2</v>
      </c>
      <c r="C72" s="7">
        <v>3</v>
      </c>
      <c r="D72" s="7">
        <v>2</v>
      </c>
      <c r="E72" s="7">
        <v>3</v>
      </c>
      <c r="F72" s="7">
        <v>3</v>
      </c>
      <c r="G72" s="8"/>
      <c r="H72" s="8"/>
      <c r="I72" s="11" t="s">
        <v>29</v>
      </c>
      <c r="J72" s="17">
        <f>B66*C66*D66*E66*(F77-F76-F66)</f>
        <v>4608</v>
      </c>
      <c r="K72" s="12">
        <v>25</v>
      </c>
      <c r="L72" s="12">
        <f t="shared" si="23"/>
        <v>8.3135885605021401E-5</v>
      </c>
      <c r="M72" s="12">
        <f t="shared" si="14"/>
        <v>4.8032504104671941E-2</v>
      </c>
      <c r="N72" s="12">
        <f t="shared" si="38"/>
        <v>2.0783971401255349E-3</v>
      </c>
      <c r="O72" s="21">
        <f t="shared" si="15"/>
        <v>345600</v>
      </c>
      <c r="P72" s="11" t="s">
        <v>29</v>
      </c>
      <c r="Q72" s="17">
        <f>W72-J72-(B76*C76*D76*E66*(F77-F76-F66))-B66*C76*D76*E76*F68-B66*C76*D76*E76*F69-B66*C76*D76*E76*F70-B66*C76*D76*E76*F71-B66*C76*D76*E76*F72-B66*C76*D76*E76*F73-B66*C76*D76*E76*F74</f>
        <v>13744</v>
      </c>
      <c r="R72" s="12">
        <f t="shared" si="16"/>
        <v>50</v>
      </c>
      <c r="S72" s="12">
        <f t="shared" si="25"/>
        <v>2.4796432546775484E-4</v>
      </c>
      <c r="T72" s="12">
        <f t="shared" si="26"/>
        <v>1.2398216273387741E-2</v>
      </c>
      <c r="U72" s="17">
        <f t="shared" si="27"/>
        <v>2061600</v>
      </c>
      <c r="V72" s="77">
        <f t="shared" si="17"/>
        <v>0.59625249899054988</v>
      </c>
      <c r="W72" s="11">
        <f>(B66+$B$76)*(C66+$C$76)*($D$76+D66)*($E$76+E66)*($F$77-$F$76-F66)-$B$76*$C$76*$D$76*$E$76*($F$77-$F$76-F66)</f>
        <v>19072</v>
      </c>
      <c r="X72" s="12">
        <f t="shared" si="18"/>
        <v>1.4476613413513277E-2</v>
      </c>
      <c r="Y72" s="4">
        <f t="shared" si="19"/>
        <v>3.3110021107277625E-4</v>
      </c>
      <c r="Z72" s="8"/>
      <c r="AA72" s="11" t="s">
        <v>29</v>
      </c>
      <c r="AB72">
        <f>F66*E66*D66*C66*(B77-B76-B66)</f>
        <v>3024</v>
      </c>
      <c r="AC72" s="12">
        <v>25</v>
      </c>
      <c r="AD72" s="12">
        <f t="shared" si="28"/>
        <v>5.4557924928295297E-5</v>
      </c>
      <c r="AE72" s="12">
        <f t="shared" si="20"/>
        <v>3.1521330818690962E-2</v>
      </c>
      <c r="AF72" s="12">
        <f t="shared" si="39"/>
        <v>1.3639481232073825E-3</v>
      </c>
      <c r="AG72" s="21">
        <f t="shared" si="29"/>
        <v>226800</v>
      </c>
      <c r="AH72" s="11" t="s">
        <v>29</v>
      </c>
      <c r="AI72" s="17">
        <f>AO72-AB72-F76*E76*D76*C66*(B77-B76-B66)-F66*E76*D76*C76*B68-F66*E76*D76*C76*B69-F66*E76*D76*C76*B70-F66*E76*D76*C76*B71-F66*E76*D76*C76*B72-F66*E76*D76*C76*B73-F66*E76*D76*C76*B74</f>
        <v>9876</v>
      </c>
      <c r="AJ72" s="12">
        <f t="shared" si="21"/>
        <v>50</v>
      </c>
      <c r="AK72" s="12">
        <f t="shared" si="30"/>
        <v>8.0869451746387112E-5</v>
      </c>
      <c r="AL72" s="77">
        <f t="shared" si="22"/>
        <v>0.19445786245590127</v>
      </c>
      <c r="AM72" s="12">
        <f t="shared" si="31"/>
        <v>4.0434725873193557E-3</v>
      </c>
      <c r="AN72" s="17">
        <f t="shared" si="32"/>
        <v>1481400</v>
      </c>
      <c r="AO72" s="11">
        <f>($F66+$F$76)*($E66+$E$76)*($D$76+$D66)*($C$76+$C66)*($B$77-$B$76-$B66)-$F$76*$E$76*$D$76*$C$76*($B$77-$B$76-$B66)</f>
        <v>13328</v>
      </c>
      <c r="AP72" s="12">
        <f t="shared" si="36"/>
        <v>5.4074207105267377E-3</v>
      </c>
      <c r="AQ72" s="4">
        <f t="shared" si="33"/>
        <v>1.0563142239048133E-4</v>
      </c>
      <c r="AS72" s="22">
        <f t="shared" si="34"/>
        <v>7632</v>
      </c>
      <c r="AT72" s="22">
        <f t="shared" si="35"/>
        <v>23620</v>
      </c>
    </row>
    <row r="73" spans="1:46" x14ac:dyDescent="0.25">
      <c r="A73" s="7" t="s">
        <v>14</v>
      </c>
      <c r="B73" s="7">
        <v>2</v>
      </c>
      <c r="C73" s="7">
        <v>1</v>
      </c>
      <c r="D73" s="7">
        <v>2</v>
      </c>
      <c r="E73" s="7">
        <v>2</v>
      </c>
      <c r="F73" s="7">
        <v>2</v>
      </c>
      <c r="G73" s="8"/>
      <c r="H73" s="8"/>
      <c r="I73" s="11" t="s">
        <v>30</v>
      </c>
      <c r="J73" s="17">
        <f>B66*C66*D66*E66*F66</f>
        <v>432</v>
      </c>
      <c r="K73" s="12">
        <v>100</v>
      </c>
      <c r="L73" s="12">
        <f t="shared" si="23"/>
        <v>7.7939892754707576E-6</v>
      </c>
      <c r="M73" s="12">
        <f t="shared" si="14"/>
        <v>7.644540765947147E-2</v>
      </c>
      <c r="N73" s="12">
        <f t="shared" si="38"/>
        <v>7.7939892754707576E-4</v>
      </c>
      <c r="O73" s="21">
        <f t="shared" si="15"/>
        <v>129600</v>
      </c>
      <c r="P73" s="11" t="s">
        <v>30</v>
      </c>
      <c r="Q73" s="17">
        <f>W73-J73-(B76*C76*D76*E76*F66)-(B66*C76*D76*E76*F76)-(B76*C76*D76*E66*F66)-(B66*C66*D76*E76*F76)-(B76*C76*D76*E66*F76)-(B76*C66*D76*E76*F76)</f>
        <v>1848</v>
      </c>
      <c r="R73" s="12">
        <f t="shared" si="16"/>
        <v>200</v>
      </c>
      <c r="S73" s="12">
        <f t="shared" si="25"/>
        <v>3.3340954122847125E-5</v>
      </c>
      <c r="T73" s="12">
        <f t="shared" si="26"/>
        <v>6.6681908245694249E-3</v>
      </c>
      <c r="U73" s="17">
        <f t="shared" si="27"/>
        <v>1108800</v>
      </c>
      <c r="V73" s="77">
        <f t="shared" si="17"/>
        <v>1.3208210707133934</v>
      </c>
      <c r="W73" s="11">
        <f>(B66+$B$76)*(C66+$C$76)*($D$76+D66)*($E$76+E66)*($F$76+F66)-$B$76*$C$76*$D$76*$E$76*$F$76</f>
        <v>2396</v>
      </c>
      <c r="X73" s="12">
        <f t="shared" si="18"/>
        <v>7.4475897521165003E-3</v>
      </c>
      <c r="Y73" s="4">
        <f t="shared" si="19"/>
        <v>4.1134943398317883E-5</v>
      </c>
      <c r="Z73" s="8"/>
      <c r="AA73" s="11"/>
      <c r="AC73" s="12"/>
      <c r="AD73" s="12">
        <f t="shared" si="28"/>
        <v>0</v>
      </c>
      <c r="AE73" s="12">
        <f t="shared" si="20"/>
        <v>0</v>
      </c>
      <c r="AF73" s="12"/>
      <c r="AG73" s="21">
        <f t="shared" si="29"/>
        <v>0</v>
      </c>
      <c r="AH73" s="11"/>
      <c r="AI73" s="17">
        <f t="shared" si="37"/>
        <v>0</v>
      </c>
      <c r="AJ73" s="12"/>
      <c r="AK73" s="12"/>
      <c r="AL73" s="77">
        <f t="shared" si="22"/>
        <v>0</v>
      </c>
      <c r="AM73" s="12"/>
      <c r="AN73" s="21"/>
      <c r="AP73" s="12"/>
      <c r="AQ73" s="4">
        <f t="shared" si="33"/>
        <v>0</v>
      </c>
      <c r="AS73" s="22">
        <f t="shared" si="34"/>
        <v>432</v>
      </c>
      <c r="AT73" s="22">
        <f t="shared" si="35"/>
        <v>1848</v>
      </c>
    </row>
    <row r="74" spans="1:46" x14ac:dyDescent="0.25">
      <c r="A74" s="7" t="s">
        <v>15</v>
      </c>
      <c r="B74" s="7">
        <v>2</v>
      </c>
      <c r="C74" s="7">
        <v>1</v>
      </c>
      <c r="D74" s="7">
        <v>2</v>
      </c>
      <c r="E74" s="7">
        <v>2</v>
      </c>
      <c r="F74" s="7">
        <v>2</v>
      </c>
      <c r="G74" s="8"/>
      <c r="H74" s="8"/>
      <c r="I74" s="11" t="s">
        <v>31</v>
      </c>
      <c r="J74" s="17">
        <f>$B67*$C67*$D67*($E77-E76-$E67)*F77</f>
        <v>55296</v>
      </c>
      <c r="K74" s="12">
        <v>5</v>
      </c>
      <c r="L74" s="12">
        <f t="shared" si="23"/>
        <v>9.9763062726025697E-4</v>
      </c>
      <c r="M74" s="12">
        <f t="shared" si="14"/>
        <v>1.625567274220896E-2</v>
      </c>
      <c r="N74" s="12">
        <f t="shared" si="38"/>
        <v>4.9881531363012849E-3</v>
      </c>
      <c r="O74" s="21">
        <f t="shared" si="15"/>
        <v>829440</v>
      </c>
      <c r="P74" s="11" t="s">
        <v>31</v>
      </c>
      <c r="Q74" s="17">
        <f>W74-J74-B67*C76*D76*E65*(F65+F76)-B67*C76*D76*E66*(F66+F76)-B67*C76*D76*E64*(F64+F76)-B67*C76*D76*E68*(F68+F76)-B67*C76*D76*E69*(F69+F76)-B67*C76*D76*E70*(F70+F76)-B67*C76*D76*E71*(F71+F76)-B67*C76*D76*E72*(F72+F76)-B67*C76*D76*E73*(F73+F76)-B67*C76*D76*E74*(F74+F76)-B67*C67*D76*E68*(F68+F76)-B67*C67*D76*E69*(F69+F76)-B67*C67*D76*E70*(F70+F76)-B67*C67*D76*E71*(F71+F76)-B67*C67*D76*E72*(F72+F76)-B67*C67*D76*E73*(F73+F76)-B67*C67*D76*E74*(F74+F76)-B76*C67*D76*E68*(F68+F76)-B76*C67*D76*E69*(F69+F76)-B76*C67*D76*E70*(F70+F76)-B76*C67*D76*E71*(F71+F76)-B76*C67*D76*E72*(F72+F76)-B76*C67*D76*E73*(F73+F76)-B76*C67*D76*E74*(F74+F76)-B76*C76*D67*(E77-E76-E67)*F77</f>
        <v>99056</v>
      </c>
      <c r="R74" s="12">
        <f t="shared" si="16"/>
        <v>10</v>
      </c>
      <c r="S74" s="12">
        <f t="shared" si="25"/>
        <v>1.7871328742384983E-3</v>
      </c>
      <c r="T74" s="12">
        <f t="shared" si="26"/>
        <v>1.7871328742384982E-2</v>
      </c>
      <c r="U74" s="17">
        <f t="shared" si="27"/>
        <v>2971680</v>
      </c>
      <c r="V74" s="77">
        <f t="shared" si="17"/>
        <v>0.14593808165327399</v>
      </c>
      <c r="W74" s="11">
        <f>(B67+$B$76)*(C67+$C$76)*($D$76+D67)*($E$77-$E$76-E67)*$F$77-$B$76*$C$76*$D$76*($E$77-$E$76-E67)*$F$77</f>
        <v>168192</v>
      </c>
      <c r="X74" s="12">
        <f t="shared" si="18"/>
        <v>2.2859481878686267E-2</v>
      </c>
      <c r="Y74" s="4">
        <f t="shared" si="19"/>
        <v>2.7847635014987553E-3</v>
      </c>
      <c r="Z74" s="8"/>
      <c r="AA74" s="11" t="s">
        <v>31</v>
      </c>
      <c r="AB74">
        <f>$F67*$E67*$D67*(C77-C76-C67)*B77</f>
        <v>36828</v>
      </c>
      <c r="AC74" s="12">
        <v>5</v>
      </c>
      <c r="AD74" s="12">
        <f t="shared" si="28"/>
        <v>6.6443758573388201E-4</v>
      </c>
      <c r="AE74" s="12">
        <f t="shared" si="20"/>
        <v>1.0826532041197762E-2</v>
      </c>
      <c r="AF74" s="12">
        <f t="shared" si="39"/>
        <v>3.3221879286694099E-3</v>
      </c>
      <c r="AG74" s="21">
        <f t="shared" si="29"/>
        <v>552420</v>
      </c>
      <c r="AH74" s="11" t="s">
        <v>31</v>
      </c>
      <c r="AI74" s="17">
        <f>AO74-AB74-F67*E76*D76*C65*(B65+B76)-F67*E76*D76*C66*(B66+B76)-F67*E76*D76*C64*(B64+B76)-F67*E76*D76*C68*(B68+B76)-F67*E76*D76*C69*(B69+B76)-F67*E76*D76*C70*(B70+B76)-F67*E76*D76*C71*(B71+B76)-F67*E76*D76*C72*(B72+B76)-F67*E76*D76*C73*(B73+B76)-F67*E76*D76*C74*(B74+B76)-F67*E67*D76*C68*(B68+B76)-F67*E67*D76*C69*(B69+B76)-F67*E67*D76*C70*(B70+B76)-F67*E67*D76*C71*(B71+B76)-F67*E67*D76*C72*(B72+B76)-F67*E67*D76*C73*(B73+B76)-F67*E67*D76*C74*(B74+B76)-F76*E67*D76*C68*(B68+B76)-F76*E67*D76*C69*(B69+B76)-F76*E67*D76*C70*(B70+B76)-F76*E67*D76*C71*(B71+B76)-F76*E67*D76*C72*(B72+B76)-F76*E67*D76*C73*(B73+B76)-F76*E67*D76*C74*(B74+B76)-F76*E76*D67*(C77-C76-C67)*B77</f>
        <v>53016</v>
      </c>
      <c r="AJ74" s="12">
        <f t="shared" si="21"/>
        <v>10</v>
      </c>
      <c r="AK74" s="12">
        <f t="shared" si="30"/>
        <v>4.3412058057781073E-4</v>
      </c>
      <c r="AL74" s="77">
        <f t="shared" si="22"/>
        <v>3.5450483648411905E-2</v>
      </c>
      <c r="AM74" s="12">
        <f t="shared" si="31"/>
        <v>4.3412058057781073E-3</v>
      </c>
      <c r="AN74" s="17">
        <f t="shared" si="32"/>
        <v>1590480</v>
      </c>
      <c r="AO74" s="11">
        <f>($F67+$F$76)*($E67+$E$76)*($D$76+$D67)*($C$77-$C$76-$C67)*$B$77-$F$76*$E$76*$D$76*($C$77-$C$76-$C67)*$B$77</f>
        <v>96162</v>
      </c>
      <c r="AP74" s="12">
        <f t="shared" si="36"/>
        <v>7.6633937344475177E-3</v>
      </c>
      <c r="AQ74" s="4">
        <f t="shared" si="33"/>
        <v>7.3568600877910119E-4</v>
      </c>
      <c r="AS74" s="22">
        <f t="shared" si="34"/>
        <v>92124</v>
      </c>
      <c r="AT74" s="22">
        <f t="shared" si="35"/>
        <v>152072</v>
      </c>
    </row>
    <row r="75" spans="1:46" x14ac:dyDescent="0.25">
      <c r="A75" s="7" t="s">
        <v>16</v>
      </c>
      <c r="B75" s="7">
        <v>1</v>
      </c>
      <c r="C75" s="7">
        <v>2</v>
      </c>
      <c r="D75" s="7">
        <v>2</v>
      </c>
      <c r="E75" s="7">
        <v>2</v>
      </c>
      <c r="F75" s="7">
        <v>2</v>
      </c>
      <c r="G75" s="8"/>
      <c r="H75" s="8"/>
      <c r="I75" s="11" t="s">
        <v>32</v>
      </c>
      <c r="J75" s="17">
        <f>$B67*$C67*$D67*$E67*($F$77-$F$76-$F67)</f>
        <v>4608</v>
      </c>
      <c r="K75" s="12">
        <v>25</v>
      </c>
      <c r="L75" s="12">
        <f t="shared" si="23"/>
        <v>8.3135885605021401E-5</v>
      </c>
      <c r="M75" s="12">
        <f t="shared" si="14"/>
        <v>4.8032504104671941E-2</v>
      </c>
      <c r="N75" s="12">
        <f t="shared" si="38"/>
        <v>2.0783971401255349E-3</v>
      </c>
      <c r="O75" s="21">
        <f t="shared" si="15"/>
        <v>345600</v>
      </c>
      <c r="P75" s="11" t="s">
        <v>32</v>
      </c>
      <c r="Q75" s="17">
        <f>W75-J75-(B76*C76*D76*E67*(F77-F76-F67))-B67*C76*D76*E76*F69-B67*C76*D76*E76*F70-B67*C76*D76*E76*F71-B67*C76*D76*E76*F72-B67*C76*D76*E76*F73-B67*C76*D76*E76*F74</f>
        <v>13808</v>
      </c>
      <c r="R75" s="12">
        <f t="shared" si="16"/>
        <v>50</v>
      </c>
      <c r="S75" s="12">
        <f t="shared" si="25"/>
        <v>2.4911899054560235E-4</v>
      </c>
      <c r="T75" s="12">
        <f t="shared" si="26"/>
        <v>1.2455949527280118E-2</v>
      </c>
      <c r="U75" s="17">
        <f t="shared" si="27"/>
        <v>2071200</v>
      </c>
      <c r="V75" s="77">
        <f t="shared" si="17"/>
        <v>0.59902899491134409</v>
      </c>
      <c r="W75" s="11">
        <f>(B67+$B$76)*(C67+$C$76)*($D$76+D67)*($E$76+E67)*($F$77-$F$76-F67)-$B$76*$C$76*$D$76*$E$76*($F$77-$F$76-F67)</f>
        <v>19072</v>
      </c>
      <c r="X75" s="12">
        <f t="shared" si="18"/>
        <v>1.4534346667405653E-2</v>
      </c>
      <c r="Y75" s="4">
        <f t="shared" si="19"/>
        <v>3.3225487615062377E-4</v>
      </c>
      <c r="Z75" s="8"/>
      <c r="AA75" s="11" t="s">
        <v>32</v>
      </c>
      <c r="AB75">
        <f>$F67*$E67*$D67*$C67*(B77-B76-B67)</f>
        <v>3024</v>
      </c>
      <c r="AC75" s="12">
        <v>25</v>
      </c>
      <c r="AD75" s="12">
        <f t="shared" si="28"/>
        <v>5.4557924928295297E-5</v>
      </c>
      <c r="AE75" s="12">
        <f t="shared" si="20"/>
        <v>3.1521330818690962E-2</v>
      </c>
      <c r="AF75" s="12">
        <f t="shared" si="39"/>
        <v>1.3639481232073825E-3</v>
      </c>
      <c r="AG75" s="21">
        <f t="shared" si="29"/>
        <v>226800</v>
      </c>
      <c r="AH75" s="11" t="s">
        <v>32</v>
      </c>
      <c r="AI75" s="17">
        <f>AO75-AB75-F76*E76*D76*C67*(B77-B76-B67)</f>
        <v>10136</v>
      </c>
      <c r="AJ75" s="12">
        <f t="shared" si="21"/>
        <v>50</v>
      </c>
      <c r="AK75" s="12">
        <f t="shared" si="30"/>
        <v>8.2998457158908433E-5</v>
      </c>
      <c r="AL75" s="77">
        <f t="shared" si="22"/>
        <v>0.19957724725121659</v>
      </c>
      <c r="AM75" s="12">
        <f t="shared" si="31"/>
        <v>4.1499228579454216E-3</v>
      </c>
      <c r="AN75" s="17">
        <f t="shared" si="32"/>
        <v>1520400</v>
      </c>
      <c r="AO75" s="11">
        <f>($F67+$F$76)*($E67+$E$76)*($D$76+$D67)*($C$76+$C67)*($B$77-$B$76-$B67)-$F$76*$E$76*$D$76*$C$76*($B$77-$B$76-$B67)</f>
        <v>13328</v>
      </c>
      <c r="AP75" s="12">
        <f t="shared" si="36"/>
        <v>5.5138709811528037E-3</v>
      </c>
      <c r="AQ75" s="4">
        <f t="shared" si="33"/>
        <v>1.0776042780300267E-4</v>
      </c>
      <c r="AS75" s="22">
        <f t="shared" si="34"/>
        <v>7632</v>
      </c>
      <c r="AT75" s="22">
        <f t="shared" si="35"/>
        <v>23944</v>
      </c>
    </row>
    <row r="76" spans="1:46" x14ac:dyDescent="0.25">
      <c r="A76" s="7" t="s">
        <v>17</v>
      </c>
      <c r="B76" s="7">
        <v>1</v>
      </c>
      <c r="C76" s="7">
        <v>2</v>
      </c>
      <c r="D76" s="7">
        <v>2</v>
      </c>
      <c r="E76" s="7">
        <v>1</v>
      </c>
      <c r="F76" s="7">
        <v>1</v>
      </c>
      <c r="G76" s="8"/>
      <c r="H76" s="8"/>
      <c r="I76" s="11" t="s">
        <v>33</v>
      </c>
      <c r="J76" s="17">
        <f>$B67*$C67*$D67*$E67*$F67</f>
        <v>432</v>
      </c>
      <c r="K76" s="12">
        <v>100</v>
      </c>
      <c r="L76" s="12">
        <f t="shared" si="23"/>
        <v>7.7939892754707576E-6</v>
      </c>
      <c r="M76" s="12">
        <f t="shared" si="14"/>
        <v>7.644540765947147E-2</v>
      </c>
      <c r="N76" s="12">
        <f t="shared" si="38"/>
        <v>7.7939892754707576E-4</v>
      </c>
      <c r="O76" s="21">
        <f t="shared" si="15"/>
        <v>129600</v>
      </c>
      <c r="P76" s="11" t="s">
        <v>33</v>
      </c>
      <c r="Q76" s="17">
        <f>W76-J76-(B76*C76*D76*E76*F67)-(B67*C76*D76*E76*F76)-(B76*C76*D76*E67*F67)-(B67*C67*D76*E76*F76)-(B76*C67*D76*E76*F76)-(B76*C76*D76*E67*F76)</f>
        <v>1858</v>
      </c>
      <c r="R76" s="12">
        <f t="shared" si="16"/>
        <v>200</v>
      </c>
      <c r="S76" s="12">
        <f t="shared" si="25"/>
        <v>3.3521370541260801E-5</v>
      </c>
      <c r="T76" s="12">
        <f t="shared" si="26"/>
        <v>6.7042741082521604E-3</v>
      </c>
      <c r="U76" s="17">
        <f t="shared" si="27"/>
        <v>1114800</v>
      </c>
      <c r="V76" s="77">
        <f t="shared" si="17"/>
        <v>1.3279683708795915</v>
      </c>
      <c r="W76" s="11">
        <f>(B67+$B$76)*(C67+$C$76)*($D$76+D67)*($E$76+E67)*($F$76+F67)-$B$76*$C$76*$D$76*$E$76*$F$76</f>
        <v>2396</v>
      </c>
      <c r="X76" s="12">
        <f t="shared" si="18"/>
        <v>7.4836730357992366E-3</v>
      </c>
      <c r="Y76" s="4">
        <f t="shared" si="19"/>
        <v>4.1315359816731559E-5</v>
      </c>
      <c r="Z76" s="8"/>
      <c r="AA76" s="11"/>
      <c r="AC76" s="12"/>
      <c r="AD76" s="12">
        <f t="shared" si="28"/>
        <v>0</v>
      </c>
      <c r="AE76" s="12">
        <f t="shared" si="20"/>
        <v>0</v>
      </c>
      <c r="AF76" s="12"/>
      <c r="AG76" s="21">
        <f t="shared" si="29"/>
        <v>0</v>
      </c>
      <c r="AH76" s="11"/>
      <c r="AI76" s="17">
        <f t="shared" si="37"/>
        <v>0</v>
      </c>
      <c r="AJ76" s="12"/>
      <c r="AK76" s="12"/>
      <c r="AL76" s="77">
        <f t="shared" si="22"/>
        <v>0</v>
      </c>
      <c r="AM76" s="12"/>
      <c r="AN76" s="17"/>
      <c r="AO76" s="11"/>
      <c r="AP76" s="12"/>
      <c r="AQ76" s="4">
        <f t="shared" si="33"/>
        <v>0</v>
      </c>
      <c r="AS76" s="22">
        <f t="shared" si="34"/>
        <v>432</v>
      </c>
      <c r="AT76" s="22">
        <f t="shared" si="35"/>
        <v>1858</v>
      </c>
    </row>
    <row r="77" spans="1:46" x14ac:dyDescent="0.25">
      <c r="A77" s="7" t="s">
        <v>18</v>
      </c>
      <c r="B77" s="7">
        <f>SUM(B64:B76)</f>
        <v>33</v>
      </c>
      <c r="C77" s="7">
        <f>SUM(C64:C76)</f>
        <v>36</v>
      </c>
      <c r="D77" s="7">
        <f>SUM(D64:D76)</f>
        <v>36</v>
      </c>
      <c r="E77" s="7">
        <f>SUM(E64:E76)</f>
        <v>36</v>
      </c>
      <c r="F77" s="7">
        <f>SUM(F64:F76)</f>
        <v>36</v>
      </c>
      <c r="G77" s="8"/>
      <c r="H77" s="8"/>
      <c r="I77" s="11" t="s">
        <v>34</v>
      </c>
      <c r="J77" s="17">
        <f>B68*C68*D68*(E77-E76-E68)*F77</f>
        <v>40176</v>
      </c>
      <c r="K77" s="12">
        <v>10</v>
      </c>
      <c r="L77" s="12">
        <f t="shared" si="23"/>
        <v>7.2484100261878035E-4</v>
      </c>
      <c r="M77" s="12">
        <f t="shared" si="14"/>
        <v>5.9190845264314486E-2</v>
      </c>
      <c r="N77" s="12">
        <f t="shared" si="38"/>
        <v>7.2484100261878039E-3</v>
      </c>
      <c r="O77" s="21">
        <f t="shared" si="15"/>
        <v>1205280</v>
      </c>
      <c r="P77" s="11" t="s">
        <v>34</v>
      </c>
      <c r="Q77" s="17">
        <f>W77-J77-B68*C76*D76*E65*(F65+F76)-B68*C76*D76*E66*(F66+F76)-B68*C76*D76*E67*(F67+F76)-B68*C76*D76*E64*(F64+F76)-B68*C76*D76*E69*(F69+F76)-B68*C76*D76*E70*(F70+F76)-B68*C76*D76*E71*(F71+F76)-B68*C76*D76*E72*(F72+F76)-B68*C76*D76*E73*(F73+F76)-B68*C76*D76*E74*(F74+F76)-B68*C68*D76*E69*(F69+F76)-B68*C68*D76*E70*(F70+F76)-B68*C68*D76*E71*(F71+F76)-B68*C68*D76*E72*(F72+F76)-B68*C68*D76*E73*(F73+F76)-B68*C68*D76*E74*(F74+F76)-B76*C68*D76*E69*(F69+F76)-B76*C68*D76*E70*(F70+F76)-B76*C68*D76*E71*(F71+F76)-B76*C68*D76*E72*(F72+F76)-B76*C68*D76*E73*(F73+F76)-B76*C68*D76*E74*(F74+F76)</f>
        <v>85712</v>
      </c>
      <c r="R77" s="12">
        <f t="shared" si="16"/>
        <v>20</v>
      </c>
      <c r="S77" s="12">
        <f t="shared" si="25"/>
        <v>1.5463852055072906E-3</v>
      </c>
      <c r="T77" s="12">
        <f t="shared" si="26"/>
        <v>3.0927704110145813E-2</v>
      </c>
      <c r="U77" s="17">
        <f t="shared" si="27"/>
        <v>5142720</v>
      </c>
      <c r="V77" s="77">
        <f t="shared" si="17"/>
        <v>0.56039886714440457</v>
      </c>
      <c r="W77" s="11">
        <f>(B68+$B$76)*(C68+$C$76)*($D$76+D68)*($E$77-$E$76-E68)*$F$77-$B$76*$C$76*$D$76*($E$77-$E$76-E68)*$F$77</f>
        <v>129456</v>
      </c>
      <c r="X77" s="12">
        <f t="shared" si="18"/>
        <v>3.8176114136333615E-2</v>
      </c>
      <c r="Y77" s="4">
        <f t="shared" si="19"/>
        <v>2.271226208126071E-3</v>
      </c>
      <c r="Z77" s="8"/>
      <c r="AA77" s="11" t="s">
        <v>34</v>
      </c>
      <c r="AB77">
        <f>F68*E68*D68*(C77-C76-C68)*B77</f>
        <v>47520</v>
      </c>
      <c r="AC77" s="12">
        <v>10</v>
      </c>
      <c r="AD77" s="12">
        <f t="shared" si="28"/>
        <v>8.5733882030178323E-4</v>
      </c>
      <c r="AE77" s="12">
        <f t="shared" si="20"/>
        <v>7.0010677194350474E-2</v>
      </c>
      <c r="AF77" s="12">
        <f t="shared" si="39"/>
        <v>8.5733882030178329E-3</v>
      </c>
      <c r="AG77" s="21">
        <f t="shared" si="29"/>
        <v>1425600</v>
      </c>
      <c r="AH77" s="11" t="s">
        <v>34</v>
      </c>
      <c r="AI77" s="17">
        <f>AO77-AB77-F68*E76*D76*C65*(B65+B76)-F68*E76*D76*C66*(B66+B76)-F68*E76*D76*C67*(B67+B76)-F68*E76*D76*C64*(B64+B76)-F68*E76*D76*C69*(B69+B76)-F68*E76*D76*C70*(B70+B76)-F68*E76*D76*C71*(B71+B76)-F68*E76*D76*C72*(B72+B76)-F68*E76*D76*C73*(B73+B76)-F68*E76*D76*C74*(B74+B76)-F68*E68*D76*C69*(B69+B76)-F68*E68*D76*C70*(B70+B76)-F68*E68*D76*C71*(B71+B76)-F68*E68*D76*C72*(B72+B76)-F68*E68*D76*C73*(B73+B76)-F68*E68*D76*C74*(B74+B76)-F76*E68*D76*C69*(B69+B76)-F76*E68*D76*C70*(B70+B76)-F76*E68*D76*C71*(B71+B76)-F76*E68*D76*C72*(B72+B76)-F76*E68*D76*C73*(B73+B76)-F76*E68*D76*C74*(B74+B76)</f>
        <v>71418</v>
      </c>
      <c r="AJ77" s="12">
        <f t="shared" si="21"/>
        <v>20</v>
      </c>
      <c r="AK77" s="12">
        <f t="shared" si="30"/>
        <v>5.8480503289018578E-4</v>
      </c>
      <c r="AL77" s="77">
        <f t="shared" si="22"/>
        <v>0.21192913432232216</v>
      </c>
      <c r="AM77" s="12">
        <f t="shared" si="31"/>
        <v>1.1696100657803715E-2</v>
      </c>
      <c r="AN77" s="17">
        <f t="shared" si="32"/>
        <v>4285080</v>
      </c>
      <c r="AO77" s="11">
        <f>($F68+$F$76)*($E68+$E$76)*($D$76+$D68)*($C$77-$C$76-$C68)*$B$77-$F$76*$E$76*$D$76*($C$77-$C$76-$C68)*$B$77</f>
        <v>121770</v>
      </c>
      <c r="AP77" s="12">
        <f t="shared" si="36"/>
        <v>2.0269488860821548E-2</v>
      </c>
      <c r="AQ77" s="4">
        <f t="shared" si="33"/>
        <v>9.7392171444023797E-4</v>
      </c>
      <c r="AR77" s="11"/>
      <c r="AS77" s="22">
        <f t="shared" si="34"/>
        <v>87696</v>
      </c>
      <c r="AT77" s="22">
        <f t="shared" si="35"/>
        <v>157130</v>
      </c>
    </row>
    <row r="78" spans="1:46" x14ac:dyDescent="0.25">
      <c r="A78" s="8"/>
      <c r="B78" s="8"/>
      <c r="C78" s="8"/>
      <c r="D78" s="8"/>
      <c r="E78" s="8"/>
      <c r="F78" s="8"/>
      <c r="G78" s="8"/>
      <c r="H78" s="8"/>
      <c r="I78" s="11" t="s">
        <v>35</v>
      </c>
      <c r="J78" s="17">
        <f>B68*C68*D68*E68*(F77-F76-F68)</f>
        <v>4464</v>
      </c>
      <c r="K78" s="12">
        <v>50</v>
      </c>
      <c r="L78" s="12">
        <f t="shared" si="23"/>
        <v>8.0537889179864482E-5</v>
      </c>
      <c r="M78" s="12">
        <f t="shared" si="14"/>
        <v>0.19366059047539394</v>
      </c>
      <c r="N78" s="12">
        <f t="shared" si="38"/>
        <v>4.0268944589932241E-3</v>
      </c>
      <c r="O78" s="21">
        <f t="shared" si="15"/>
        <v>669600</v>
      </c>
      <c r="P78" s="11" t="s">
        <v>35</v>
      </c>
      <c r="Q78" s="17">
        <f>W78-J78-(B76*C76*D76*E68*(F77-F76-F68))-B68*C76*D76*E76*F70-B68*C76*D76*E76*F71-B68*C76*D76*E76*F72-B68*C76*D76*E76*F73-B68*C76*D76*E76*F74</f>
        <v>13048</v>
      </c>
      <c r="R78" s="12">
        <f t="shared" si="16"/>
        <v>100</v>
      </c>
      <c r="S78" s="12">
        <f t="shared" si="25"/>
        <v>2.3540734274616305E-4</v>
      </c>
      <c r="T78" s="12">
        <f t="shared" si="26"/>
        <v>2.3540734274616306E-2</v>
      </c>
      <c r="U78" s="17">
        <f t="shared" si="27"/>
        <v>3914400</v>
      </c>
      <c r="V78" s="77">
        <f t="shared" si="17"/>
        <v>2.3089344424555178</v>
      </c>
      <c r="W78" s="11">
        <f>(B68+$B$14)*(C68+$C$14)*($D$14+D68)*($E$14+E68)*($F$15-$F$14-F68)-$B$14*$C$14*$D$14*$E$14*($F$15-$F$14-F68)</f>
        <v>18164</v>
      </c>
      <c r="X78" s="12">
        <f t="shared" si="18"/>
        <v>2.7567628733609531E-2</v>
      </c>
      <c r="Y78" s="4">
        <f t="shared" si="19"/>
        <v>3.1594523192602752E-4</v>
      </c>
      <c r="Z78" s="8"/>
      <c r="AA78" s="11" t="s">
        <v>35</v>
      </c>
      <c r="AB78">
        <f>F68*E68*D68*C68*(B77-B76-B68)</f>
        <v>5568</v>
      </c>
      <c r="AC78" s="12">
        <v>50</v>
      </c>
      <c r="AD78" s="12">
        <f t="shared" si="28"/>
        <v>1.004558617727342E-4</v>
      </c>
      <c r="AE78" s="12">
        <f t="shared" si="20"/>
        <v>0.24155514510909354</v>
      </c>
      <c r="AF78" s="12">
        <f t="shared" si="39"/>
        <v>5.0227930886367102E-3</v>
      </c>
      <c r="AG78" s="21">
        <f t="shared" si="29"/>
        <v>835200</v>
      </c>
      <c r="AH78" s="11" t="s">
        <v>35</v>
      </c>
      <c r="AI78" s="17">
        <f>AO78-AB78-F76*E76*D76*C68*(B77-B76-B68)-F68*E76*D76*C76*B70-F68*E76*D76*C76*B71-F68*E76*D76*C76*B72-F68*E76*D76*C76*B73-F68*E76*D76*C76*B74</f>
        <v>15674</v>
      </c>
      <c r="AJ78" s="12">
        <f t="shared" si="21"/>
        <v>100</v>
      </c>
      <c r="AK78" s="12">
        <f t="shared" si="30"/>
        <v>1.2834627244561275E-4</v>
      </c>
      <c r="AL78" s="77">
        <f t="shared" si="22"/>
        <v>1.2588525300589206</v>
      </c>
      <c r="AM78" s="12">
        <f t="shared" si="31"/>
        <v>1.2834627244561275E-2</v>
      </c>
      <c r="AN78" s="17">
        <f t="shared" si="32"/>
        <v>4702200</v>
      </c>
      <c r="AO78" s="11">
        <f>($F68+$F$76)*($E68+$E$76)*($D$76+$D68)*($C$76+$C68)*($B$77-$B$76-$B68)-$F$76*$E$76*$D$76*$C$76*($B$77-$B$76-$B68)</f>
        <v>21634</v>
      </c>
      <c r="AP78" s="12">
        <f t="shared" si="36"/>
        <v>1.7857420333197985E-2</v>
      </c>
      <c r="AQ78" s="4">
        <f t="shared" si="33"/>
        <v>1.739397422029926E-4</v>
      </c>
      <c r="AS78" s="22">
        <f t="shared" si="34"/>
        <v>10032</v>
      </c>
      <c r="AT78" s="22">
        <f t="shared" si="35"/>
        <v>28722</v>
      </c>
    </row>
    <row r="79" spans="1:46" x14ac:dyDescent="0.25">
      <c r="A79" s="7" t="s">
        <v>58</v>
      </c>
      <c r="B79" s="7">
        <v>10</v>
      </c>
      <c r="C79" s="8"/>
      <c r="D79" s="7" t="s">
        <v>57</v>
      </c>
      <c r="E79" s="7"/>
      <c r="F79" s="7">
        <f>B77*C77*D77*E77*F77</f>
        <v>55427328</v>
      </c>
      <c r="G79" s="8"/>
      <c r="H79" s="8"/>
      <c r="I79" s="11" t="s">
        <v>36</v>
      </c>
      <c r="J79" s="17">
        <f>B68*C68*D68*E68*F68</f>
        <v>576</v>
      </c>
      <c r="K79" s="12">
        <v>125</v>
      </c>
      <c r="L79" s="12">
        <f t="shared" si="23"/>
        <v>1.0391985700627675E-5</v>
      </c>
      <c r="M79" s="12">
        <f t="shared" si="14"/>
        <v>0.15988155686404601</v>
      </c>
      <c r="N79" s="12">
        <f t="shared" si="38"/>
        <v>1.2989982125784594E-3</v>
      </c>
      <c r="O79" s="21">
        <f t="shared" si="15"/>
        <v>216000</v>
      </c>
      <c r="P79" s="11" t="s">
        <v>36</v>
      </c>
      <c r="Q79" s="17">
        <f>W79-J79-(B76*C76*D76*E76*F68)-(B68*C76*D76*E76*F76)-(B76*C76*D76*E68*F68)-(B68*C68*D76*E76*F76)-(B76*C68*D76*E76*F76)-(B76*C76*D76*E68*F76)</f>
        <v>2280</v>
      </c>
      <c r="R79" s="12">
        <f t="shared" si="16"/>
        <v>250</v>
      </c>
      <c r="S79" s="12">
        <f t="shared" si="25"/>
        <v>4.1134943398317883E-5</v>
      </c>
      <c r="T79" s="12">
        <f t="shared" si="26"/>
        <v>1.0283735849579471E-2</v>
      </c>
      <c r="U79" s="17">
        <f t="shared" si="27"/>
        <v>1710000</v>
      </c>
      <c r="V79" s="77">
        <f t="shared" si="17"/>
        <v>2.5511577954479452</v>
      </c>
      <c r="W79" s="11">
        <f>(B68+$B$76)*(C68+$C$76)*($D$76+D68)*($E$76+E68)*($F$76+F68)-$B$76*$C$76*$D$76*$E$76*$F$76</f>
        <v>2996</v>
      </c>
      <c r="X79" s="12">
        <f t="shared" si="18"/>
        <v>1.1582734062157931E-2</v>
      </c>
      <c r="Y79" s="4">
        <f t="shared" si="19"/>
        <v>5.152692909894556E-5</v>
      </c>
      <c r="Z79" s="8"/>
      <c r="AA79" s="11"/>
      <c r="AC79" s="12"/>
      <c r="AD79" s="12">
        <f t="shared" si="28"/>
        <v>0</v>
      </c>
      <c r="AE79" s="12">
        <f t="shared" si="20"/>
        <v>0</v>
      </c>
      <c r="AF79" s="12"/>
      <c r="AG79" s="21">
        <f t="shared" si="29"/>
        <v>0</v>
      </c>
      <c r="AH79" s="11"/>
      <c r="AI79" s="17">
        <f t="shared" si="37"/>
        <v>0</v>
      </c>
      <c r="AJ79" s="12"/>
      <c r="AK79" s="12"/>
      <c r="AL79" s="77">
        <f t="shared" si="22"/>
        <v>0</v>
      </c>
      <c r="AM79" s="12"/>
      <c r="AN79" s="17"/>
      <c r="AO79" s="11"/>
      <c r="AP79" s="12"/>
      <c r="AQ79" s="4">
        <f t="shared" si="33"/>
        <v>0</v>
      </c>
      <c r="AS79" s="22">
        <f t="shared" si="34"/>
        <v>576</v>
      </c>
      <c r="AT79" s="22">
        <f t="shared" si="35"/>
        <v>2280</v>
      </c>
    </row>
    <row r="80" spans="1:46" x14ac:dyDescent="0.25">
      <c r="A80" s="8"/>
      <c r="B80" s="8"/>
      <c r="C80" s="8"/>
      <c r="D80" s="8"/>
      <c r="E80" s="8"/>
      <c r="F80" s="8"/>
      <c r="G80" s="8"/>
      <c r="H80" s="8"/>
      <c r="I80" s="11" t="s">
        <v>37</v>
      </c>
      <c r="J80" s="17">
        <f>B69*C69*D69*(E77-E76-E69)*F77</f>
        <v>40176</v>
      </c>
      <c r="K80" s="12">
        <v>10</v>
      </c>
      <c r="L80" s="12">
        <f t="shared" si="23"/>
        <v>7.2484100261878035E-4</v>
      </c>
      <c r="M80" s="12">
        <f t="shared" si="14"/>
        <v>5.9190845264314486E-2</v>
      </c>
      <c r="N80" s="12">
        <f t="shared" si="38"/>
        <v>7.2484100261878039E-3</v>
      </c>
      <c r="O80" s="21">
        <f t="shared" si="15"/>
        <v>1205280</v>
      </c>
      <c r="P80" s="11" t="s">
        <v>37</v>
      </c>
      <c r="Q80" s="17">
        <f>W80-J80-B69*C76*D76*E65*(F65+F76)-B69*C76*D76*E66*(F66+F76)-B69*C76*D76*E67*(F67+F76)-B69*C76*D76*E68*(F68+F76)-B69*C76*D76*E64*(F64+F76)-B69*C76*D76*E70*(F70+F76)-B69*C76*D76*E71*(F71+F76)-B69*C76*D76*E72*(F72+F76)-B69*C76*D76*E73*(F73+F76)-B69*C76*D76*E74*(F74+F76)-B69*C69*D76*E70*(F70+F76)-B69*C69*D76*E71*(F71+F76)-B69*C69*D76*E72*(F72+F76)-B69*C69*D76*E73*(F73+F76)-B69*C69*D76*E74*(F74+F76)-B76*C69*D76*E70*(F70+F76)-B76*C69*D76*E71*(F71+F76)-B76*C69*D76*E72*(F72+F76)-B76*C69*D76*E73*(F73+F76)-B76*C69*D76*E74*(F74+F76)</f>
        <v>91564</v>
      </c>
      <c r="R80" s="12">
        <f t="shared" si="16"/>
        <v>20</v>
      </c>
      <c r="S80" s="12">
        <f t="shared" si="25"/>
        <v>1.6519648935629731E-3</v>
      </c>
      <c r="T80" s="12">
        <f t="shared" si="26"/>
        <v>3.3039297871259463E-2</v>
      </c>
      <c r="U80" s="17">
        <f t="shared" si="27"/>
        <v>5493840</v>
      </c>
      <c r="V80" s="77">
        <f t="shared" si="17"/>
        <v>0.59866018610241567</v>
      </c>
      <c r="W80" s="11">
        <f>(B69+$B$76)*(C69+$C$76)*($D$76+D69)*($E$77-$E$76-E69)*$F$77-$B$76*$C$76*$D$76*($E$77-$E$76-E69)*$F$77</f>
        <v>135036</v>
      </c>
      <c r="X80" s="12">
        <f t="shared" si="18"/>
        <v>4.0287707897447268E-2</v>
      </c>
      <c r="Y80" s="4">
        <f t="shared" si="19"/>
        <v>2.3768058961817534E-3</v>
      </c>
      <c r="Z80" s="8"/>
      <c r="AA80" s="11" t="s">
        <v>37</v>
      </c>
      <c r="AB80">
        <f>F69*E69*D69*(C77-C76-C69)*B77</f>
        <v>49104</v>
      </c>
      <c r="AC80" s="12">
        <v>10</v>
      </c>
      <c r="AD80" s="12">
        <f t="shared" si="28"/>
        <v>8.8591678097850934E-4</v>
      </c>
      <c r="AE80" s="12">
        <f t="shared" si="20"/>
        <v>7.2344366434162158E-2</v>
      </c>
      <c r="AF80" s="12">
        <f t="shared" si="39"/>
        <v>8.8591678097850943E-3</v>
      </c>
      <c r="AG80" s="21">
        <f t="shared" si="29"/>
        <v>1473120</v>
      </c>
      <c r="AH80" s="11" t="s">
        <v>37</v>
      </c>
      <c r="AI80" s="17">
        <f>AO80-AB80-F69*E76*D76*C65*(B65+B76)-F69*E76*D76*C66*(B66+B76)-F69*E76*D76*C67*(B67+B76)-F69*E76*D76*C68*(B68+B76)-F69*E76*D76*C64*(B64+B76)-F69*E76*D76*C70*(B70+B76)-F69*E76*D76*C71*(B71+B76)-F69*E76*D76*C72*(B72+B76)-F69*E76*D76*C73*(B73+B76)-F69*E76*D76*C74*(B74+B76)-F69*E69*D76*C70*(B70+B76)-F69*E69*D76*C71*(B71+B76)-F69*E69*D76*C72*(B72+B76)-F69*E69*D76*C73*(B73+B76)-F69*E69*D76*C74*(B74+B76)-F76*E69*D76*C70*(B70+B76)-F76*E69*D76*C71*(B71+B76)-F76*E69*D76*C72*(B72+B76)-F76*E69*D76*C73*(B73+B76)-F76*E69*D76*C74*(B74+B76)</f>
        <v>74485</v>
      </c>
      <c r="AJ80" s="12">
        <f t="shared" si="21"/>
        <v>20</v>
      </c>
      <c r="AK80" s="12">
        <f t="shared" si="30"/>
        <v>6.0991910827558164E-4</v>
      </c>
      <c r="AL80" s="77">
        <f t="shared" si="22"/>
        <v>0.22103029446355493</v>
      </c>
      <c r="AM80" s="12">
        <f t="shared" si="31"/>
        <v>1.2198382165511633E-2</v>
      </c>
      <c r="AN80" s="17">
        <f t="shared" si="32"/>
        <v>4469100</v>
      </c>
      <c r="AO80" s="11">
        <f>($F69+$F$76)*($E69+$E$76)*($D$76+$D69)*($C$77-$C$76-$C69)*$B$77-$F$76*$E$76*$D$76*($C$77-$C$76-$C69)*$B$77</f>
        <v>125829</v>
      </c>
      <c r="AP80" s="12">
        <f t="shared" si="36"/>
        <v>2.1057549975296727E-2</v>
      </c>
      <c r="AQ80" s="4">
        <f t="shared" si="33"/>
        <v>1.0120063458773022E-3</v>
      </c>
      <c r="AS80" s="22">
        <f t="shared" si="34"/>
        <v>89280</v>
      </c>
      <c r="AT80" s="22">
        <f t="shared" si="35"/>
        <v>166049</v>
      </c>
    </row>
    <row r="81" spans="1:46" x14ac:dyDescent="0.25">
      <c r="A81" s="8"/>
      <c r="B81" s="8"/>
      <c r="C81" s="8"/>
      <c r="D81" s="8"/>
      <c r="E81" s="8"/>
      <c r="F81" s="8"/>
      <c r="G81" s="8"/>
      <c r="H81" s="8"/>
      <c r="I81" s="11" t="s">
        <v>38</v>
      </c>
      <c r="J81" s="17">
        <f>B69*C69*D69*E69*(F77-F76-F69)</f>
        <v>4464</v>
      </c>
      <c r="K81" s="12">
        <v>50</v>
      </c>
      <c r="L81" s="12">
        <f t="shared" si="23"/>
        <v>8.0537889179864482E-5</v>
      </c>
      <c r="M81" s="12">
        <f t="shared" si="14"/>
        <v>0.19366059047539394</v>
      </c>
      <c r="N81" s="12">
        <f t="shared" si="38"/>
        <v>4.0268944589932241E-3</v>
      </c>
      <c r="O81" s="21">
        <f t="shared" si="15"/>
        <v>669600</v>
      </c>
      <c r="P81" s="11" t="s">
        <v>38</v>
      </c>
      <c r="Q81" s="17">
        <f>W81-J81-(B76*C76*D76*E69*(F77-F76-F69))-B69*C76*D76*E76*F70-B69*C76*D76*E76*F71-B69*C76*D76*E76*F72-B69*C76*D76*E76*F73-B69*C76*D76*E76*F74</f>
        <v>13308</v>
      </c>
      <c r="R81" s="12">
        <f t="shared" si="16"/>
        <v>100</v>
      </c>
      <c r="S81" s="12">
        <f t="shared" si="25"/>
        <v>2.4009816962491861E-4</v>
      </c>
      <c r="T81" s="12">
        <f t="shared" si="26"/>
        <v>2.400981696249186E-2</v>
      </c>
      <c r="U81" s="17">
        <f t="shared" si="27"/>
        <v>3992400</v>
      </c>
      <c r="V81" s="77">
        <f t="shared" si="17"/>
        <v>2.3549432526209406</v>
      </c>
      <c r="W81" s="11">
        <f>(B68+$B$76)*(C68+$C$76)*($D$76+D68)*($E$76+E68)*($F$77-$F$76-F68)-$B$76*$C$76*$D$76*$E$76*($F$77-$F$76-F68)</f>
        <v>18476</v>
      </c>
      <c r="X81" s="12">
        <f t="shared" si="18"/>
        <v>2.8036711421485085E-2</v>
      </c>
      <c r="Y81" s="4">
        <f t="shared" si="19"/>
        <v>3.206360588047831E-4</v>
      </c>
      <c r="Z81" s="8"/>
      <c r="AA81" s="11" t="s">
        <v>38</v>
      </c>
      <c r="AB81">
        <f>F69*E69*D69*C69*(B77-B76-B69)</f>
        <v>4032</v>
      </c>
      <c r="AC81" s="12">
        <v>50</v>
      </c>
      <c r="AD81" s="12">
        <f t="shared" si="28"/>
        <v>7.2743899904393738E-5</v>
      </c>
      <c r="AE81" s="12">
        <f t="shared" si="20"/>
        <v>0.17491924301003328</v>
      </c>
      <c r="AF81" s="12">
        <f t="shared" si="39"/>
        <v>3.6371949952196869E-3</v>
      </c>
      <c r="AG81" s="21">
        <f t="shared" si="29"/>
        <v>604800</v>
      </c>
      <c r="AH81" s="11" t="s">
        <v>38</v>
      </c>
      <c r="AI81" s="17">
        <f>AO81-AB81-F76*E76*D76*C69*(B77-B76-B69)-F69*E76*D76*C76*B70-F69*E76*D76*C76*B71-F69*E76*D76*C76*B72-F69*E76*D76*C76*B73-F69*E76*D76*C76*B74</f>
        <v>13028</v>
      </c>
      <c r="AJ81" s="12">
        <f t="shared" si="21"/>
        <v>100</v>
      </c>
      <c r="AK81" s="12">
        <f t="shared" si="30"/>
        <v>1.066795481320303E-4</v>
      </c>
      <c r="AL81" s="77">
        <f t="shared" si="22"/>
        <v>1.0463398469827496</v>
      </c>
      <c r="AM81" s="12">
        <f t="shared" si="31"/>
        <v>1.066795481320303E-2</v>
      </c>
      <c r="AN81" s="17">
        <f t="shared" si="32"/>
        <v>3908400</v>
      </c>
      <c r="AO81" s="11">
        <f>($F69+$F$76)*($E69+$E$76)*($D$76+$D69)*($C$76+$C69)*($B$77-$B$76-$B69)-$F$76*$E$76*$D$76*$C$76*($B$77-$B$76-$B69)</f>
        <v>17388</v>
      </c>
      <c r="AP81" s="12">
        <f t="shared" si="36"/>
        <v>1.4305149808422717E-2</v>
      </c>
      <c r="AQ81" s="4">
        <f t="shared" si="33"/>
        <v>1.3969550899082262E-4</v>
      </c>
      <c r="AS81" s="22">
        <f t="shared" si="34"/>
        <v>8496</v>
      </c>
      <c r="AT81" s="22">
        <f t="shared" si="35"/>
        <v>26336</v>
      </c>
    </row>
    <row r="82" spans="1:46" x14ac:dyDescent="0.25">
      <c r="A82" s="8"/>
      <c r="B82" s="8"/>
      <c r="C82" s="8"/>
      <c r="D82" s="8"/>
      <c r="E82" s="8"/>
      <c r="F82" s="8"/>
      <c r="G82" s="8"/>
      <c r="H82" s="8"/>
      <c r="I82" s="11" t="s">
        <v>39</v>
      </c>
      <c r="J82" s="17">
        <f>B69*C69*D69*E69*F69</f>
        <v>576</v>
      </c>
      <c r="K82" s="12">
        <v>125</v>
      </c>
      <c r="L82" s="12">
        <f t="shared" si="23"/>
        <v>1.0391985700627675E-5</v>
      </c>
      <c r="M82" s="12">
        <f t="shared" si="14"/>
        <v>0.15988155686404601</v>
      </c>
      <c r="N82" s="12">
        <f t="shared" si="38"/>
        <v>1.2989982125784594E-3</v>
      </c>
      <c r="O82" s="21">
        <f t="shared" si="15"/>
        <v>216000</v>
      </c>
      <c r="P82" s="11" t="s">
        <v>39</v>
      </c>
      <c r="Q82" s="17">
        <f>W82-J82-(B76*C76*D76*E76*F69)-(B69*C76*D76*E76*F76)-(B76*C76*D76*E69*F69)-(B69*C69*D76*E76*F76)-(B76*C69*D76*E76*F76)-(B76*C76*D76*E69*F76)</f>
        <v>2403</v>
      </c>
      <c r="R82" s="12">
        <f t="shared" si="16"/>
        <v>250</v>
      </c>
      <c r="S82" s="12">
        <f t="shared" si="25"/>
        <v>4.3354065344806082E-5</v>
      </c>
      <c r="T82" s="12">
        <f t="shared" si="26"/>
        <v>1.0838516336201521E-2</v>
      </c>
      <c r="U82" s="17">
        <f t="shared" si="27"/>
        <v>1802250</v>
      </c>
      <c r="V82" s="77">
        <f t="shared" si="17"/>
        <v>2.6887860449392158</v>
      </c>
      <c r="W82" s="11">
        <f>(B69+$B$76)*(C69+$C$76)*($D$76+D69)*($E$76+E69)*($F$76+F69)-$B$76*$C$76*$D$76*$E$76*$F$76</f>
        <v>3121</v>
      </c>
      <c r="X82" s="12">
        <f t="shared" si="18"/>
        <v>1.213751454877998E-2</v>
      </c>
      <c r="Y82" s="4">
        <f t="shared" si="19"/>
        <v>5.3746051045433759E-5</v>
      </c>
      <c r="Z82" s="8"/>
      <c r="AA82" s="11"/>
      <c r="AC82" s="12"/>
      <c r="AD82" s="12">
        <f t="shared" si="28"/>
        <v>0</v>
      </c>
      <c r="AE82" s="12">
        <f t="shared" si="20"/>
        <v>0</v>
      </c>
      <c r="AF82" s="12"/>
      <c r="AG82" s="21">
        <f t="shared" si="29"/>
        <v>0</v>
      </c>
      <c r="AH82" s="11"/>
      <c r="AI82" s="17">
        <f t="shared" si="37"/>
        <v>0</v>
      </c>
      <c r="AJ82" s="12"/>
      <c r="AK82" s="12"/>
      <c r="AL82" s="77">
        <f t="shared" si="22"/>
        <v>0</v>
      </c>
      <c r="AM82" s="12"/>
      <c r="AN82" s="17"/>
      <c r="AO82" s="11"/>
      <c r="AP82" s="12"/>
      <c r="AQ82" s="4">
        <f t="shared" si="33"/>
        <v>0</v>
      </c>
      <c r="AS82" s="22">
        <f t="shared" si="34"/>
        <v>576</v>
      </c>
      <c r="AT82" s="22">
        <f t="shared" si="35"/>
        <v>2403</v>
      </c>
    </row>
    <row r="83" spans="1:46" x14ac:dyDescent="0.25">
      <c r="A83" s="8"/>
      <c r="B83" s="8"/>
      <c r="C83" s="8"/>
      <c r="D83" s="8"/>
      <c r="E83" s="8"/>
      <c r="F83" s="8"/>
      <c r="G83" s="8"/>
      <c r="H83" s="8"/>
      <c r="I83" s="11" t="s">
        <v>40</v>
      </c>
      <c r="J83" s="17">
        <f>B71*C71*D71*(E77-E76-E71)*F77</f>
        <v>20736</v>
      </c>
      <c r="K83" s="12">
        <v>15</v>
      </c>
      <c r="L83" s="12">
        <f t="shared" si="23"/>
        <v>3.7411148522259631E-4</v>
      </c>
      <c r="M83" s="12">
        <f t="shared" si="14"/>
        <v>7.3709924352416425E-2</v>
      </c>
      <c r="N83" s="12">
        <f t="shared" si="38"/>
        <v>5.6116722783389446E-3</v>
      </c>
      <c r="O83" s="21">
        <f t="shared" si="15"/>
        <v>933120</v>
      </c>
      <c r="P83" s="11" t="s">
        <v>40</v>
      </c>
      <c r="Q83" s="17">
        <f>W83-J83-B71*C76*D76*E65*(F65+F76)-B71*C76*D76*E66*(F66+F76)-B71*C76*D76*E67*(F67+F76)-B71*C76*D76*E68*(F68+F76)-B71*C76*D76*E69*(F69+F76)-B71*C76*D76*E70*(F70+F76)-B71*C76*D76*E64*(F64+F76)-B71*C76*D76*E72*(F72+F76)-B71*C76*D76*E73*(F73+F76)-B71*C76*D76*E74*(F74+F76)-B71*C71*D76*E72*(F72+F76)-B71*C71*D76*E73*(F73+F76)-B71*C71*D76*E74*(F74+F76)-B76*C71*D76*E72*(F72+F76)-B76*C71*D76*E73*(F73+F76)-B76*C71*D76*E74*(F74+F76)</f>
        <v>59632</v>
      </c>
      <c r="R83" s="12">
        <f t="shared" si="16"/>
        <v>30</v>
      </c>
      <c r="S83" s="12">
        <f t="shared" si="25"/>
        <v>1.0758591862844264E-3</v>
      </c>
      <c r="T83" s="12">
        <f t="shared" si="26"/>
        <v>3.2275775588532792E-2</v>
      </c>
      <c r="U83" s="17">
        <f t="shared" si="27"/>
        <v>5366880</v>
      </c>
      <c r="V83" s="77">
        <f t="shared" si="17"/>
        <v>0.90708393731742032</v>
      </c>
      <c r="W83" s="11">
        <f>(B71+$B$76)*(C71+$C$76)*($D$76+D71)*($E$77-$E$76-E71)*$F$77-$B$76*$C$76*$D$76*($E$77-$E$76-E71)*$F$77</f>
        <v>81792</v>
      </c>
      <c r="X83" s="12">
        <f t="shared" si="18"/>
        <v>3.7887447866871739E-2</v>
      </c>
      <c r="Y83" s="4">
        <f t="shared" si="19"/>
        <v>1.4499706715070226E-3</v>
      </c>
      <c r="Z83" s="8"/>
      <c r="AA83" s="11" t="s">
        <v>40</v>
      </c>
      <c r="AB83">
        <f>F71*E71*D71*(C77-C76-C71)*B77</f>
        <v>27621</v>
      </c>
      <c r="AC83" s="12">
        <v>15</v>
      </c>
      <c r="AD83" s="12">
        <f t="shared" si="28"/>
        <v>4.9832818930041153E-4</v>
      </c>
      <c r="AE83" s="12">
        <f t="shared" si="20"/>
        <v>9.8183922672554685E-2</v>
      </c>
      <c r="AF83" s="12">
        <f t="shared" si="39"/>
        <v>7.4749228395061731E-3</v>
      </c>
      <c r="AG83" s="21">
        <f t="shared" si="29"/>
        <v>1242945</v>
      </c>
      <c r="AH83" s="11" t="s">
        <v>40</v>
      </c>
      <c r="AI83" s="17">
        <f>AO83-AB83-F71*E76*D76*C65*(B65+B76)-F71*E76*D76*C66*(B66+B76)-F71*E76*D76*C67*(B67+B76)-F71*E76*D76*C68*(B68+B76)-F71*E76*D76*C69*(B69+B76)-F71*E76*D76*C70*(B70+B76)-F71*E76*D76*C64*(B64+B76)-F71*E76*D76*C72*(B72+B76)-F71*E76*D76*C73*(B73+B76)-F71*E76*D76*C74*(B74+B76)-F71*E71*D76*C72*(B72+B76)-F71*E71*D76*C73*(B73+B76)-F71*E71*D76*C74*(B74+B76)-F76*E71*D76*C72*(B72+B76)-F76*E71*D76*C73*(B73+B76)-F76*E71*D76*C74*(B74+B76)</f>
        <v>51087</v>
      </c>
      <c r="AJ83" s="12">
        <f t="shared" si="21"/>
        <v>30</v>
      </c>
      <c r="AK83" s="12">
        <f t="shared" si="30"/>
        <v>4.1832499811337366E-4</v>
      </c>
      <c r="AL83" s="77">
        <f t="shared" si="22"/>
        <v>0.35270032658963985</v>
      </c>
      <c r="AM83" s="12">
        <f t="shared" si="31"/>
        <v>1.254974994340121E-2</v>
      </c>
      <c r="AN83" s="17">
        <f t="shared" si="32"/>
        <v>4597830</v>
      </c>
      <c r="AO83" s="11">
        <f>($F71+$F$76)*($E71+$E$76)*($D$76+$D71)*($C$77-$C$76-$C71)*$B$77-$F$76*$E$76*$D$76*($C$77-$C$76-$C71)*$B$77</f>
        <v>79794</v>
      </c>
      <c r="AP83" s="12">
        <f t="shared" si="36"/>
        <v>2.0024672782907385E-2</v>
      </c>
      <c r="AQ83" s="4">
        <f t="shared" si="33"/>
        <v>6.4449906926434153E-4</v>
      </c>
      <c r="AS83" s="22">
        <f t="shared" si="34"/>
        <v>48357</v>
      </c>
      <c r="AT83" s="22">
        <f t="shared" si="35"/>
        <v>110719</v>
      </c>
    </row>
    <row r="84" spans="1:46" x14ac:dyDescent="0.25">
      <c r="A84" s="8"/>
      <c r="B84" s="8"/>
      <c r="C84" s="8"/>
      <c r="D84" s="8"/>
      <c r="E84" s="8"/>
      <c r="F84" s="8"/>
      <c r="G84" s="8"/>
      <c r="H84" s="8"/>
      <c r="I84" s="11" t="s">
        <v>41</v>
      </c>
      <c r="J84" s="17">
        <f>B71*C71*E71*D71*(F77-F76-F71)</f>
        <v>1728</v>
      </c>
      <c r="K84" s="12">
        <v>75</v>
      </c>
      <c r="L84" s="12">
        <f t="shared" si="23"/>
        <v>3.117595710188303E-5</v>
      </c>
      <c r="M84" s="12">
        <f t="shared" si="14"/>
        <v>0.17088853706098747</v>
      </c>
      <c r="N84" s="12">
        <f t="shared" si="38"/>
        <v>2.3381967826412273E-3</v>
      </c>
      <c r="O84" s="21">
        <f t="shared" si="15"/>
        <v>388800</v>
      </c>
      <c r="P84" s="11" t="s">
        <v>41</v>
      </c>
      <c r="Q84" s="17">
        <f>W84-J84-(B76*C76*D76*E71*(F77-F76-F71))-B71*C76*D76*E76*F72-B71*C76*D76*E76*F73-B71*C76*D76*E76*F74</f>
        <v>5384</v>
      </c>
      <c r="R84" s="12">
        <f t="shared" si="16"/>
        <v>150</v>
      </c>
      <c r="S84" s="12">
        <f t="shared" si="25"/>
        <v>9.7136199673922578E-5</v>
      </c>
      <c r="T84" s="12">
        <f t="shared" si="26"/>
        <v>1.4570429951088386E-2</v>
      </c>
      <c r="U84" s="17">
        <f t="shared" si="27"/>
        <v>2422800</v>
      </c>
      <c r="V84" s="77">
        <f t="shared" si="17"/>
        <v>2.1575808477299985</v>
      </c>
      <c r="W84" s="11">
        <f>(B70+$B$76)*(C70+$C$76)*($D$76+D70)*($E$76+E70)*($F$77-$F$76-F70)-$B$76*$C$76*$D$76*$E$76*($F$77-$F$76-F70)</f>
        <v>7552</v>
      </c>
      <c r="X84" s="12">
        <f t="shared" si="18"/>
        <v>1.6908626733729615E-2</v>
      </c>
      <c r="Y84" s="4">
        <f t="shared" si="19"/>
        <v>1.2831215677580561E-4</v>
      </c>
      <c r="Z84" s="8"/>
      <c r="AA84" s="11" t="s">
        <v>41</v>
      </c>
      <c r="AB84">
        <f>F71*E71*D71*C71*(B77-B76-B71)</f>
        <v>2430</v>
      </c>
      <c r="AC84" s="12">
        <v>75</v>
      </c>
      <c r="AD84" s="12">
        <f t="shared" si="28"/>
        <v>4.3841189674523005E-5</v>
      </c>
      <c r="AE84" s="12">
        <f t="shared" si="20"/>
        <v>0.2403120052420136</v>
      </c>
      <c r="AF84" s="12">
        <f t="shared" si="39"/>
        <v>3.2880892255892254E-3</v>
      </c>
      <c r="AG84" s="21">
        <f t="shared" si="29"/>
        <v>546750</v>
      </c>
      <c r="AH84" s="11" t="s">
        <v>41</v>
      </c>
      <c r="AI84" s="17">
        <f>AO84-AB84-F76*E76*D76*C71*(B77-B76-B71)-F71*E76*D76*C76*B72-F71*E76*D76*C76*B73-F71*E76*D76*C76*B74</f>
        <v>9198</v>
      </c>
      <c r="AJ84" s="12">
        <f t="shared" si="21"/>
        <v>150</v>
      </c>
      <c r="AK84" s="12">
        <f t="shared" si="30"/>
        <v>7.5317660709119954E-5</v>
      </c>
      <c r="AL84" s="77">
        <f t="shared" si="22"/>
        <v>1.6729493513987004</v>
      </c>
      <c r="AM84" s="12">
        <f t="shared" si="31"/>
        <v>1.1297649106367992E-2</v>
      </c>
      <c r="AN84" s="17">
        <f t="shared" si="32"/>
        <v>4139100</v>
      </c>
      <c r="AO84" s="11">
        <f>($F71+$F$76)*($E71+$E$76)*($D$76+$D71)*($C$76+$C71)*($B$77-$B$76-$B71)-$F$76*$E$76*$D$76*$C$76*($B$77-$B$76-$B71)</f>
        <v>11880</v>
      </c>
      <c r="AP84" s="12">
        <f t="shared" si="36"/>
        <v>1.4585738331957218E-2</v>
      </c>
      <c r="AQ84" s="4">
        <f t="shared" si="33"/>
        <v>9.5215672833838533E-5</v>
      </c>
      <c r="AS84" s="22">
        <f t="shared" si="34"/>
        <v>4158</v>
      </c>
      <c r="AT84" s="22">
        <f t="shared" si="35"/>
        <v>14582</v>
      </c>
    </row>
    <row r="85" spans="1:46" x14ac:dyDescent="0.25">
      <c r="A85" s="8"/>
      <c r="B85" s="8"/>
      <c r="C85" s="8"/>
      <c r="D85" s="8"/>
      <c r="E85" s="8"/>
      <c r="F85" s="8"/>
      <c r="G85" s="8"/>
      <c r="H85" s="8"/>
      <c r="I85" s="11" t="s">
        <v>42</v>
      </c>
      <c r="J85" s="17">
        <f>B71*C71*D71*E71*F71</f>
        <v>162</v>
      </c>
      <c r="K85" s="12">
        <v>250</v>
      </c>
      <c r="L85" s="12">
        <f t="shared" si="23"/>
        <v>2.9227459783015337E-6</v>
      </c>
      <c r="M85" s="12">
        <f t="shared" si="14"/>
        <v>0.18126647493972242</v>
      </c>
      <c r="N85" s="12">
        <f t="shared" si="38"/>
        <v>7.3068649457538339E-4</v>
      </c>
      <c r="O85" s="21">
        <f t="shared" si="15"/>
        <v>121500</v>
      </c>
      <c r="P85" s="11" t="s">
        <v>42</v>
      </c>
      <c r="Q85" s="17">
        <f>W85-J85-(B76*C76*D76*E76*F71)-(B71*C76*D76*E76*F76)</f>
        <v>1014</v>
      </c>
      <c r="R85" s="12">
        <f t="shared" si="16"/>
        <v>500</v>
      </c>
      <c r="S85" s="12">
        <f t="shared" si="25"/>
        <v>1.8294224827146637E-5</v>
      </c>
      <c r="T85" s="12">
        <f t="shared" si="26"/>
        <v>9.1471124135733186E-3</v>
      </c>
      <c r="U85" s="17">
        <f t="shared" si="27"/>
        <v>1521000</v>
      </c>
      <c r="V85" s="77">
        <f t="shared" si="17"/>
        <v>4.5559488477320675</v>
      </c>
      <c r="W85" s="11">
        <f>(B71+$B$76)*(C71+$C$76)*($D$76+D71)*($E$76+E71)*($F$76+F71)-$B$76*$C$76*$D$76*$E$76*$F$76</f>
        <v>1196</v>
      </c>
      <c r="X85" s="12">
        <f t="shared" si="18"/>
        <v>9.8777989081487022E-3</v>
      </c>
      <c r="Y85" s="4">
        <f t="shared" si="19"/>
        <v>2.1216970805448171E-5</v>
      </c>
      <c r="Z85" s="8"/>
      <c r="AA85" s="11"/>
      <c r="AC85" s="12"/>
      <c r="AD85" s="12">
        <f t="shared" si="28"/>
        <v>0</v>
      </c>
      <c r="AE85" s="12">
        <f t="shared" si="20"/>
        <v>0</v>
      </c>
      <c r="AF85" s="12"/>
      <c r="AG85" s="21">
        <f t="shared" si="29"/>
        <v>0</v>
      </c>
      <c r="AH85" s="11"/>
      <c r="AI85" s="17">
        <f t="shared" si="37"/>
        <v>0</v>
      </c>
      <c r="AJ85" s="12"/>
      <c r="AK85" s="12"/>
      <c r="AL85" s="77">
        <f t="shared" si="22"/>
        <v>0</v>
      </c>
      <c r="AM85" s="12"/>
      <c r="AN85" s="17"/>
      <c r="AO85" s="11"/>
      <c r="AP85" s="12"/>
      <c r="AQ85" s="4">
        <f t="shared" si="33"/>
        <v>0</v>
      </c>
      <c r="AS85" s="22">
        <f t="shared" si="34"/>
        <v>162</v>
      </c>
      <c r="AT85" s="22">
        <f t="shared" si="35"/>
        <v>1014</v>
      </c>
    </row>
    <row r="86" spans="1:46" x14ac:dyDescent="0.25">
      <c r="A86" s="8"/>
      <c r="B86" s="8"/>
      <c r="C86" s="8"/>
      <c r="D86" s="8"/>
      <c r="E86" s="8"/>
      <c r="F86" s="8"/>
      <c r="G86" s="8"/>
      <c r="H86" s="8"/>
      <c r="I86" s="11" t="s">
        <v>43</v>
      </c>
      <c r="J86" s="17">
        <f>B72*C72*D72*(E77-E76-E72)*F77</f>
        <v>13824</v>
      </c>
      <c r="K86" s="12">
        <v>20</v>
      </c>
      <c r="L86" s="12">
        <f t="shared" si="23"/>
        <v>2.4940765681506424E-4</v>
      </c>
      <c r="M86" s="12">
        <f t="shared" si="14"/>
        <v>9.038353952077012E-2</v>
      </c>
      <c r="N86" s="12">
        <f t="shared" si="38"/>
        <v>4.9881531363012849E-3</v>
      </c>
      <c r="O86" s="21">
        <f t="shared" si="15"/>
        <v>829440</v>
      </c>
      <c r="P86" s="11" t="s">
        <v>43</v>
      </c>
      <c r="Q86" s="17">
        <f>W86-J86-B72*C76*D76*E65*(F65+F76)-B72*C76*D76*E66*(F66+F76)-B72*C76*D76*E67*(F67+F76)-B72*C76*D76*E68*(F68+F76)-B72*C76*D76*E69*(F69+F76)-B72*C76*D76*E70*(F70+F76)-B72*C76*D76*E71*(F71+F76)-B72*C76*D76*E64*(F64+F76)-B72*C76*D76*E73*(F73+F76)-B72*C76*D76*E74*(F74+F76)-B72*C72*D76*E73*(F73+F76)-B72*C72*D76*E74*(F74+F76)-B76*C72*D76*E73*(F73+F76)-B76*C72*D76*E74*(F74+F76)</f>
        <v>49480</v>
      </c>
      <c r="R86" s="12">
        <f t="shared" si="16"/>
        <v>40</v>
      </c>
      <c r="S86" s="12">
        <f t="shared" si="25"/>
        <v>8.9270043831086358E-4</v>
      </c>
      <c r="T86" s="12">
        <f t="shared" si="26"/>
        <v>3.5708017532434543E-2</v>
      </c>
      <c r="U86" s="17">
        <f t="shared" si="27"/>
        <v>5937600</v>
      </c>
      <c r="V86" s="77">
        <f t="shared" si="17"/>
        <v>1.3603482558224618</v>
      </c>
      <c r="W86" s="11">
        <f>(B72+$B$76)*(C72+$C$76)*($D$76+D72)*($E$77-$E$76-E72)*$F$77-$B$76*$C$76*$D$76*($E$77-$E$76-E72)*$F$77</f>
        <v>64512</v>
      </c>
      <c r="X86" s="12">
        <f t="shared" si="18"/>
        <v>4.0696170668735827E-2</v>
      </c>
      <c r="Y86" s="4">
        <f t="shared" si="19"/>
        <v>1.1421080951259277E-3</v>
      </c>
      <c r="Z86" s="8"/>
      <c r="AA86" s="11" t="s">
        <v>43</v>
      </c>
      <c r="AB86">
        <f>F72*E72*D72*(C77-C76-C72)*B77</f>
        <v>18414</v>
      </c>
      <c r="AC86" s="12">
        <v>20</v>
      </c>
      <c r="AD86" s="12">
        <f t="shared" si="28"/>
        <v>3.32218792866941E-4</v>
      </c>
      <c r="AE86" s="12">
        <f t="shared" si="20"/>
        <v>0.12039369912727581</v>
      </c>
      <c r="AF86" s="12">
        <f t="shared" si="39"/>
        <v>6.6443758573388198E-3</v>
      </c>
      <c r="AG86" s="21">
        <f t="shared" si="29"/>
        <v>1104840</v>
      </c>
      <c r="AH86" s="11" t="s">
        <v>43</v>
      </c>
      <c r="AI86" s="17">
        <f>AO86-AB86-F72*E76*D76*C65*(B65+B76)-F72*E76*D76*C66*(B66+B76)-F72*E76*D76*C67*(B67+B76)-F72*E76*D76*C68*(B68+B76)-F72*E76*D76*C69*(B69+B76)-F72*E76*D76*C70*(B70+B76)-F72*E76*D76*C71*(B71+B76)-F72*E76*D76*C64*(B64+B76)-F72*E76*D76*C73*(B73+B76)-F72*E76*D76*C74*(B74+B76)-F72*E72*D76*C73*(B73+B76)-F72*E72*D76*C74*(B74+B76)-F76*E72*D76*C73*(B73+B76)-F76*E72*D76*C74*(B74+B76)</f>
        <v>44142</v>
      </c>
      <c r="AJ86" s="12">
        <f t="shared" si="21"/>
        <v>40</v>
      </c>
      <c r="AK86" s="12">
        <f t="shared" si="30"/>
        <v>3.6145598815198662E-4</v>
      </c>
      <c r="AL86" s="77">
        <f t="shared" si="22"/>
        <v>0.55080741751345863</v>
      </c>
      <c r="AM86" s="12">
        <f t="shared" si="31"/>
        <v>1.4458239526079464E-2</v>
      </c>
      <c r="AN86" s="17">
        <f t="shared" si="32"/>
        <v>5297040</v>
      </c>
      <c r="AO86" s="11">
        <f>($F72+$F$76)*($E72+$E$76)*($D$76+$D72)*($C$77-$C$76-$C72)*$B$77-$F$76*$E$76*$D$76*($C$77-$C$76-$C72)*$B$77</f>
        <v>63426</v>
      </c>
      <c r="AP86" s="12">
        <f t="shared" si="36"/>
        <v>2.1102615383418285E-2</v>
      </c>
      <c r="AQ86" s="4">
        <f t="shared" si="33"/>
        <v>5.1223870225263184E-4</v>
      </c>
      <c r="AS86" s="22">
        <f t="shared" si="34"/>
        <v>32238</v>
      </c>
      <c r="AT86" s="22">
        <f t="shared" si="35"/>
        <v>93622</v>
      </c>
    </row>
    <row r="87" spans="1:46" x14ac:dyDescent="0.25">
      <c r="A87" s="8"/>
      <c r="B87" s="8"/>
      <c r="C87" s="8"/>
      <c r="D87" s="8"/>
      <c r="E87" s="8"/>
      <c r="F87" s="8"/>
      <c r="G87" s="8"/>
      <c r="H87" s="8"/>
      <c r="I87" s="11" t="s">
        <v>44</v>
      </c>
      <c r="J87" s="17">
        <f>B72*C72*D72*E72*(F77-F76-F72)</f>
        <v>1152</v>
      </c>
      <c r="K87" s="12">
        <v>100</v>
      </c>
      <c r="L87" s="12">
        <f t="shared" si="23"/>
        <v>2.078397140125535E-5</v>
      </c>
      <c r="M87" s="12">
        <f t="shared" si="14"/>
        <v>0.20385442042525723</v>
      </c>
      <c r="N87" s="12">
        <f t="shared" si="38"/>
        <v>2.0783971401255349E-3</v>
      </c>
      <c r="O87" s="21">
        <f t="shared" si="15"/>
        <v>345600</v>
      </c>
      <c r="P87" s="11" t="s">
        <v>44</v>
      </c>
      <c r="Q87" s="17">
        <f>W87-J87-(B76*C76*D76*E72*(F77-F76-F72))-B72*C76*D76*E76*F73-B72*C76*D76*E76*F74</f>
        <v>7904</v>
      </c>
      <c r="R87" s="12">
        <f t="shared" si="16"/>
        <v>200</v>
      </c>
      <c r="S87" s="12">
        <f t="shared" si="25"/>
        <v>1.4260113711416866E-4</v>
      </c>
      <c r="T87" s="12">
        <f t="shared" si="26"/>
        <v>2.8520227422833732E-2</v>
      </c>
      <c r="U87" s="17">
        <f t="shared" si="27"/>
        <v>4742400</v>
      </c>
      <c r="V87" s="77">
        <f t="shared" si="17"/>
        <v>5.6492260513629127</v>
      </c>
      <c r="W87" s="11">
        <f>(B71+$B$76)*(C71+$C$76)*($D$76+D71)*($E$76+E71)*($F$77-$F$76-F71)-$B$76*$C$76*$D$76*$E$76*($F$77-$F$76-F71)</f>
        <v>9472</v>
      </c>
      <c r="X87" s="12">
        <f t="shared" si="18"/>
        <v>3.0598624562959267E-2</v>
      </c>
      <c r="Y87" s="4">
        <f t="shared" si="19"/>
        <v>1.6338510851542402E-4</v>
      </c>
      <c r="Z87" s="8"/>
      <c r="AA87" s="11" t="s">
        <v>44</v>
      </c>
      <c r="AB87">
        <f>F72*E72*D72*C72*(B77-B76-B72)</f>
        <v>1620</v>
      </c>
      <c r="AC87" s="12">
        <v>100</v>
      </c>
      <c r="AD87" s="12">
        <f t="shared" si="28"/>
        <v>2.9227459783015338E-5</v>
      </c>
      <c r="AE87" s="12">
        <f t="shared" si="20"/>
        <v>0.28667027872301798</v>
      </c>
      <c r="AF87" s="12">
        <f t="shared" si="39"/>
        <v>2.9227459783015336E-3</v>
      </c>
      <c r="AG87" s="21">
        <f t="shared" si="29"/>
        <v>486000</v>
      </c>
      <c r="AH87" s="11" t="s">
        <v>44</v>
      </c>
      <c r="AI87" s="17">
        <f>AO87-AB87-F76*E76*D76*C72*(B77-B76-B72)-F72*E76*D76*C76*B73-F72*E76*D76*C76*B74</f>
        <v>7632</v>
      </c>
      <c r="AJ87" s="12">
        <f t="shared" si="21"/>
        <v>200</v>
      </c>
      <c r="AK87" s="12">
        <f t="shared" si="30"/>
        <v>6.2494497339856867E-5</v>
      </c>
      <c r="AL87" s="77">
        <f t="shared" si="22"/>
        <v>2.4757554503685055</v>
      </c>
      <c r="AM87" s="12">
        <f t="shared" si="31"/>
        <v>1.2498899467971374E-2</v>
      </c>
      <c r="AN87" s="17">
        <f t="shared" si="32"/>
        <v>4579200</v>
      </c>
      <c r="AO87" s="11">
        <f>($F72+$F$76)*($E72+$E$76)*($D$76+$D72)*($C$76+$C72)*($B$77-$B$76-$B72)-$F$76*$E$76*$D$76*$C$76*($B$77-$B$76-$B72)</f>
        <v>9480</v>
      </c>
      <c r="AP87" s="12">
        <f t="shared" si="36"/>
        <v>1.5421645446272909E-2</v>
      </c>
      <c r="AQ87" s="4">
        <f t="shared" si="33"/>
        <v>7.5759838756335915E-5</v>
      </c>
      <c r="AS87" s="22">
        <f t="shared" si="34"/>
        <v>2772</v>
      </c>
      <c r="AT87" s="22">
        <f t="shared" si="35"/>
        <v>15536</v>
      </c>
    </row>
    <row r="88" spans="1:46" x14ac:dyDescent="0.25">
      <c r="A88" s="8"/>
      <c r="B88" s="8"/>
      <c r="C88" s="8"/>
      <c r="D88" s="8"/>
      <c r="E88" s="8"/>
      <c r="F88" s="8"/>
      <c r="G88" s="8"/>
      <c r="H88" s="8"/>
      <c r="I88" s="11" t="s">
        <v>45</v>
      </c>
      <c r="J88" s="17">
        <f>B72*C72*D72*E72*F72</f>
        <v>108</v>
      </c>
      <c r="K88" s="12">
        <v>400</v>
      </c>
      <c r="L88" s="12">
        <f t="shared" si="23"/>
        <v>1.9484973188676894E-6</v>
      </c>
      <c r="M88" s="12">
        <f t="shared" si="14"/>
        <v>0.31025966068714145</v>
      </c>
      <c r="N88" s="12">
        <f t="shared" si="38"/>
        <v>7.7939892754707576E-4</v>
      </c>
      <c r="O88" s="21">
        <f t="shared" si="15"/>
        <v>129600</v>
      </c>
      <c r="P88" s="11" t="s">
        <v>45</v>
      </c>
      <c r="Q88" s="17">
        <f>W88-J88-(B76*C76*D76*E76*F72)-(B72*C76*D76*E76*F76)</f>
        <v>828</v>
      </c>
      <c r="R88" s="12">
        <f t="shared" si="16"/>
        <v>800</v>
      </c>
      <c r="S88" s="12">
        <f t="shared" si="25"/>
        <v>1.4938479444652284E-5</v>
      </c>
      <c r="T88" s="12">
        <f t="shared" si="26"/>
        <v>1.1950783555721827E-2</v>
      </c>
      <c r="U88" s="17">
        <f t="shared" si="27"/>
        <v>1987200</v>
      </c>
      <c r="V88" s="77">
        <f t="shared" si="17"/>
        <v>9.5376143549984072</v>
      </c>
      <c r="W88" s="11">
        <f>(B72+$B$76)*(C72+$C$76)*($D$76+D72)*($E$76+E72)*($F$76+F72)-$B$76*$C$76*$D$76*$E$76*$F$76</f>
        <v>956</v>
      </c>
      <c r="X88" s="12">
        <f t="shared" si="18"/>
        <v>1.2730182483268904E-2</v>
      </c>
      <c r="Y88" s="4">
        <f t="shared" si="19"/>
        <v>1.6886976763519975E-5</v>
      </c>
      <c r="Z88" s="8"/>
      <c r="AA88" s="11"/>
      <c r="AC88" s="12"/>
      <c r="AD88" s="12">
        <f t="shared" si="28"/>
        <v>0</v>
      </c>
      <c r="AE88" s="12">
        <f t="shared" si="20"/>
        <v>0</v>
      </c>
      <c r="AF88" s="12"/>
      <c r="AG88" s="21">
        <f t="shared" si="29"/>
        <v>0</v>
      </c>
      <c r="AH88" s="11"/>
      <c r="AI88" s="17">
        <f t="shared" si="37"/>
        <v>0</v>
      </c>
      <c r="AJ88" s="12"/>
      <c r="AK88" s="12"/>
      <c r="AL88" s="77">
        <f t="shared" si="22"/>
        <v>0</v>
      </c>
      <c r="AM88" s="12"/>
      <c r="AN88" s="17"/>
      <c r="AO88" s="11"/>
      <c r="AP88" s="12"/>
      <c r="AQ88" s="4">
        <f t="shared" si="33"/>
        <v>0</v>
      </c>
      <c r="AS88" s="22">
        <f t="shared" si="34"/>
        <v>108</v>
      </c>
      <c r="AT88" s="22">
        <f t="shared" si="35"/>
        <v>828</v>
      </c>
    </row>
    <row r="89" spans="1:46" x14ac:dyDescent="0.25">
      <c r="A89" s="8"/>
      <c r="B89" s="8"/>
      <c r="C89" s="8"/>
      <c r="D89" s="8"/>
      <c r="E89" s="8"/>
      <c r="F89" s="8"/>
      <c r="G89" s="8"/>
      <c r="H89" s="8"/>
      <c r="I89" s="11" t="s">
        <v>46</v>
      </c>
      <c r="J89" s="17">
        <f>B70*C70*D70*(E77-E76-E70)*F77</f>
        <v>13824</v>
      </c>
      <c r="K89" s="12">
        <v>15</v>
      </c>
      <c r="L89" s="12">
        <f t="shared" si="23"/>
        <v>2.4940765681506424E-4</v>
      </c>
      <c r="M89" s="12">
        <f t="shared" si="14"/>
        <v>4.9139949568277622E-2</v>
      </c>
      <c r="N89" s="12">
        <f t="shared" si="38"/>
        <v>3.7411148522259637E-3</v>
      </c>
      <c r="O89" s="21">
        <f t="shared" si="15"/>
        <v>622080</v>
      </c>
      <c r="P89" s="11" t="s">
        <v>46</v>
      </c>
      <c r="Q89" s="17">
        <f>W89-J89-B70*C76*D76*E65*(F65+F76)-B70*C76*D76*E66*(F66+F76)-B70*C76*D76*E67*(F67+F76)-B70*C76*D76*E68*(F68+F76)-B70*C76*D76*E69*(F69+F76)-B70*C76*D76*E64*(F64+F76)-B70*C76*D76*E71*(F71+F76)-B70*C76*D76*E72*(F72+F76)-B70*C76*D76*E73*(F73+F76)-B70*C76*D76*E74*(F74+F76)-B70*C70*D76*E72*(F72+F76)-B70*C70*D76*E73*(F73+F76)-B70*C70*D76*E74*(F74+F76)-B76*C70*D76*E72*(F72+F76)-B76*C70*D76*E73*(F73+F76)-B76*C70*D76*E74*(F74+F76)</f>
        <v>49264</v>
      </c>
      <c r="R89" s="12">
        <f t="shared" si="16"/>
        <v>30</v>
      </c>
      <c r="S89" s="12">
        <f t="shared" si="25"/>
        <v>8.8880344367312815E-4</v>
      </c>
      <c r="T89" s="12">
        <f t="shared" si="26"/>
        <v>2.6664103310193844E-2</v>
      </c>
      <c r="U89" s="17">
        <f t="shared" si="27"/>
        <v>4433760</v>
      </c>
      <c r="V89" s="77">
        <f t="shared" si="17"/>
        <v>0.7493725363564091</v>
      </c>
      <c r="W89" s="11">
        <f>(B70+$B$76)*(C70+$C$76)*($D$76+D70)*($E$77-$E$76-E70)*$F$77-$B$76*$C$76*$D$76*($E$77-$E$76-E70)*$F$77</f>
        <v>64512</v>
      </c>
      <c r="X89" s="12">
        <f t="shared" si="18"/>
        <v>3.0405218162419808E-2</v>
      </c>
      <c r="Y89" s="4">
        <f t="shared" si="19"/>
        <v>1.1382111004881923E-3</v>
      </c>
      <c r="Z89" s="8"/>
      <c r="AA89" s="11" t="s">
        <v>46</v>
      </c>
      <c r="AB89">
        <f>F70*E70*D70*(C77-C76-C70)*B77</f>
        <v>18414</v>
      </c>
      <c r="AC89" s="12">
        <v>15</v>
      </c>
      <c r="AD89" s="12">
        <f t="shared" si="28"/>
        <v>3.32218792866941E-4</v>
      </c>
      <c r="AE89" s="12">
        <f t="shared" si="20"/>
        <v>6.5455948448369786E-2</v>
      </c>
      <c r="AF89" s="12">
        <f t="shared" si="39"/>
        <v>4.9832818930041151E-3</v>
      </c>
      <c r="AG89" s="21">
        <f t="shared" si="29"/>
        <v>828630</v>
      </c>
      <c r="AH89" s="11" t="s">
        <v>46</v>
      </c>
      <c r="AI89" s="17">
        <f>AO89-AB89-F70*E76*D76*C65*(B65+B76)-F70*E76*D76*C66*(B66+B76)-F70*E76*D76*C67*(B67+B76)-F70*E76*D76*C68*(B68+B76)-F70*E76*D76*C69*(B69+B76)-F70*E76*D76*C64*(B64+B76)-F70*E76*D76*C71*(B71+B76)-F70*E76*D76*C72*(B72+B76)-F70*E76*D76*C73*(B73+B76)-F70*E76*D76*C74*(B74+B76)-F70*E70*D76*C72*(B72+B76)-F70*E70*D76*C73*(B73+B76)-F70*E70*D76*C74*(B74+B76)-F76*E70*D76*C72*(B72+B76)-F76*E70*D76*C73*(B73+B76)-F76*E70*D76*C74*(B74+B76)</f>
        <v>43926</v>
      </c>
      <c r="AJ89" s="12">
        <f t="shared" si="21"/>
        <v>30</v>
      </c>
      <c r="AK89" s="12">
        <f t="shared" si="30"/>
        <v>3.5968727596312277E-4</v>
      </c>
      <c r="AL89" s="77">
        <f t="shared" si="22"/>
        <v>0.30326138833316735</v>
      </c>
      <c r="AM89" s="12">
        <f t="shared" si="31"/>
        <v>1.0790618278893683E-2</v>
      </c>
      <c r="AN89" s="17">
        <f t="shared" si="32"/>
        <v>3953340</v>
      </c>
      <c r="AO89" s="11">
        <f>($F70+$F$76)*($E70+$E$76)*($D$76+$D70)*($C$77-$C$76-$C70)*$B$77-$F$76*$E$76*$D$76*($C$77-$C$76-$C70)*$B$77</f>
        <v>63426</v>
      </c>
      <c r="AP89" s="12">
        <f t="shared" si="36"/>
        <v>1.5773900171897799E-2</v>
      </c>
      <c r="AQ89" s="4">
        <f t="shared" si="33"/>
        <v>5.10469990063768E-4</v>
      </c>
      <c r="AS89" s="22">
        <f t="shared" si="34"/>
        <v>32238</v>
      </c>
      <c r="AT89" s="22">
        <f t="shared" si="35"/>
        <v>93190</v>
      </c>
    </row>
    <row r="90" spans="1:46" x14ac:dyDescent="0.25">
      <c r="A90" s="8"/>
      <c r="B90" s="8"/>
      <c r="C90" s="8"/>
      <c r="D90" s="8"/>
      <c r="E90" s="8"/>
      <c r="F90" s="8"/>
      <c r="G90" s="8"/>
      <c r="H90" s="8"/>
      <c r="I90" s="11" t="s">
        <v>47</v>
      </c>
      <c r="J90" s="17">
        <f>B70*C70*D70*E70*(F77-F76-F70)</f>
        <v>1152</v>
      </c>
      <c r="K90" s="12">
        <v>75</v>
      </c>
      <c r="L90" s="12">
        <f t="shared" si="23"/>
        <v>2.078397140125535E-5</v>
      </c>
      <c r="M90" s="12">
        <f t="shared" si="14"/>
        <v>0.11392569137399162</v>
      </c>
      <c r="N90" s="12">
        <f t="shared" si="38"/>
        <v>1.5587978550941513E-3</v>
      </c>
      <c r="O90" s="21">
        <f t="shared" si="15"/>
        <v>259200</v>
      </c>
      <c r="P90" s="11" t="s">
        <v>47</v>
      </c>
      <c r="Q90" s="17">
        <f>W90-J90-(B76*C76*D76*E70*(F77-F76-F70))-B70*C76*D76*E76*F72-B70*C76*D76*E76*F73-B70*C76*D76*E76*F74</f>
        <v>5960</v>
      </c>
      <c r="R90" s="12">
        <f t="shared" si="16"/>
        <v>150</v>
      </c>
      <c r="S90" s="12">
        <f t="shared" si="25"/>
        <v>1.0752818537455026E-4</v>
      </c>
      <c r="T90" s="12">
        <f t="shared" si="26"/>
        <v>1.6129227806182537E-2</v>
      </c>
      <c r="U90" s="17">
        <f t="shared" si="27"/>
        <v>2682000</v>
      </c>
      <c r="V90" s="77">
        <f t="shared" si="17"/>
        <v>2.3884067333712466</v>
      </c>
      <c r="W90" s="11">
        <f>(B70+$B$76)*(C70+$C$76)*($D$76+D70)*($E$76+E70)*($F$77-$F$76-F70)-$B$76*$C$76*$D$76*$E$76*($F$77-$F$76-F70)</f>
        <v>7552</v>
      </c>
      <c r="X90" s="12">
        <f t="shared" si="18"/>
        <v>1.7688025661276689E-2</v>
      </c>
      <c r="Y90" s="4">
        <f t="shared" si="19"/>
        <v>1.2831215677580561E-4</v>
      </c>
      <c r="Z90" s="8"/>
      <c r="AA90" s="11" t="s">
        <v>47</v>
      </c>
      <c r="AB90">
        <f>F70*E70*D70*C70*(B77-B76-B70)</f>
        <v>1620</v>
      </c>
      <c r="AC90" s="12">
        <v>75</v>
      </c>
      <c r="AD90" s="12">
        <f t="shared" si="28"/>
        <v>2.9227459783015338E-5</v>
      </c>
      <c r="AE90" s="12">
        <f t="shared" si="20"/>
        <v>0.16020800349467573</v>
      </c>
      <c r="AF90" s="12">
        <f t="shared" si="39"/>
        <v>2.1920594837261504E-3</v>
      </c>
      <c r="AG90" s="21">
        <f t="shared" si="29"/>
        <v>364500</v>
      </c>
      <c r="AH90" s="11" t="s">
        <v>47</v>
      </c>
      <c r="AI90" s="17">
        <f>AO90-AB90-F76*E76*D76*C70*(B77-B76-B70)-F70*E76*D76*C76*B71-F70*E76*D76*C76*B72-F70*E76*D76*C76*B73-F70*E76*D76*C76*B74</f>
        <v>7584</v>
      </c>
      <c r="AJ90" s="12">
        <f t="shared" si="21"/>
        <v>150</v>
      </c>
      <c r="AK90" s="12">
        <f t="shared" si="30"/>
        <v>6.2101450186776008E-5</v>
      </c>
      <c r="AL90" s="77">
        <f t="shared" si="22"/>
        <v>1.379392028811453</v>
      </c>
      <c r="AM90" s="12">
        <f t="shared" si="31"/>
        <v>9.3152175280164003E-3</v>
      </c>
      <c r="AN90" s="17">
        <f t="shared" si="32"/>
        <v>3412800</v>
      </c>
      <c r="AO90" s="11">
        <f>($F70+$F$76)*($E70+$E$76)*($D$76+$D70)*($C$76+$C70)*($B$77-$B$76-$B70)-$F$76*$E$76*$D$76*$C$76*($B$77-$B$76-$B70)</f>
        <v>9480</v>
      </c>
      <c r="AP90" s="12">
        <f t="shared" si="36"/>
        <v>1.1507277011742551E-2</v>
      </c>
      <c r="AQ90" s="4">
        <f t="shared" si="33"/>
        <v>7.5366791603255056E-5</v>
      </c>
      <c r="AS90" s="22">
        <f t="shared" si="34"/>
        <v>2772</v>
      </c>
      <c r="AT90" s="22">
        <f t="shared" si="35"/>
        <v>13544</v>
      </c>
    </row>
    <row r="91" spans="1:46" x14ac:dyDescent="0.25">
      <c r="A91" s="8"/>
      <c r="B91" s="8"/>
      <c r="C91" s="8"/>
      <c r="D91" s="8"/>
      <c r="E91" s="8"/>
      <c r="F91" s="8"/>
      <c r="G91" s="8"/>
      <c r="H91" s="8"/>
      <c r="I91" s="11" t="s">
        <v>48</v>
      </c>
      <c r="J91" s="17">
        <f>B70*C70*D70*E70*F70</f>
        <v>108</v>
      </c>
      <c r="K91" s="12">
        <v>250</v>
      </c>
      <c r="L91" s="12">
        <f t="shared" si="23"/>
        <v>1.9484973188676894E-6</v>
      </c>
      <c r="M91" s="12">
        <f t="shared" si="14"/>
        <v>0.12084431662648162</v>
      </c>
      <c r="N91" s="12">
        <f t="shared" si="38"/>
        <v>4.8712432971692235E-4</v>
      </c>
      <c r="O91" s="21">
        <f t="shared" si="15"/>
        <v>81000</v>
      </c>
      <c r="P91" s="11" t="s">
        <v>48</v>
      </c>
      <c r="Q91" s="17">
        <f>W91-J91-(B76*C76*D76*E76*F70)-(B70*C76*D76*E76*F76)</f>
        <v>828</v>
      </c>
      <c r="R91" s="12">
        <f t="shared" si="16"/>
        <v>500</v>
      </c>
      <c r="S91" s="12">
        <f t="shared" si="25"/>
        <v>1.4938479444652284E-5</v>
      </c>
      <c r="T91" s="12">
        <f t="shared" si="26"/>
        <v>7.4692397223261415E-3</v>
      </c>
      <c r="U91" s="17">
        <f t="shared" si="27"/>
        <v>1242000</v>
      </c>
      <c r="V91" s="77">
        <f t="shared" si="17"/>
        <v>3.7202422543610969</v>
      </c>
      <c r="W91" s="11">
        <f>(B70+$B$76)*(C70+$C$76)*($D$76+D70)*($E$76+E70)*($F$76+F70)-$B$76*$C$76*$D$76*$E$76*$F$76</f>
        <v>956</v>
      </c>
      <c r="X91" s="12">
        <f t="shared" si="18"/>
        <v>7.9563640520430631E-3</v>
      </c>
      <c r="Y91" s="4">
        <f t="shared" si="19"/>
        <v>1.6886976763519975E-5</v>
      </c>
      <c r="Z91" s="8"/>
      <c r="AA91" s="11"/>
      <c r="AC91" s="12"/>
      <c r="AD91" s="12">
        <f t="shared" si="28"/>
        <v>0</v>
      </c>
      <c r="AE91" s="12">
        <f t="shared" si="20"/>
        <v>0</v>
      </c>
      <c r="AF91" s="12"/>
      <c r="AG91" s="21">
        <f t="shared" si="29"/>
        <v>0</v>
      </c>
      <c r="AH91" s="11"/>
      <c r="AI91" s="17">
        <f t="shared" si="37"/>
        <v>0</v>
      </c>
      <c r="AJ91" s="12"/>
      <c r="AK91" s="12"/>
      <c r="AL91" s="77">
        <f t="shared" si="22"/>
        <v>0</v>
      </c>
      <c r="AM91" s="12"/>
      <c r="AN91" s="17"/>
      <c r="AO91" s="11"/>
      <c r="AP91" s="12"/>
      <c r="AQ91" s="4">
        <f t="shared" si="33"/>
        <v>0</v>
      </c>
      <c r="AS91" s="22">
        <f t="shared" si="34"/>
        <v>108</v>
      </c>
      <c r="AT91" s="22">
        <f t="shared" si="35"/>
        <v>828</v>
      </c>
    </row>
    <row r="92" spans="1:46" x14ac:dyDescent="0.25">
      <c r="A92" s="8"/>
      <c r="B92" s="8"/>
      <c r="C92" s="8"/>
      <c r="D92" s="8"/>
      <c r="E92" s="8"/>
      <c r="F92" s="8"/>
      <c r="G92" s="8"/>
      <c r="H92" s="8"/>
      <c r="I92" s="11" t="s">
        <v>50</v>
      </c>
      <c r="J92" s="17">
        <f>B73*C73*(D77-D76-D73)*E77*F77-B73*C73*D65*E65*F65-B73*C73*D66*E66*F66-B73*C73*D67*E67*F67-B73*C73*D68*E68*F68-B73*C73*D69*E69*F69-B73*C73*D70*E70*F70-B73*C73*D71*E71*F71-B73*C73*D72*E72*F72-B73*C73*D64*E64*F64-B73*C73*D74*E74*F74-B73*C73*D65*E76*F65-B73*C73*D66*E76*F66-B73*C73*D67*E76*F67-B73*C73*D68*E76*F68-B73*C73*D69*E76*F69-B73*C73*D70*E76*F70-B73*C73*D71*E76*F71-B73*C73*D72*E76*F72-B73*C73*D64*E76*F64-B73*C73*D74*E76*F74-B73*C73*D65*E65*F76-B73*C73*D66*E66*F76-B73*C73*D67*E67*F76-B73*C73*D68*E68*F76-B73*C73*D69*E69*F76-B73*C73*D70*E70*F76-B73*C73*D71*E71*F76-B73*C73*D72*E72*F76-B73*C73*D64*E64*F76-B73*C73*D74*E74*F76-B73*C73*(D77-D76-D73)*E76*F76-C73*(D77-D76-D73)*E76*F73-C73*(D77-D76-D73)*E76*F74-C73*(D77-D76-D73)*E76*F64-C73*(D77-D76-D73)*E73*F76-C73*(D77-D76-D73)*E74*F76-C73*(D77-D76-D73)*E64*F76</f>
        <v>81484</v>
      </c>
      <c r="K92" s="12">
        <v>2</v>
      </c>
      <c r="L92" s="12">
        <f t="shared" si="23"/>
        <v>1.4701051438019887E-3</v>
      </c>
      <c r="M92" s="12">
        <f t="shared" si="14"/>
        <v>1.5797391408687246E-3</v>
      </c>
      <c r="N92" s="12">
        <f t="shared" si="38"/>
        <v>2.9402102876039775E-3</v>
      </c>
      <c r="O92" s="21">
        <f t="shared" si="15"/>
        <v>488904</v>
      </c>
      <c r="P92" s="11" t="s">
        <v>50</v>
      </c>
      <c r="Q92" s="17">
        <f>W92-J92-B73*C76*D65*(E65+E76)*(F65+F76)-B73*C76*D66*(E66+E76)*(F66+F76)-B73*C76*D67*(E67+E76)*(F67+F76)-B73*C76*D68*(E68+E76)*(F68+F76)-B73*C76*D69*(E69+E76)*(F69+F76)-B73*C76*D70*(E70+E76)*(F70+F76)-B73*C76*D71*(E71+E76)*(F71+F76)-B73*C76*D72*(E72+E76)*(F72+F76)-B73*C76*D73*(E73+E76)*(F73+F76)-B73*C76*D64*(E64+E76)*(F64+F76)-B76*C73*D65*(E65+E76)*(F65+F76)-B76*C73*D66*(E66+E76)*(F66+F76)-B76*C73*D67*(E67+E76)*(F67+F76)-B76*C73*D68*(E68+E76)*(F68+F76)-B76*C73*D69*(E69+E76)*(F69+F76)-B76*C73*D70*(E70+E76)*(F70+F76)-B76*C73*D71*(E71+E76)*(F71+F76)-B76*C73*D72*(E72+E76)*(F72+F76)-B76*C73*D73*(E73+E76)*(F73+F76)-B76*C73*D64*(E64+E76)*(F64+F76)</f>
        <v>206220</v>
      </c>
      <c r="R92" s="12">
        <f t="shared" si="16"/>
        <v>4</v>
      </c>
      <c r="S92" s="12">
        <f t="shared" si="25"/>
        <v>3.7205473805268043E-3</v>
      </c>
      <c r="T92" s="12">
        <f t="shared" si="26"/>
        <v>1.4882189522107217E-2</v>
      </c>
      <c r="U92" s="17">
        <f t="shared" si="27"/>
        <v>2474640</v>
      </c>
      <c r="V92" s="77">
        <f t="shared" si="17"/>
        <v>3.4307335497862267E-2</v>
      </c>
      <c r="W92" s="11">
        <f>(B73+B76)*(C73+C76)*(D77-D76-D73)*E77*F77-B76*C76*(D77-D76-D73)*E77*F77</f>
        <v>290304</v>
      </c>
      <c r="X92" s="12">
        <f t="shared" si="18"/>
        <v>1.7822399809711197E-2</v>
      </c>
      <c r="Y92" s="4">
        <f t="shared" si="19"/>
        <v>5.1906525243287935E-3</v>
      </c>
      <c r="Z92" s="8"/>
      <c r="AA92" s="11" t="s">
        <v>50</v>
      </c>
      <c r="AB92">
        <f>F73*E73*(D77-D76-D73)*C77*B77-F73*E73*D64*C64*B64-F73*E73*D65*C65*B65-F73*E73*D66*C66*B66-F73*E73*D67*C67*B67-F73*E73*D68*C68*B68-F73*E73*D69*C69*B69-F73*E73*D70*C70*B70-F73*E73*D71*C71*B71-F73*E73*D72*C72*B72-F73*E73*D74*C74*B74-F73*E73*D64*C76*B64-F73*E73*D65*C76*B65-F73*E73*D66*C76*B66-F73*E73*D67*C76*B67-F73*E73*D68*C76*B68-F73*E73*D69*C76*B69-F73*E73*D70*C76*B70-F73*E73*D71*C76*B71-F73*E73*D72*C76*B72-F73*E73*D74*C76*B74-F73*E73*D64*C64*B76-F73*E73*D65*C65*B76-F73*E73*D66*C66*B76-F73*E73*D67*C67*B76-F73*E73*D68*C68*B76-F73*E73*D69*C69*B76-F73*E73*D70*C70*B76-F73*E73*D71*C71*B76-F73*E73*D72*C72*B76-F73*E73*D74*C74*B76-F73*E73*(D77-D76-D73)*C76*B76-F73*E73*(D77-D76-D73)*C76*B74-F73*E73*(D77-D76-D73)*C76*B73-F73*E73*(D77-D76-D73)*C76*B64-F73*E73*(D77-D76-D73)*C74*B76-F73*E73*(D77-D76-D73)*C73*B76-F73*E73*(D77-D76-D73)*C64*B76</f>
        <v>147408</v>
      </c>
      <c r="AC92" s="12">
        <v>2</v>
      </c>
      <c r="AD92" s="12">
        <f t="shared" si="28"/>
        <v>2.6594823405522994E-3</v>
      </c>
      <c r="AE92" s="12">
        <f t="shared" si="20"/>
        <v>2.8578148750328528E-3</v>
      </c>
      <c r="AF92" s="12">
        <f t="shared" si="39"/>
        <v>5.3189646811045987E-3</v>
      </c>
      <c r="AG92" s="21">
        <f t="shared" si="29"/>
        <v>884448</v>
      </c>
      <c r="AH92" s="11" t="s">
        <v>50</v>
      </c>
      <c r="AI92" s="17">
        <f>AO92-AB92-F73*E76*D65*(C65+C76)*(B65+B76)-F73*E76*D66*(C66+C76)*(B66+B76)-F73*E76*D67*(C67+C76)*(B67+B76)-F73*E76*D68*(C68+C76)*(B68+B76)-F73*E76*D69*(C69+C76)*(B69+B76)-F73*E76*D70*(C70+C76)*(B70+B76)-F73*E76*D71*(C71+C76)*(B71+B76)-F73*E76*D72*(C72+C76)*(B72+B76)-F73*E76*D73*(C73+C76)*(B73+B76)-F73*E76*D64*(C64+C76)*(B64+B76)-F76*E73*D65*(C65+C76)*(B65+B76)-F76*E73*D66*(C66+C76)*(B66+B76)-F76*E73*D67*(C67+C76)*(B67+B76)-F76*E73*D68*(C68+C76)*(B68+B76)-F76*E73*D69*(C69+C76)*(B69+B76)-F76*E73*D70*(C70+C76)*(B70+B76)-F76*E73*D71*(C71+C76)*(B71+B76)-F76*E73*D72*(C72+C76)*(B72+B76)-F76*E73*D73*(C73+C76)*(B73+B76)-F76*E73*D64*(C64+C76)*(B64+B76)-(F76+F73)*(E76+E73)*(D77-D76-D73)*(C74+C76)*(B74+B76)+F76*E76*(D77-D76-D73)*(C74+C76)*(B74+B76)</f>
        <v>151824</v>
      </c>
      <c r="AJ92" s="12">
        <f t="shared" si="21"/>
        <v>4</v>
      </c>
      <c r="AK92" s="12">
        <f t="shared" si="30"/>
        <v>1.2432081451947627E-3</v>
      </c>
      <c r="AL92" s="77">
        <f t="shared" si="22"/>
        <v>1.1463678477555814E-2</v>
      </c>
      <c r="AM92" s="12">
        <f t="shared" si="31"/>
        <v>4.9728325807790507E-3</v>
      </c>
      <c r="AN92" s="17">
        <f t="shared" si="32"/>
        <v>1821888</v>
      </c>
      <c r="AO92" s="11">
        <f>($F73+$F$76)*($E73+$E$76)*($D$77-$D$76-$D73)*C77*$B$77-F76*E76*(D77-D76-D73)*C77*B77</f>
        <v>304128</v>
      </c>
      <c r="AP92" s="12">
        <f t="shared" si="36"/>
        <v>1.0291797261883649E-2</v>
      </c>
      <c r="AQ92" s="4">
        <f t="shared" si="33"/>
        <v>2.4502559523060861E-3</v>
      </c>
      <c r="AS92" s="22">
        <f t="shared" si="34"/>
        <v>228892</v>
      </c>
      <c r="AT92" s="22">
        <f t="shared" si="35"/>
        <v>358044</v>
      </c>
    </row>
    <row r="93" spans="1:46" x14ac:dyDescent="0.25">
      <c r="A93" s="8"/>
      <c r="B93" s="8"/>
      <c r="C93" s="8"/>
      <c r="D93" s="8"/>
      <c r="E93" s="8"/>
      <c r="F93" s="8"/>
      <c r="G93" s="8"/>
      <c r="H93" s="8"/>
      <c r="I93" s="11" t="s">
        <v>49</v>
      </c>
      <c r="J93" s="17">
        <f>B73*C73*D73*(E77-E76-E73)*F77</f>
        <v>4752</v>
      </c>
      <c r="K93" s="12">
        <v>25</v>
      </c>
      <c r="L93" s="12">
        <f t="shared" si="23"/>
        <v>8.573388203017832E-5</v>
      </c>
      <c r="M93" s="12">
        <f t="shared" si="14"/>
        <v>4.9533519857942937E-2</v>
      </c>
      <c r="N93" s="12">
        <f t="shared" si="38"/>
        <v>2.1433470507544578E-3</v>
      </c>
      <c r="O93" s="21">
        <f t="shared" si="15"/>
        <v>356400</v>
      </c>
      <c r="P93" s="11" t="s">
        <v>49</v>
      </c>
      <c r="Q93" s="17">
        <f>W93-J93-B73*C76*D76*E65*(F65+F76)-B73*C76*D76*E66*(F66+F76)-B73*C76*D76*E67*(F67+F76)-B73*C76*D76*E68*(F68+F76)-B73*C76*D76*E69*(F69+F76)-B73*C76*D76*E70*(F70+F76)-B73*C76*D76*E71*(F71+F76)-B73*C76*D76*E72*(F72+F76)-B73*C76*D76*E64*(F64+F76)-B73*C76*D76*E74*(F74+F76)-B73*C73*D76*E74*(F74+F76)-B76*C73*D76*E74*(F74+F76)</f>
        <v>32188</v>
      </c>
      <c r="R93" s="12">
        <f t="shared" si="16"/>
        <v>50</v>
      </c>
      <c r="S93" s="12">
        <f t="shared" si="25"/>
        <v>5.8072436758993692E-4</v>
      </c>
      <c r="T93" s="12">
        <f t="shared" si="26"/>
        <v>2.9036218379496846E-2</v>
      </c>
      <c r="U93" s="17">
        <f t="shared" si="27"/>
        <v>4828200</v>
      </c>
      <c r="V93" s="77">
        <f t="shared" si="17"/>
        <v>1.3964039171644222</v>
      </c>
      <c r="W93" s="11">
        <f>(B73+$B$76)*(C73+$C$76)*($D$76+D73)*($E$77-$E$76-E73)*$F$77-$B$76*$C$76*$D$76*($E$77-$E$76-E73)*$F$77</f>
        <v>38016</v>
      </c>
      <c r="X93" s="12">
        <f t="shared" si="18"/>
        <v>3.1179565430251303E-2</v>
      </c>
      <c r="Y93" s="4">
        <f t="shared" si="19"/>
        <v>6.6645824962011514E-4</v>
      </c>
      <c r="Z93" s="8"/>
      <c r="AA93" s="11" t="s">
        <v>49</v>
      </c>
      <c r="AB93">
        <f>F73*E73*D73*(C77-C76-C73)*B77</f>
        <v>8712</v>
      </c>
      <c r="AC93" s="12">
        <v>25</v>
      </c>
      <c r="AD93" s="12">
        <f t="shared" si="28"/>
        <v>1.5717878372199361E-4</v>
      </c>
      <c r="AE93" s="12">
        <f t="shared" si="20"/>
        <v>9.0811453072895398E-2</v>
      </c>
      <c r="AF93" s="12">
        <f t="shared" si="39"/>
        <v>3.9294695930498407E-3</v>
      </c>
      <c r="AG93" s="21">
        <f t="shared" si="29"/>
        <v>653400</v>
      </c>
      <c r="AH93" s="11" t="s">
        <v>49</v>
      </c>
      <c r="AI93" s="17">
        <f>AO93-AB93-F73*E76*D76*C65*(B65+B76)-F73*E76*D76*C66*(B66+B76)-F73*E76*D76*C67*(B67+B76)-F73*E76*D76*C68*(B68+B76)-F73*E76*D76*C69*(B69+B76)-F73*E76*D76*C70*(B70+B76)-F73*E76*D76*C71*(B71+B76)-F73*E76*D76*C72*(B72+B76)-F73*E76*D76*C64*(B64+B76)-F73*E76*D76*C74*(B74+B76)-F73*E73*D76*C74*(B74+B76)-F76*E73*D76*C74*(B74+B76)</f>
        <v>27770</v>
      </c>
      <c r="AJ93" s="12">
        <f t="shared" si="21"/>
        <v>50</v>
      </c>
      <c r="AK93" s="12">
        <f t="shared" si="30"/>
        <v>2.2739415502198967E-4</v>
      </c>
      <c r="AL93" s="77">
        <f t="shared" si="22"/>
        <v>0.54678967602271955</v>
      </c>
      <c r="AM93" s="12">
        <f t="shared" si="31"/>
        <v>1.1369707751099483E-2</v>
      </c>
      <c r="AN93" s="17">
        <f t="shared" si="32"/>
        <v>4165500</v>
      </c>
      <c r="AO93" s="11">
        <f>($F73+$F$76)*($E73+$E$76)*($D$76+$D73)*($C$77-$C$76-$C73)*$B$77-$F$76*$E$76*$D$76*($C$77-$C$76-$C73)*$B$77</f>
        <v>37026</v>
      </c>
      <c r="AP93" s="12">
        <f t="shared" si="36"/>
        <v>1.5299177344149324E-2</v>
      </c>
      <c r="AQ93" s="4">
        <f t="shared" si="33"/>
        <v>2.9873221330616593E-4</v>
      </c>
      <c r="AS93" s="22">
        <f t="shared" si="34"/>
        <v>13464</v>
      </c>
      <c r="AT93" s="22">
        <f t="shared" si="35"/>
        <v>59958</v>
      </c>
    </row>
    <row r="94" spans="1:46" x14ac:dyDescent="0.25">
      <c r="A94" s="8"/>
      <c r="B94" s="8"/>
      <c r="C94" s="8"/>
      <c r="D94" s="8"/>
      <c r="E94" s="8"/>
      <c r="F94" s="8"/>
      <c r="G94" s="8"/>
      <c r="H94" s="8"/>
      <c r="I94" s="11" t="s">
        <v>51</v>
      </c>
      <c r="J94" s="17">
        <f>B73*C73*D73*E73*(F77-F76-F73)</f>
        <v>264</v>
      </c>
      <c r="K94" s="12">
        <v>125</v>
      </c>
      <c r="L94" s="12">
        <f t="shared" si="23"/>
        <v>4.7629934461210183E-6</v>
      </c>
      <c r="M94" s="12">
        <f t="shared" si="14"/>
        <v>7.3279046896021091E-2</v>
      </c>
      <c r="N94" s="12">
        <f t="shared" si="38"/>
        <v>5.9537418076512734E-4</v>
      </c>
      <c r="O94" s="21">
        <f t="shared" si="15"/>
        <v>99000</v>
      </c>
      <c r="P94" s="11" t="s">
        <v>51</v>
      </c>
      <c r="Q94" s="17">
        <f>W94-J94-(B76*C76*D76*E73*(F77-F76-F73))-B73*C76*D76*E76*F74</f>
        <v>2888</v>
      </c>
      <c r="R94" s="12">
        <f t="shared" si="16"/>
        <v>250</v>
      </c>
      <c r="S94" s="12">
        <f t="shared" si="25"/>
        <v>5.2104261637869317E-5</v>
      </c>
      <c r="T94" s="12">
        <f t="shared" si="26"/>
        <v>1.302606540946733E-2</v>
      </c>
      <c r="U94" s="17">
        <f t="shared" si="27"/>
        <v>2166000</v>
      </c>
      <c r="V94" s="77">
        <f t="shared" si="17"/>
        <v>3.2314665409007302</v>
      </c>
      <c r="W94" s="11">
        <f>(B73+$B$76)*(C73+$C$76)*($D$76+D73)*($E$76+E73)*($F$77-$F$76-F73)-$B$76*$C$76*$D$76*$E$76*($F$77-$F$76-F73)</f>
        <v>3432</v>
      </c>
      <c r="X94" s="12">
        <f t="shared" si="18"/>
        <v>1.3621439590232457E-2</v>
      </c>
      <c r="Y94" s="4">
        <f t="shared" si="19"/>
        <v>5.6867255083990337E-5</v>
      </c>
      <c r="Z94" s="8"/>
      <c r="AA94" s="11" t="s">
        <v>51</v>
      </c>
      <c r="AB94">
        <f>F73*E73*D73*C73*(B77-B76-B73)</f>
        <v>240</v>
      </c>
      <c r="AC94" s="12">
        <v>125</v>
      </c>
      <c r="AD94" s="12">
        <f t="shared" si="28"/>
        <v>4.3299940419281981E-6</v>
      </c>
      <c r="AE94" s="12">
        <f t="shared" si="20"/>
        <v>6.6617315360019178E-2</v>
      </c>
      <c r="AF94" s="12">
        <f t="shared" si="39"/>
        <v>5.4124925524102476E-4</v>
      </c>
      <c r="AG94" s="21">
        <f t="shared" si="29"/>
        <v>90000</v>
      </c>
      <c r="AH94" s="11" t="s">
        <v>51</v>
      </c>
      <c r="AI94" s="17">
        <f>AO94-AB94-F76*E76*D76*C73*(B77-B76-B73)-F73*E76*D76*C76*B74</f>
        <v>2804</v>
      </c>
      <c r="AJ94" s="12">
        <f t="shared" si="21"/>
        <v>250</v>
      </c>
      <c r="AK94" s="12">
        <f t="shared" si="30"/>
        <v>2.2960504525806953E-5</v>
      </c>
      <c r="AL94" s="77">
        <f t="shared" si="22"/>
        <v>1.4239929672742799</v>
      </c>
      <c r="AM94" s="12">
        <f t="shared" si="31"/>
        <v>5.7401261314517383E-3</v>
      </c>
      <c r="AN94" s="17">
        <f t="shared" si="32"/>
        <v>2103000</v>
      </c>
      <c r="AO94" s="11">
        <f>($F73+$F$76)*($E73+$E$76)*($D$76+$D73)*($C$76+$C73)*($B$77-$B$76-$B73)-$F$76*$E$76*$D$76*$C$76*($B$77-$B$76-$B73)</f>
        <v>3120</v>
      </c>
      <c r="AP94" s="12">
        <f t="shared" si="36"/>
        <v>6.2813753866927634E-3</v>
      </c>
      <c r="AQ94" s="4">
        <f t="shared" si="33"/>
        <v>2.4925740291211256E-5</v>
      </c>
      <c r="AS94" s="22">
        <f t="shared" si="34"/>
        <v>504</v>
      </c>
      <c r="AT94" s="22">
        <f t="shared" si="35"/>
        <v>5692</v>
      </c>
    </row>
    <row r="95" spans="1:46" x14ac:dyDescent="0.25">
      <c r="A95" s="8"/>
      <c r="B95" s="8"/>
      <c r="C95" s="8"/>
      <c r="D95" s="8"/>
      <c r="E95" s="8"/>
      <c r="F95" s="8"/>
      <c r="G95" s="8"/>
      <c r="H95" s="8"/>
      <c r="I95" s="11" t="s">
        <v>52</v>
      </c>
      <c r="J95" s="17">
        <f>B73*C73*D73*E73*F73</f>
        <v>16</v>
      </c>
      <c r="K95" s="12">
        <v>750</v>
      </c>
      <c r="L95" s="12">
        <f t="shared" si="23"/>
        <v>2.8866626946187989E-7</v>
      </c>
      <c r="M95" s="12">
        <f t="shared" si="14"/>
        <v>0.16195790038970759</v>
      </c>
      <c r="N95" s="12">
        <f t="shared" si="38"/>
        <v>2.1649970209640992E-4</v>
      </c>
      <c r="O95" s="21">
        <f t="shared" si="15"/>
        <v>36000</v>
      </c>
      <c r="P95" s="11" t="s">
        <v>52</v>
      </c>
      <c r="Q95" s="17">
        <f>W95-J95-(B76*C76*D76*E76*F73)-(B73*C76*D76*E76*F76)</f>
        <v>288</v>
      </c>
      <c r="R95" s="12">
        <f t="shared" si="16"/>
        <v>1500</v>
      </c>
      <c r="S95" s="12">
        <f t="shared" si="25"/>
        <v>5.1959928503138376E-6</v>
      </c>
      <c r="T95" s="12">
        <f t="shared" si="26"/>
        <v>7.7939892754707567E-3</v>
      </c>
      <c r="U95" s="17">
        <f t="shared" si="27"/>
        <v>1296000</v>
      </c>
      <c r="V95" s="77">
        <f t="shared" si="17"/>
        <v>11.675971548200138</v>
      </c>
      <c r="W95" s="11">
        <f>(B73+$B$76)*(C73+$C$76)*($D$76+D73)*($E$76+E73)*($F$76+F73)-$B$76*$C$76*$D$76*$E$76*$F$76</f>
        <v>320</v>
      </c>
      <c r="X95" s="12">
        <f t="shared" si="18"/>
        <v>8.0104889775671675E-3</v>
      </c>
      <c r="Y95" s="4">
        <f t="shared" si="19"/>
        <v>5.4846591197757177E-6</v>
      </c>
      <c r="Z95" s="8"/>
      <c r="AA95" s="11"/>
      <c r="AC95" s="12"/>
      <c r="AD95" s="12">
        <f t="shared" si="28"/>
        <v>0</v>
      </c>
      <c r="AE95" s="12">
        <f t="shared" si="20"/>
        <v>0</v>
      </c>
      <c r="AF95" s="12"/>
      <c r="AG95" s="21">
        <f t="shared" si="29"/>
        <v>0</v>
      </c>
      <c r="AH95" s="11"/>
      <c r="AI95" s="17">
        <f t="shared" si="37"/>
        <v>0</v>
      </c>
      <c r="AJ95" s="12"/>
      <c r="AK95" s="12"/>
      <c r="AL95" s="77">
        <f t="shared" si="22"/>
        <v>0</v>
      </c>
      <c r="AM95" s="12"/>
      <c r="AN95" s="17"/>
      <c r="AO95" s="11"/>
      <c r="AP95" s="12"/>
      <c r="AQ95" s="4">
        <f t="shared" si="33"/>
        <v>0</v>
      </c>
      <c r="AS95" s="22">
        <f t="shared" si="34"/>
        <v>16</v>
      </c>
      <c r="AT95" s="22">
        <f t="shared" si="35"/>
        <v>288</v>
      </c>
    </row>
    <row r="96" spans="1:46" x14ac:dyDescent="0.25">
      <c r="A96" s="8"/>
      <c r="B96" s="8"/>
      <c r="C96" s="8"/>
      <c r="D96" s="8"/>
      <c r="E96" s="8"/>
      <c r="F96" s="8"/>
      <c r="G96" s="8"/>
      <c r="H96" s="8"/>
      <c r="I96" s="11" t="s">
        <v>53</v>
      </c>
      <c r="J96" s="17">
        <f>B74*C74*(D77-D76-D74)*E77*F77-B74*C74*D64*E64*F64-B74*C74*D65*E65*F65-B74*C74*D66*E66*F66-B74*C74*D67*E67*F67-B74*C74*D68*E68*F68-B74*C74*D69*E69*F69-B74*C74*D70*E70*F70-B74*C74*D71*E71*F71-B74*C74*D72*E72*F72-B74*C74*(D77-D76-D74)*E64*F64-B74*C74*D73*E73*F73-B74*C74*D64*E76*F64-B74*C74*D65*E76*F65-B74*C74*D66*E76*F66-B74*C74*D67*E76*F67-B74*C74*D68*E76*F68-B74*C74*D69*E76*F69-B74*C74*D70*E76*F70-B74*C74*D71*E76*F71-B74*C74*D72*E76*F72-B74*C74*D73*E76*F73-B74*C74*D64*E64*F76-B74*C74*D65*E65*F76-B74*C74*D66*E66*F76-B74*C74*D67*E67*F76-B74*C74*D68*E68*F76-B74*C74*D69*E69*F76-B74*C74*D70*E70*F76-B74*C74*D71*E71*F76-B74*C74*D72*E72*F76-B74*C74*D73*E73*F76-B74*C74*(D77-D76-D74)*E76*F74-B74*C74*(D77-D76-D74)*E76*F73-B74*C74*(D77-D76-D74)*E76*F64-B74*C74*(D77-D76-D74)*E64*F76-B74*C74*(D77-D76-D74)*E73*F76-B74*C74*(D77-D76-D74)*E74*F76</f>
        <v>80748</v>
      </c>
      <c r="K96" s="12">
        <v>2</v>
      </c>
      <c r="L96" s="12">
        <f t="shared" si="23"/>
        <v>1.4568264954067424E-3</v>
      </c>
      <c r="M96" s="12">
        <f t="shared" si="14"/>
        <v>1.5654702290862966E-3</v>
      </c>
      <c r="N96" s="12">
        <f t="shared" si="38"/>
        <v>2.9136529908134847E-3</v>
      </c>
      <c r="O96" s="21">
        <f t="shared" si="15"/>
        <v>484488</v>
      </c>
      <c r="P96" s="11" t="s">
        <v>53</v>
      </c>
      <c r="Q96" s="17">
        <f>W96-J96-B74*C76*D65*(E65+E76)*(F65+F76)-B74*C76*D66*(E66+E76)*(F66+F76)-B74*C76*D67*(E67+E76)*(F67+F76)-B74*C76*D68*(E68+E76)*(F68+F76)-B74*C76*D69*(E69+E76)*(F69+F76)-B74*C76*D70*(E70+E76)*(F70+F76)-B74*C76*D71*(E71+E76)*(F71+F76)-B74*C76*D72*(E72+E76)*(F72+F76)-B74*C76*D73*(E73+E76)*(F73+F76)-B74*C76*D64*(E64+E76)*(F64+F76)-B76*C74*D65*(E65+E76)*(F65+F76)-B76*C74*D66*(E66+E76)*(F66+F76)-B76*C74*D67*(E67+E76)*(F67+F76)-B76*C74*D68*(E68+E76)*(F68+F76)-B76*C74*D69*(E69+E76)*(F69+F76)-B76*C74*D70*(E70+E76)*(F70+F76)-B76*C74*D71*(E71+E76)*(F71+F76)-B76*C74*D72*(E72+E76)*(F72+F76)-B76*C74*D73*(E73+E76)*(F73+F76)-B76*C74*D64*(E64+E76)*(F64+F76)</f>
        <v>206956</v>
      </c>
      <c r="R96" s="12">
        <f t="shared" si="16"/>
        <v>4</v>
      </c>
      <c r="S96" s="12">
        <f t="shared" si="25"/>
        <v>3.7338260289220509E-3</v>
      </c>
      <c r="T96" s="12">
        <f t="shared" si="26"/>
        <v>1.4935304115688204E-2</v>
      </c>
      <c r="U96" s="17">
        <f t="shared" si="27"/>
        <v>2483472</v>
      </c>
      <c r="V96" s="77">
        <f t="shared" si="17"/>
        <v>3.4429778514671633E-2</v>
      </c>
      <c r="W96" s="11">
        <f>(B74+B76)*(C74+C76)*(D77-D76-D74)*E77*F77-B76*C76*(D77-D76-D74)*E77*F77</f>
        <v>290304</v>
      </c>
      <c r="X96" s="12">
        <f t="shared" si="18"/>
        <v>1.7848957106501688E-2</v>
      </c>
      <c r="Y96" s="4">
        <f t="shared" si="19"/>
        <v>5.1906525243287935E-3</v>
      </c>
      <c r="Z96" s="8"/>
      <c r="AA96" s="11" t="s">
        <v>53</v>
      </c>
      <c r="AB96">
        <f>F74*E74*(D77-D76-D74)*C77*B77-F74*E74*D64*C64*B64-F74*E74*D65*C65*B65-F74*E74*D66*C66*B66-F74*E74*D67*C67*B67-F74*E74*D68*C68*B68-F74*E74*D69*C69*B69-F74*E74*D70*C70*B70-F74*E74*D71*C71*B71-F74*E74*D72*C72*B72-F74*E74*D73*C73*B73-F74*E74*D64*C76*B64-F74*E74*D65*C76*B65-F74*E74*D66*C76*B66-F74*E74*D67*C76*B67-F74*E74*D68*C76*B68-F74*E74*D69*C76*B69-F74*E74*D70*C76*B70-F74*E74*D71*C76*B71-F74*E74*D72*C76*B72-F74*E74*D73*C76*B73-F74*E74*D64*C64*B76-F74*E74*D65*C65*B76-F74*E74*D66*C66*B76-F74*E74*D67*C67*B76-F74*E74*D68*C68*B76-F74*E74*D69*C69*B76-F74*E74*D70*C70*B76-F74*E74*D71*C71*B76-F74*E74*D72*C72*B76-F74*E74*D73*C73*B76-F74*E74*(D77-D76-D74)*C76*B76-F74*E74*(D77-D76-D74)*C76*B73-F74*E74*(D77-D76-D74)*C76*B74-F74*E74*(D77-D76-D74)*C76*B64-F74*E74*(D77-D76-D74)*C73*B76-F74*E74*(D77-D76-D74)*C74*B76-F74*E74*(D77-D76-D74)*C64*B76</f>
        <v>147408</v>
      </c>
      <c r="AC96" s="12">
        <v>2</v>
      </c>
      <c r="AD96" s="12">
        <f t="shared" si="28"/>
        <v>2.6594823405522994E-3</v>
      </c>
      <c r="AE96" s="12">
        <f t="shared" si="20"/>
        <v>2.8578148750328528E-3</v>
      </c>
      <c r="AF96" s="12">
        <f t="shared" si="39"/>
        <v>5.3189646811045987E-3</v>
      </c>
      <c r="AG96" s="21">
        <f>AB96*AC96*3</f>
        <v>884448</v>
      </c>
      <c r="AH96" s="11" t="s">
        <v>53</v>
      </c>
      <c r="AI96" s="17">
        <f>AO96-AB96-F74*E76*D65*(C65+C76)*(B65+B76)-F74*E76*D66*(C66+C76)*(B66+B76)-F74*E76*D67*(C67+C76)*(B67+B76)-F74*E76*D68*(C68+C76)*(B68+B76)-F74*E76*D69*(C69+C76)*(B69+B76)-F74*E76*D70*(C70+C76)*(B70+B76)-F74*E76*D71*(C71+C76)*(B71+B76)-F74*E76*D72*(C72+C76)*(B72+B76)-F74*E76*D73*(C73+C76)*(B73+B76)-F74*E76*D64*(C64+C76)*(B64+B76)-F76*E74*D65*(C65+C76)*(B65+B76)-F76*E74*D66*(C66+C76)*(B66+B76)-F76*E74*D67*(C67+C76)*(B67+B76)-F76*E74*D68*(C68+C76)*(B68+B76)-F76*E74*D69*(C69+C76)*(B69+B76)-F76*E74*D70*(C70+C76)*(B70+B76)-F76*E74*D71*(C71+C76)*(B71+B76)-F76*E74*D72*(C72+C76)*(B72+B76)-F76*E74*D73*(C73+C76)*(B73+B76)-F76*E74*D64*(C64+C76)*(B64+B76)</f>
        <v>154128</v>
      </c>
      <c r="AJ96" s="12">
        <f t="shared" si="21"/>
        <v>4</v>
      </c>
      <c r="AK96" s="12">
        <f t="shared" si="30"/>
        <v>1.2620744085426441E-3</v>
      </c>
      <c r="AL96" s="77">
        <f t="shared" si="22"/>
        <v>1.1637645144303422E-2</v>
      </c>
      <c r="AM96" s="12">
        <f t="shared" si="31"/>
        <v>5.0482976341705765E-3</v>
      </c>
      <c r="AN96" s="17">
        <f t="shared" si="32"/>
        <v>1849536</v>
      </c>
      <c r="AO96" s="11">
        <f>($F74+$F$76)*($E74+$E$76)*($D$77-$D$76-$D74)*C77*$B$77-F76*E76*(D77-D76-D74)*C77*B77</f>
        <v>304128</v>
      </c>
      <c r="AP96" s="12">
        <f t="shared" si="36"/>
        <v>1.0367262315275176E-2</v>
      </c>
      <c r="AQ96" s="4">
        <f t="shared" si="33"/>
        <v>2.4691222156539676E-3</v>
      </c>
      <c r="AS96" s="22">
        <f t="shared" si="34"/>
        <v>228156</v>
      </c>
      <c r="AT96" s="22">
        <f t="shared" si="35"/>
        <v>361084</v>
      </c>
    </row>
    <row r="97" spans="1:47" x14ac:dyDescent="0.25">
      <c r="A97" s="8"/>
      <c r="B97" s="8"/>
      <c r="C97" s="8"/>
      <c r="D97" s="8"/>
      <c r="E97" s="8"/>
      <c r="F97" s="8"/>
      <c r="G97" s="8"/>
      <c r="H97" s="8"/>
      <c r="I97" s="11" t="s">
        <v>54</v>
      </c>
      <c r="J97" s="17">
        <f>B74*C74*D74*(E77-E74-E76)*F77</f>
        <v>4752</v>
      </c>
      <c r="K97" s="12">
        <v>25</v>
      </c>
      <c r="L97" s="12">
        <f t="shared" si="23"/>
        <v>8.573388203017832E-5</v>
      </c>
      <c r="M97" s="12">
        <f t="shared" si="14"/>
        <v>4.9533519857942937E-2</v>
      </c>
      <c r="N97" s="12">
        <f t="shared" si="38"/>
        <v>2.1433470507544578E-3</v>
      </c>
      <c r="O97" s="21">
        <f t="shared" si="15"/>
        <v>356400</v>
      </c>
      <c r="P97" s="11" t="s">
        <v>54</v>
      </c>
      <c r="Q97" s="17">
        <f>W97-J97-B74*C76*D76*E65*(F65+F76)-B74*C76*D76*E66*(F66+F76)-B74*C76*D76*E67*(F67+F76)-B74*C76*D76*E68*(F68+F76)-B74*C76*D76*E69*(F69+F76)-B74*C76*D76*E70*(F70+F76)-B74*C76*D76*E71*(F71+F76)-B74*C76*D76*E72*(F72+F76)-B74*C76*D76*E73*(F73+F76)-B74*C76*D76*E64*(F64+F76)</f>
        <v>32224</v>
      </c>
      <c r="R97" s="12">
        <f t="shared" si="16"/>
        <v>50</v>
      </c>
      <c r="S97" s="12">
        <f t="shared" si="25"/>
        <v>5.8137386669622612E-4</v>
      </c>
      <c r="T97" s="12">
        <f t="shared" si="26"/>
        <v>2.9068693334811307E-2</v>
      </c>
      <c r="U97" s="17">
        <f t="shared" si="27"/>
        <v>4833600</v>
      </c>
      <c r="V97" s="77">
        <f t="shared" si="17"/>
        <v>1.397965696119869</v>
      </c>
      <c r="W97" s="11">
        <f>(B74+$B$76)*(C74+$C$76)*($D$76+D74)*($E$77-$E$76-E74)*$F$77-$B$76*$C$76*$D$76*($E$77-$E$76-E74)*$F$77</f>
        <v>38016</v>
      </c>
      <c r="X97" s="12">
        <f t="shared" si="18"/>
        <v>3.1212040385565763E-2</v>
      </c>
      <c r="Y97" s="4">
        <f t="shared" si="19"/>
        <v>6.6710774872640445E-4</v>
      </c>
      <c r="Z97" s="8"/>
      <c r="AA97" s="11" t="s">
        <v>54</v>
      </c>
      <c r="AB97">
        <f>F74*E74*D74*(C77-C74-C76)*B77</f>
        <v>8712</v>
      </c>
      <c r="AC97" s="12">
        <v>25</v>
      </c>
      <c r="AD97" s="12">
        <f t="shared" si="28"/>
        <v>1.5717878372199361E-4</v>
      </c>
      <c r="AE97" s="12">
        <f t="shared" si="20"/>
        <v>9.0811453072895398E-2</v>
      </c>
      <c r="AF97" s="12">
        <f t="shared" si="39"/>
        <v>3.9294695930498407E-3</v>
      </c>
      <c r="AG97" s="21">
        <f t="shared" si="29"/>
        <v>653400</v>
      </c>
      <c r="AH97" s="11" t="s">
        <v>54</v>
      </c>
      <c r="AI97" s="17">
        <f>AO97-AB97-F74*E76*D76*C65*(B65+B76)-F74*E76*D76*C66*(B66+B76)-F74*E76*D76*C67*(B67+B76)-F74*E76*D76*C68*(B68+B76)-F74*E76*D76*C69*(B69+B76)-F74*E76*D76*C70*(B70+B76)-F74*E76*D76*C71*(B71+B76)-F74*E76*D76*C72*(B72+B76)-F74*E76*D76*C73*(B73+B76)-F74*E76*D76*C64*(B64+B76)</f>
        <v>27806</v>
      </c>
      <c r="AJ97" s="12">
        <f t="shared" si="21"/>
        <v>50</v>
      </c>
      <c r="AK97" s="12">
        <f t="shared" si="30"/>
        <v>2.2768894038680034E-4</v>
      </c>
      <c r="AL97" s="77">
        <f t="shared" si="22"/>
        <v>0.54749851391745552</v>
      </c>
      <c r="AM97" s="12">
        <f t="shared" si="31"/>
        <v>1.1384447019340016E-2</v>
      </c>
      <c r="AN97" s="17">
        <f t="shared" si="32"/>
        <v>4170900</v>
      </c>
      <c r="AO97" s="11">
        <f>($F74+$F$76)*($E74+$E$76)*($D$76+$D74)*($C$77-$C$76-$C74)*$B$77-$F$76*$E$76*$D$76*($C$77-$C$76-$C74)*$B$77</f>
        <v>37026</v>
      </c>
      <c r="AP97" s="12">
        <f t="shared" si="36"/>
        <v>1.5313916612389858E-2</v>
      </c>
      <c r="AQ97" s="4">
        <f t="shared" si="33"/>
        <v>2.9902699867097657E-4</v>
      </c>
      <c r="AS97" s="22">
        <f t="shared" si="34"/>
        <v>13464</v>
      </c>
      <c r="AT97" s="22">
        <f t="shared" si="35"/>
        <v>60030</v>
      </c>
    </row>
    <row r="98" spans="1:47" x14ac:dyDescent="0.25">
      <c r="A98" s="8"/>
      <c r="B98" s="8"/>
      <c r="C98" s="8"/>
      <c r="D98" s="8"/>
      <c r="E98" s="8"/>
      <c r="F98" s="8"/>
      <c r="G98" s="8"/>
      <c r="H98" s="8"/>
      <c r="I98" s="11" t="s">
        <v>55</v>
      </c>
      <c r="J98" s="17">
        <f>B74*C74*D74*E74*(F77-F76-F74)</f>
        <v>264</v>
      </c>
      <c r="K98" s="12">
        <v>125</v>
      </c>
      <c r="L98" s="12">
        <f t="shared" si="23"/>
        <v>4.7629934461210183E-6</v>
      </c>
      <c r="M98" s="12">
        <f t="shared" si="14"/>
        <v>7.3279046896021091E-2</v>
      </c>
      <c r="N98" s="12">
        <f t="shared" si="38"/>
        <v>5.9537418076512734E-4</v>
      </c>
      <c r="O98" s="21">
        <f t="shared" si="15"/>
        <v>99000</v>
      </c>
      <c r="P98" s="11" t="s">
        <v>55</v>
      </c>
      <c r="Q98" s="17">
        <f>W98-J98-(B76*C76*D76*E74*(F77-F76-F74))</f>
        <v>2904</v>
      </c>
      <c r="R98" s="12">
        <f t="shared" si="16"/>
        <v>250</v>
      </c>
      <c r="S98" s="12">
        <f t="shared" si="25"/>
        <v>5.2392927907331202E-5</v>
      </c>
      <c r="T98" s="12">
        <f t="shared" si="26"/>
        <v>1.3098231976832801E-2</v>
      </c>
      <c r="U98" s="17">
        <f t="shared" si="27"/>
        <v>2178000</v>
      </c>
      <c r="V98" s="77">
        <f t="shared" si="17"/>
        <v>3.2493694026231723</v>
      </c>
      <c r="W98" s="11">
        <f>(B73+$B$76)*(C73+$C$76)*($D$76+D73)*($E$76+E73)*($F$77-$F$76-F73)-$B$76*$C$76*$D$76*$E$76*($F$77-$F$76-F73)</f>
        <v>3432</v>
      </c>
      <c r="X98" s="12">
        <f t="shared" si="18"/>
        <v>1.3693606157597928E-2</v>
      </c>
      <c r="Y98" s="4">
        <f t="shared" si="19"/>
        <v>5.7155921353452216E-5</v>
      </c>
      <c r="Z98" s="8"/>
      <c r="AA98" s="11" t="s">
        <v>55</v>
      </c>
      <c r="AB98">
        <f>F74*E74*D74*C74*(B77-B76-B74)</f>
        <v>240</v>
      </c>
      <c r="AC98" s="12">
        <v>125</v>
      </c>
      <c r="AD98" s="12">
        <f t="shared" si="28"/>
        <v>4.3299940419281981E-6</v>
      </c>
      <c r="AE98" s="12">
        <f t="shared" si="20"/>
        <v>6.6617315360019178E-2</v>
      </c>
      <c r="AF98" s="12">
        <f t="shared" si="39"/>
        <v>5.4124925524102476E-4</v>
      </c>
      <c r="AG98" s="21">
        <f t="shared" si="29"/>
        <v>90000</v>
      </c>
      <c r="AH98" s="11" t="s">
        <v>55</v>
      </c>
      <c r="AI98" s="17">
        <f>AO98-AB98-F76*E76*D76*C74*(B77-B76-B74)</f>
        <v>2820</v>
      </c>
      <c r="AJ98" s="12">
        <f t="shared" si="21"/>
        <v>250</v>
      </c>
      <c r="AK98" s="12">
        <f t="shared" si="30"/>
        <v>2.3091520243500572E-5</v>
      </c>
      <c r="AL98" s="77">
        <f t="shared" si="22"/>
        <v>1.4321184620946752</v>
      </c>
      <c r="AM98" s="12">
        <f t="shared" si="31"/>
        <v>5.7728800608751428E-3</v>
      </c>
      <c r="AN98" s="17">
        <f t="shared" si="32"/>
        <v>2115000</v>
      </c>
      <c r="AO98" s="11">
        <f>($F74+$F$76)*($E74+$E$76)*($D$76+$D74)*($C$76+$C74)*($B$77-$B$76-$B74)-$F$76*$E$76*$D$76*$C$76*($B$77-$B$76-$B74)</f>
        <v>3120</v>
      </c>
      <c r="AP98" s="12">
        <f t="shared" si="36"/>
        <v>6.3141293161161679E-3</v>
      </c>
      <c r="AQ98" s="4">
        <f t="shared" si="33"/>
        <v>2.5056756008904878E-5</v>
      </c>
      <c r="AS98" s="22">
        <f t="shared" si="34"/>
        <v>504</v>
      </c>
      <c r="AT98" s="22">
        <f t="shared" si="35"/>
        <v>5724</v>
      </c>
    </row>
    <row r="99" spans="1:47" x14ac:dyDescent="0.25">
      <c r="A99" s="8"/>
      <c r="B99" s="8"/>
      <c r="C99" s="8"/>
      <c r="D99" s="8"/>
      <c r="E99" s="8"/>
      <c r="F99" s="8"/>
      <c r="G99" s="8"/>
      <c r="H99" s="8"/>
      <c r="I99" s="11" t="s">
        <v>56</v>
      </c>
      <c r="J99" s="17">
        <f>B74*C74*D74*E74*F74</f>
        <v>16</v>
      </c>
      <c r="K99" s="12">
        <v>750</v>
      </c>
      <c r="L99" s="12">
        <f t="shared" si="23"/>
        <v>2.8866626946187989E-7</v>
      </c>
      <c r="M99" s="12">
        <f t="shared" si="14"/>
        <v>0.16195790038970759</v>
      </c>
      <c r="N99" s="12">
        <f t="shared" si="38"/>
        <v>2.1649970209640992E-4</v>
      </c>
      <c r="O99" s="21">
        <f t="shared" si="15"/>
        <v>36000</v>
      </c>
      <c r="P99" s="11" t="s">
        <v>56</v>
      </c>
      <c r="Q99" s="17">
        <f>W99-J99-(B76*C76*D76*E76*F74)-(B74*C76*D76*E76*F76)</f>
        <v>288</v>
      </c>
      <c r="R99" s="12">
        <f t="shared" si="16"/>
        <v>1500</v>
      </c>
      <c r="S99" s="12">
        <f t="shared" si="25"/>
        <v>5.1959928503138376E-6</v>
      </c>
      <c r="T99" s="12">
        <f t="shared" si="26"/>
        <v>7.7939892754707567E-3</v>
      </c>
      <c r="U99" s="17">
        <f t="shared" si="27"/>
        <v>1296000</v>
      </c>
      <c r="V99" s="77">
        <f t="shared" si="17"/>
        <v>11.675971548200138</v>
      </c>
      <c r="W99" s="11">
        <f>(B74+$B$76)*(C74+$C$76)*($D$76+D74)*($E$76+E74)*($F$76+F74)-$B$76*$C$76*$D$76*$E$76*$F$76</f>
        <v>320</v>
      </c>
      <c r="X99" s="12">
        <f t="shared" si="18"/>
        <v>8.0104889775671675E-3</v>
      </c>
      <c r="Y99" s="4">
        <f t="shared" si="19"/>
        <v>5.4846591197757177E-6</v>
      </c>
      <c r="Z99" s="8"/>
      <c r="AA99" s="11"/>
      <c r="AC99" s="12"/>
      <c r="AD99" s="12">
        <f t="shared" si="28"/>
        <v>0</v>
      </c>
      <c r="AE99" s="12">
        <f t="shared" si="20"/>
        <v>0</v>
      </c>
      <c r="AF99" s="12"/>
      <c r="AG99" s="21">
        <f t="shared" si="29"/>
        <v>0</v>
      </c>
      <c r="AH99" s="11"/>
      <c r="AI99" s="17"/>
      <c r="AJ99" s="12"/>
      <c r="AK99" s="12"/>
      <c r="AL99" s="77">
        <f t="shared" si="22"/>
        <v>0</v>
      </c>
      <c r="AM99" s="12"/>
      <c r="AN99" s="17"/>
      <c r="AO99" s="11"/>
      <c r="AP99" s="12"/>
      <c r="AQ99" s="4">
        <f t="shared" si="33"/>
        <v>0</v>
      </c>
      <c r="AS99" s="22">
        <f t="shared" si="34"/>
        <v>16</v>
      </c>
      <c r="AT99" s="22">
        <f t="shared" si="35"/>
        <v>288</v>
      </c>
    </row>
    <row r="100" spans="1:47" x14ac:dyDescent="0.25">
      <c r="A100" s="8"/>
      <c r="B100" s="8"/>
      <c r="C100" s="8"/>
      <c r="D100" s="8"/>
      <c r="E100" s="8"/>
      <c r="F100" s="8"/>
      <c r="G100" s="8"/>
      <c r="H100" s="8"/>
      <c r="I100" s="11" t="s">
        <v>59</v>
      </c>
      <c r="J100" s="17">
        <f>B76*C76*(D77-D76-D74-D73-D72-D71-D70-D69-D68)*(E77-E76)*F77-B76*C76*D64*E64*F77-B76*C76*D65*E65*F77-B76*C76*D66*E66*F77-B76*C76*D67*E67*F77</f>
        <v>39600</v>
      </c>
      <c r="K100" s="12">
        <v>10</v>
      </c>
      <c r="L100" s="12">
        <f t="shared" si="23"/>
        <v>7.1444901691815267E-4</v>
      </c>
      <c r="M100" s="12">
        <f t="shared" si="14"/>
        <v>5.8342230995292059E-2</v>
      </c>
      <c r="N100" s="12">
        <f t="shared" si="38"/>
        <v>7.1444901691815263E-3</v>
      </c>
      <c r="O100" s="21">
        <f t="shared" si="15"/>
        <v>1188000</v>
      </c>
      <c r="P100" s="11"/>
      <c r="Q100" s="17"/>
      <c r="R100" s="12"/>
      <c r="S100" s="12"/>
      <c r="T100" s="12"/>
      <c r="U100" s="17"/>
      <c r="V100" s="17"/>
      <c r="W100" s="25">
        <f t="shared" ref="W100:W107" si="40">J100</f>
        <v>39600</v>
      </c>
      <c r="X100" s="12">
        <f t="shared" si="18"/>
        <v>7.1444901691815263E-3</v>
      </c>
      <c r="Y100" s="4">
        <f t="shared" si="19"/>
        <v>7.1444901691815267E-4</v>
      </c>
      <c r="Z100" s="8"/>
      <c r="AA100" s="11" t="s">
        <v>59</v>
      </c>
      <c r="AB100">
        <f>E76*F76*(D77-D76-D74-D73-D72-D71-D70-D69-D68)*(C77-C76)*B77-F76*E76*D64*C64*B77-F76*E76*D65*C65*B77-F76*E76*D66*C66*B77-F76*E76*D67*C67*B77</f>
        <v>17358</v>
      </c>
      <c r="AC100" s="12">
        <v>10</v>
      </c>
      <c r="AD100" s="12">
        <f t="shared" si="28"/>
        <v>3.1316681908245695E-4</v>
      </c>
      <c r="AE100" s="12">
        <f t="shared" si="20"/>
        <v>2.5573344586269687E-2</v>
      </c>
      <c r="AF100" s="12">
        <f t="shared" si="39"/>
        <v>3.1316681908245695E-3</v>
      </c>
      <c r="AG100" s="21">
        <f t="shared" si="29"/>
        <v>520740</v>
      </c>
      <c r="AH100" s="11"/>
      <c r="AI100" s="17"/>
      <c r="AJ100" s="12"/>
      <c r="AK100" s="12"/>
      <c r="AL100" s="17"/>
      <c r="AM100" s="12"/>
      <c r="AN100" s="17"/>
      <c r="AO100" s="25"/>
      <c r="AP100" s="12">
        <f t="shared" si="36"/>
        <v>3.1316681908245695E-3</v>
      </c>
      <c r="AQ100" s="4">
        <f t="shared" si="33"/>
        <v>1.421356767328663E-4</v>
      </c>
      <c r="AS100" s="22">
        <f>SUM(J100+AB100)</f>
        <v>56958</v>
      </c>
      <c r="AT100" s="22">
        <f t="shared" si="35"/>
        <v>0</v>
      </c>
    </row>
    <row r="101" spans="1:47" x14ac:dyDescent="0.25">
      <c r="A101" s="8"/>
      <c r="B101" s="8"/>
      <c r="C101" s="8"/>
      <c r="D101" s="8"/>
      <c r="E101" s="8"/>
      <c r="F101" s="8"/>
      <c r="G101" s="8"/>
      <c r="H101" s="8"/>
      <c r="I101" s="11" t="s">
        <v>60</v>
      </c>
      <c r="J101" s="17">
        <f>B76*C76*D76*(E77-E76)*F77-B76*C76*D76*E72*(F72+F76)-B76*C76*D76*E73*(F73+F76)-B76*C76*D76*E74*(F74+F76)-B76*C76*D76*E70*(F70+F76)-B76*C76*D76*E71*(F71+F76)</f>
        <v>4848</v>
      </c>
      <c r="K101" s="12">
        <v>250</v>
      </c>
      <c r="L101" s="12">
        <f t="shared" si="23"/>
        <v>8.7465879646949604E-5</v>
      </c>
      <c r="M101" s="12">
        <f t="shared" si="14"/>
        <v>5.4245671018998411</v>
      </c>
      <c r="N101" s="12">
        <f t="shared" si="38"/>
        <v>2.18664699117374E-2</v>
      </c>
      <c r="O101" s="21">
        <f t="shared" si="15"/>
        <v>3636000</v>
      </c>
      <c r="P101" s="11"/>
      <c r="Q101" s="17"/>
      <c r="R101" s="12"/>
      <c r="S101" s="12"/>
      <c r="T101" s="12"/>
      <c r="U101" s="17"/>
      <c r="V101" s="17"/>
      <c r="W101" s="25">
        <f t="shared" si="40"/>
        <v>4848</v>
      </c>
      <c r="X101" s="12">
        <f t="shared" si="18"/>
        <v>2.18664699117374E-2</v>
      </c>
      <c r="Y101" s="4">
        <f t="shared" si="19"/>
        <v>8.7465879646949604E-5</v>
      </c>
      <c r="Z101" s="8"/>
      <c r="AA101" s="11" t="s">
        <v>60</v>
      </c>
      <c r="AB101">
        <f>F76*E76*D76*(C77-C76)*B77-F76*E76*D76*C72*(B72+B76)-F76*E76*D76*C73*(B73+B76)-F76*E76*D76*C74*(B74+B76)-F76*E76*D76*C70*(B70+B76)-F76*E76*D76*C71*(B71+B76)</f>
        <v>2178</v>
      </c>
      <c r="AC101" s="12">
        <v>250</v>
      </c>
      <c r="AD101" s="12">
        <f t="shared" si="28"/>
        <v>3.9294695930498403E-5</v>
      </c>
      <c r="AE101" s="12">
        <f t="shared" si="20"/>
        <v>2.4370270519673793</v>
      </c>
      <c r="AF101" s="12">
        <f t="shared" si="39"/>
        <v>9.8236739826246013E-3</v>
      </c>
      <c r="AG101" s="21">
        <f t="shared" si="29"/>
        <v>1633500</v>
      </c>
      <c r="AH101" s="11"/>
      <c r="AI101" s="17"/>
      <c r="AJ101" s="12"/>
      <c r="AK101" s="12"/>
      <c r="AL101" s="17"/>
      <c r="AM101" s="12"/>
      <c r="AN101" s="17"/>
      <c r="AO101" s="25"/>
      <c r="AP101" s="12">
        <f t="shared" si="36"/>
        <v>9.8236739826246013E-3</v>
      </c>
      <c r="AQ101" s="4">
        <f t="shared" si="33"/>
        <v>1.7834514571044058E-5</v>
      </c>
      <c r="AS101" s="85">
        <f t="shared" si="34"/>
        <v>7026</v>
      </c>
      <c r="AT101" s="22">
        <f t="shared" si="35"/>
        <v>0</v>
      </c>
    </row>
    <row r="102" spans="1:47" x14ac:dyDescent="0.25">
      <c r="A102" s="8"/>
      <c r="B102" s="8"/>
      <c r="C102" s="8"/>
      <c r="D102" s="8"/>
      <c r="E102" s="8"/>
      <c r="F102" s="8"/>
      <c r="G102" s="8"/>
      <c r="H102" s="8"/>
      <c r="I102" s="11" t="s">
        <v>61</v>
      </c>
      <c r="J102" s="17">
        <f>B76*C76*D76*E76*(F77-F76)</f>
        <v>140</v>
      </c>
      <c r="K102" s="12">
        <v>2500</v>
      </c>
      <c r="L102" s="12">
        <f t="shared" si="23"/>
        <v>2.5258298577914492E-6</v>
      </c>
      <c r="M102" s="12">
        <f t="shared" si="14"/>
        <v>15.774272252648789</v>
      </c>
      <c r="N102" s="12">
        <f t="shared" si="38"/>
        <v>6.3145746444786231E-3</v>
      </c>
      <c r="O102" s="21">
        <f t="shared" si="15"/>
        <v>1050000</v>
      </c>
      <c r="P102" s="11"/>
      <c r="Q102" s="17"/>
      <c r="R102" s="12"/>
      <c r="S102" s="12"/>
      <c r="T102" s="12"/>
      <c r="U102" s="17"/>
      <c r="V102" s="17"/>
      <c r="W102" s="25">
        <f t="shared" si="40"/>
        <v>140</v>
      </c>
      <c r="X102" s="12">
        <f t="shared" si="18"/>
        <v>6.3145746444786231E-3</v>
      </c>
      <c r="Y102" s="4">
        <f t="shared" si="19"/>
        <v>2.5258298577914492E-6</v>
      </c>
      <c r="Z102" s="8"/>
      <c r="AA102" s="11" t="s">
        <v>61</v>
      </c>
      <c r="AB102">
        <f>F76*E76*D76*C76*(B77-B76)</f>
        <v>128</v>
      </c>
      <c r="AC102" s="12">
        <v>2500</v>
      </c>
      <c r="AD102" s="12">
        <f t="shared" si="28"/>
        <v>2.3093301556950391E-6</v>
      </c>
      <c r="AE102" s="12">
        <f t="shared" si="20"/>
        <v>14.42219177385032</v>
      </c>
      <c r="AF102" s="12">
        <f t="shared" si="39"/>
        <v>5.773325389237598E-3</v>
      </c>
      <c r="AG102" s="21">
        <f t="shared" si="29"/>
        <v>960000</v>
      </c>
      <c r="AH102" s="11"/>
      <c r="AI102" s="17"/>
      <c r="AJ102" s="12"/>
      <c r="AK102" s="12"/>
      <c r="AL102" s="17"/>
      <c r="AM102" s="12"/>
      <c r="AN102" s="17"/>
      <c r="AO102" s="25"/>
      <c r="AP102" s="12">
        <f t="shared" si="36"/>
        <v>5.773325389237598E-3</v>
      </c>
      <c r="AQ102" s="4">
        <f t="shared" si="33"/>
        <v>1.0481257415489621E-6</v>
      </c>
      <c r="AS102" s="22">
        <f t="shared" si="34"/>
        <v>268</v>
      </c>
      <c r="AT102" s="22">
        <f t="shared" si="35"/>
        <v>0</v>
      </c>
    </row>
    <row r="103" spans="1:47" x14ac:dyDescent="0.25">
      <c r="A103" s="8"/>
      <c r="B103" s="8"/>
      <c r="C103" s="8"/>
      <c r="D103" s="8"/>
      <c r="E103" s="8"/>
      <c r="F103" s="8"/>
      <c r="G103" s="8"/>
      <c r="H103" s="8"/>
      <c r="I103" s="11" t="s">
        <v>62</v>
      </c>
      <c r="J103" s="17">
        <f>B76*C76*D76*E76*F76</f>
        <v>4</v>
      </c>
      <c r="K103" s="12">
        <v>9000</v>
      </c>
      <c r="L103" s="12">
        <f t="shared" si="23"/>
        <v>7.2166567365469972E-8</v>
      </c>
      <c r="M103" s="12">
        <f t="shared" si="14"/>
        <v>5.8442405912947617</v>
      </c>
      <c r="N103" s="12">
        <f>K103*L103</f>
        <v>6.494991062892298E-4</v>
      </c>
      <c r="O103" s="21">
        <f t="shared" si="15"/>
        <v>108000</v>
      </c>
      <c r="P103" s="11"/>
      <c r="Q103" s="17"/>
      <c r="R103" s="12"/>
      <c r="S103" s="12"/>
      <c r="T103" s="12"/>
      <c r="U103" s="17"/>
      <c r="V103" s="17"/>
      <c r="W103" s="25">
        <f t="shared" si="40"/>
        <v>4</v>
      </c>
      <c r="X103" s="12">
        <f t="shared" si="18"/>
        <v>6.494991062892298E-4</v>
      </c>
      <c r="Y103" s="4">
        <f t="shared" si="19"/>
        <v>7.2166567365469972E-8</v>
      </c>
      <c r="Z103" s="8"/>
      <c r="AA103" s="11"/>
      <c r="AC103" s="12"/>
      <c r="AD103" s="12"/>
      <c r="AE103" s="12">
        <f t="shared" si="20"/>
        <v>0</v>
      </c>
      <c r="AF103" s="12"/>
      <c r="AG103" s="21"/>
      <c r="AH103" s="11"/>
      <c r="AI103" s="17"/>
      <c r="AJ103" s="12"/>
      <c r="AK103" s="12"/>
      <c r="AL103" s="17"/>
      <c r="AM103" s="12"/>
      <c r="AN103" s="17"/>
      <c r="AO103" s="25"/>
      <c r="AP103" s="12"/>
      <c r="AQ103" s="4"/>
      <c r="AS103" s="22">
        <f t="shared" si="34"/>
        <v>4</v>
      </c>
      <c r="AT103" s="22">
        <f t="shared" si="35"/>
        <v>0</v>
      </c>
    </row>
    <row r="104" spans="1:47" x14ac:dyDescent="0.25">
      <c r="A104" s="8"/>
      <c r="B104" s="8"/>
      <c r="C104" s="8"/>
      <c r="D104" s="8"/>
      <c r="E104" s="8"/>
      <c r="F104" s="8"/>
      <c r="G104" s="8"/>
      <c r="H104" s="8"/>
      <c r="I104" s="11" t="s">
        <v>63</v>
      </c>
      <c r="J104" s="17">
        <f>Sheet2!P78</f>
        <v>7776000</v>
      </c>
      <c r="K104" s="12">
        <v>2</v>
      </c>
      <c r="L104" s="12">
        <f t="shared" si="23"/>
        <v>0.14029180695847362</v>
      </c>
      <c r="M104" s="12">
        <f t="shared" si="14"/>
        <v>0.1507541549186982</v>
      </c>
      <c r="N104" s="12">
        <f t="shared" si="38"/>
        <v>0.28058361391694725</v>
      </c>
      <c r="O104" s="21">
        <f t="shared" si="15"/>
        <v>46656000</v>
      </c>
      <c r="P104" s="11"/>
      <c r="Q104" s="17"/>
      <c r="R104" s="12"/>
      <c r="S104" s="12"/>
      <c r="T104" s="12"/>
      <c r="U104" s="17"/>
      <c r="V104" s="17"/>
      <c r="W104" s="25">
        <f t="shared" si="40"/>
        <v>7776000</v>
      </c>
      <c r="X104" s="12">
        <f t="shared" si="18"/>
        <v>0.28058361391694725</v>
      </c>
      <c r="Y104" s="4">
        <f t="shared" si="19"/>
        <v>0.14029180695847362</v>
      </c>
      <c r="Z104" s="8"/>
      <c r="AA104" s="11"/>
      <c r="AB104" s="17"/>
      <c r="AC104" s="12"/>
      <c r="AD104" s="12"/>
      <c r="AE104" s="12">
        <f t="shared" si="20"/>
        <v>0</v>
      </c>
      <c r="AF104" s="12"/>
      <c r="AG104" s="21"/>
      <c r="AH104" s="11"/>
      <c r="AI104" s="17"/>
      <c r="AJ104" s="12"/>
      <c r="AK104" s="12"/>
      <c r="AL104" s="17"/>
      <c r="AM104" s="12"/>
      <c r="AN104" s="17"/>
      <c r="AO104" s="25"/>
      <c r="AP104" s="12"/>
      <c r="AQ104" s="4"/>
      <c r="AS104" s="22">
        <f t="shared" si="34"/>
        <v>7776000</v>
      </c>
      <c r="AT104" s="22">
        <f t="shared" si="35"/>
        <v>0</v>
      </c>
    </row>
    <row r="105" spans="1:47" x14ac:dyDescent="0.25">
      <c r="A105" s="8"/>
      <c r="B105" s="8"/>
      <c r="C105" s="8"/>
      <c r="D105" s="8"/>
      <c r="E105" s="8"/>
      <c r="F105" s="8"/>
      <c r="G105" s="8"/>
      <c r="H105" s="8"/>
      <c r="I105" s="11" t="s">
        <v>64</v>
      </c>
      <c r="J105" s="17">
        <f>Sheet2!G99</f>
        <v>1360800</v>
      </c>
      <c r="K105" s="12">
        <v>5</v>
      </c>
      <c r="L105" s="12">
        <f t="shared" si="23"/>
        <v>2.4551066217732884E-2</v>
      </c>
      <c r="M105" s="12">
        <f t="shared" si="14"/>
        <v>0.40004194639029855</v>
      </c>
      <c r="N105" s="12">
        <f t="shared" si="38"/>
        <v>0.12275533108866442</v>
      </c>
      <c r="O105" s="21">
        <f t="shared" si="15"/>
        <v>20412000</v>
      </c>
      <c r="P105" s="11"/>
      <c r="Q105" s="17"/>
      <c r="R105" s="12"/>
      <c r="S105" s="12"/>
      <c r="T105" s="12"/>
      <c r="U105" s="17"/>
      <c r="V105" s="17"/>
      <c r="W105" s="25">
        <f t="shared" si="40"/>
        <v>1360800</v>
      </c>
      <c r="X105" s="12">
        <f t="shared" si="18"/>
        <v>0.12275533108866442</v>
      </c>
      <c r="Y105" s="4">
        <f t="shared" si="19"/>
        <v>2.4551066217732884E-2</v>
      </c>
      <c r="Z105" s="8"/>
      <c r="AA105" s="11"/>
      <c r="AB105" s="17"/>
      <c r="AC105" s="12"/>
      <c r="AD105" s="12"/>
      <c r="AE105" s="12">
        <f t="shared" si="20"/>
        <v>0</v>
      </c>
      <c r="AF105" s="12"/>
      <c r="AG105" s="21"/>
      <c r="AH105" s="11"/>
      <c r="AI105" s="17"/>
      <c r="AJ105" s="12"/>
      <c r="AK105" s="12"/>
      <c r="AL105" s="17"/>
      <c r="AM105" s="12"/>
      <c r="AN105" s="17"/>
      <c r="AO105" s="25"/>
      <c r="AP105" s="12"/>
      <c r="AQ105" s="4"/>
      <c r="AS105" s="22">
        <f t="shared" si="34"/>
        <v>1360800</v>
      </c>
      <c r="AT105" s="22">
        <f t="shared" si="35"/>
        <v>0</v>
      </c>
    </row>
    <row r="106" spans="1:47" x14ac:dyDescent="0.25">
      <c r="A106" s="8"/>
      <c r="B106" s="8"/>
      <c r="C106" s="8"/>
      <c r="D106" s="8"/>
      <c r="E106" s="8"/>
      <c r="F106" s="8"/>
      <c r="G106" s="8"/>
      <c r="H106" s="8"/>
      <c r="I106" s="11" t="s">
        <v>65</v>
      </c>
      <c r="J106" s="17">
        <f>Sheet2!G74</f>
        <v>116640</v>
      </c>
      <c r="K106" s="12">
        <v>20</v>
      </c>
      <c r="L106" s="12">
        <f t="shared" si="23"/>
        <v>2.1043771043771043E-3</v>
      </c>
      <c r="M106" s="12">
        <f t="shared" si="14"/>
        <v>0.76261111470649778</v>
      </c>
      <c r="N106" s="12">
        <f t="shared" si="38"/>
        <v>4.208754208754209E-2</v>
      </c>
      <c r="O106" s="21">
        <f t="shared" si="15"/>
        <v>6998400</v>
      </c>
      <c r="P106" s="11"/>
      <c r="Q106" s="17"/>
      <c r="R106" s="12"/>
      <c r="S106" s="12"/>
      <c r="T106" s="12"/>
      <c r="U106" s="17"/>
      <c r="V106" s="21"/>
      <c r="W106" s="17">
        <f t="shared" si="40"/>
        <v>116640</v>
      </c>
      <c r="X106" s="12">
        <f t="shared" si="18"/>
        <v>4.208754208754209E-2</v>
      </c>
      <c r="Y106" s="4">
        <f t="shared" si="19"/>
        <v>2.1043771043771043E-3</v>
      </c>
      <c r="Z106" s="8"/>
      <c r="AA106" s="11"/>
      <c r="AB106" s="17"/>
      <c r="AC106" s="12"/>
      <c r="AD106" s="12"/>
      <c r="AE106" s="12">
        <f t="shared" si="20"/>
        <v>0</v>
      </c>
      <c r="AF106" s="12"/>
      <c r="AG106" s="21"/>
      <c r="AH106" s="11"/>
      <c r="AI106" s="17"/>
      <c r="AJ106" s="12"/>
      <c r="AK106" s="12"/>
      <c r="AL106" s="17"/>
      <c r="AM106" s="12"/>
      <c r="AN106" s="21"/>
      <c r="AO106" s="17"/>
      <c r="AP106" s="12"/>
      <c r="AQ106" s="4"/>
      <c r="AS106" s="22">
        <f t="shared" si="34"/>
        <v>116640</v>
      </c>
      <c r="AT106" s="22">
        <f t="shared" si="35"/>
        <v>0</v>
      </c>
    </row>
    <row r="107" spans="1:47" x14ac:dyDescent="0.25">
      <c r="A107" s="8"/>
      <c r="B107" s="8"/>
      <c r="C107" s="8"/>
      <c r="D107" s="8"/>
      <c r="E107" s="8"/>
      <c r="F107" s="8"/>
      <c r="G107" s="8"/>
      <c r="H107" s="8"/>
      <c r="I107" s="14" t="s">
        <v>66</v>
      </c>
      <c r="J107" s="18">
        <f>Sheet2!G58</f>
        <v>3888</v>
      </c>
      <c r="K107" s="15">
        <v>500</v>
      </c>
      <c r="L107" s="12">
        <f t="shared" si="23"/>
        <v>7.0145903479236819E-5</v>
      </c>
      <c r="M107" s="12">
        <f t="shared" si="14"/>
        <v>17.468963629173846</v>
      </c>
      <c r="N107" s="15">
        <f>K107*L107</f>
        <v>3.5072951739618406E-2</v>
      </c>
      <c r="O107" s="21">
        <f t="shared" si="15"/>
        <v>5832000</v>
      </c>
      <c r="P107" s="14"/>
      <c r="Q107" s="22"/>
      <c r="R107" s="8"/>
      <c r="S107" s="8"/>
      <c r="T107" s="8"/>
      <c r="U107" s="22"/>
      <c r="V107" s="22"/>
      <c r="W107" s="26">
        <f t="shared" si="40"/>
        <v>3888</v>
      </c>
      <c r="X107" s="12">
        <f t="shared" si="18"/>
        <v>3.5072951739618406E-2</v>
      </c>
      <c r="Y107" s="4">
        <f t="shared" si="19"/>
        <v>7.0145903479236819E-5</v>
      </c>
      <c r="Z107" s="8"/>
      <c r="AA107" s="14"/>
      <c r="AB107" s="18"/>
      <c r="AC107" s="15"/>
      <c r="AD107" s="15"/>
      <c r="AE107" s="12">
        <f t="shared" si="20"/>
        <v>0</v>
      </c>
      <c r="AF107" s="15"/>
      <c r="AG107" s="21"/>
      <c r="AH107" s="14"/>
      <c r="AI107" s="22"/>
      <c r="AJ107" s="8"/>
      <c r="AK107" s="8"/>
      <c r="AL107" s="22"/>
      <c r="AM107" s="8"/>
      <c r="AN107" s="22"/>
      <c r="AO107" s="26"/>
      <c r="AP107" s="12"/>
      <c r="AQ107" s="5"/>
      <c r="AS107" s="22">
        <f t="shared" si="34"/>
        <v>3888</v>
      </c>
      <c r="AT107" s="22">
        <f t="shared" si="35"/>
        <v>0</v>
      </c>
    </row>
    <row r="108" spans="1:47" x14ac:dyDescent="0.25">
      <c r="A108" s="8"/>
      <c r="B108" s="8"/>
      <c r="C108" s="8"/>
      <c r="D108" s="8"/>
      <c r="E108" s="8"/>
      <c r="F108" s="8"/>
      <c r="G108" s="8"/>
      <c r="H108" s="8"/>
      <c r="I108" s="16" t="s">
        <v>67</v>
      </c>
      <c r="J108" s="19">
        <f>SUM(J64:J107)</f>
        <v>10009754</v>
      </c>
      <c r="K108" s="16">
        <f t="shared" ref="K108:O108" si="41">SUM(K64:K107)</f>
        <v>16183</v>
      </c>
      <c r="L108" s="16">
        <f t="shared" si="41"/>
        <v>0.18059239658819562</v>
      </c>
      <c r="M108" s="16">
        <f t="shared" si="41"/>
        <v>49.216726273871188</v>
      </c>
      <c r="N108" s="16">
        <f t="shared" si="41"/>
        <v>0.61359674419087995</v>
      </c>
      <c r="O108" s="19">
        <f t="shared" si="41"/>
        <v>102030084</v>
      </c>
      <c r="P108" s="16" t="s">
        <v>67</v>
      </c>
      <c r="Q108" s="19">
        <f t="shared" ref="Q108:V108" si="42">SUM(Q64:Q99)</f>
        <v>1541505</v>
      </c>
      <c r="R108" s="16">
        <f t="shared" si="42"/>
        <v>7792</v>
      </c>
      <c r="S108" s="16">
        <f t="shared" si="42"/>
        <v>2.7811281106677195E-2</v>
      </c>
      <c r="T108" s="16">
        <f t="shared" si="42"/>
        <v>0.60562757057312955</v>
      </c>
      <c r="U108" s="19">
        <f t="shared" si="42"/>
        <v>100704954</v>
      </c>
      <c r="V108" s="79">
        <f t="shared" si="42"/>
        <v>83.124936937217655</v>
      </c>
      <c r="W108" s="24">
        <f>SUM(W64:W107)</f>
        <v>11635925</v>
      </c>
      <c r="X108" s="16">
        <f>SUM(X64:X107)</f>
        <v>1.2192243147640098</v>
      </c>
      <c r="Y108" s="8"/>
      <c r="Z108" s="8"/>
      <c r="AA108" s="16" t="s">
        <v>67</v>
      </c>
      <c r="AB108" s="19">
        <f t="shared" ref="AB108:AG108" si="43">SUM(AB64:AB107)</f>
        <v>867173</v>
      </c>
      <c r="AC108" s="16">
        <f t="shared" si="43"/>
        <v>3606</v>
      </c>
      <c r="AD108" s="16">
        <f t="shared" si="43"/>
        <v>1.5645224680504173E-2</v>
      </c>
      <c r="AE108" s="16">
        <f t="shared" si="43"/>
        <v>18.927217584953333</v>
      </c>
      <c r="AF108" s="16">
        <f t="shared" si="43"/>
        <v>0.11803377929385303</v>
      </c>
      <c r="AG108" s="19">
        <f t="shared" si="43"/>
        <v>19626891</v>
      </c>
      <c r="AH108" s="16" t="s">
        <v>67</v>
      </c>
      <c r="AI108" s="19">
        <f t="shared" ref="AI108:AN108" si="44">SUM(AI64:AI99)</f>
        <v>1125072</v>
      </c>
      <c r="AJ108" s="16">
        <f t="shared" si="44"/>
        <v>1692</v>
      </c>
      <c r="AK108" s="16">
        <f t="shared" si="44"/>
        <v>9.2126322210622953E-3</v>
      </c>
      <c r="AL108" s="79">
        <f t="shared" si="44"/>
        <v>14.434711694549359</v>
      </c>
      <c r="AM108" s="16">
        <f t="shared" si="44"/>
        <v>0.20222143372596127</v>
      </c>
      <c r="AN108" s="19">
        <f t="shared" si="44"/>
        <v>74087514</v>
      </c>
      <c r="AO108" s="24">
        <f>SUM(AO64:AO107)</f>
        <v>2023507</v>
      </c>
      <c r="AP108" s="16">
        <f>SUM(AP64:AP107)</f>
        <v>0.32025521301981436</v>
      </c>
      <c r="AQ108" s="8"/>
      <c r="AT108" s="22">
        <f>SUM(AT64:AT107)</f>
        <v>2666577</v>
      </c>
      <c r="AU108" s="22">
        <f>288+5724+60678+353566+288+5692+60606+352366+828+13616+93622+828+13568+93190+1014+16454+110287+2403+27111+166049+2280+28922+157130+3094+38132+185852+1848+23172+144564+1858+23172+150152+700+11700+91336+401774</f>
        <v>2643864</v>
      </c>
    </row>
    <row r="109" spans="1:47" x14ac:dyDescent="0.25">
      <c r="A109" s="8"/>
      <c r="B109" s="8"/>
      <c r="C109" s="8"/>
      <c r="D109" s="8"/>
      <c r="E109" s="8"/>
      <c r="F109" s="8"/>
      <c r="G109" s="8"/>
      <c r="H109" s="8"/>
      <c r="I109" s="16" t="s">
        <v>83</v>
      </c>
      <c r="J109" s="20">
        <f>SUM(O64:O107,U64:U99,AB109)</f>
        <v>296449443</v>
      </c>
      <c r="K109" s="8"/>
      <c r="L109" s="8"/>
      <c r="M109" s="8"/>
      <c r="N109" s="8"/>
      <c r="O109" s="22">
        <f>SUM(O64:O99)</f>
        <v>16149684</v>
      </c>
      <c r="P109" s="8"/>
      <c r="Q109" s="8"/>
      <c r="R109" s="8"/>
      <c r="S109" s="8"/>
      <c r="T109" s="8"/>
      <c r="U109" s="8"/>
      <c r="V109" s="8"/>
      <c r="W109" s="16" t="s">
        <v>85</v>
      </c>
      <c r="X109" s="16"/>
      <c r="Y109" s="28">
        <f>SUM(Y64:Y107)</f>
        <v>0.20840367769487281</v>
      </c>
      <c r="Z109" s="8"/>
      <c r="AA109" s="16" t="s">
        <v>83</v>
      </c>
      <c r="AB109" s="20">
        <f>SUM(AG64:AG102,AN64:AN98)</f>
        <v>93714405</v>
      </c>
      <c r="AC109" s="8"/>
      <c r="AD109" s="8"/>
      <c r="AE109" s="8"/>
      <c r="AF109" s="8"/>
      <c r="AG109" s="22">
        <f>SUM(AG64:AG99)</f>
        <v>16512651</v>
      </c>
      <c r="AH109" s="8"/>
      <c r="AI109" s="8"/>
      <c r="AJ109" s="8"/>
      <c r="AK109" s="8"/>
      <c r="AL109" s="8"/>
      <c r="AM109" s="8"/>
      <c r="AN109" s="8"/>
      <c r="AO109" s="16" t="s">
        <v>85</v>
      </c>
      <c r="AP109" s="16"/>
      <c r="AQ109" s="28">
        <f>SUM(AQ64:AQ107)</f>
        <v>1.6313463031032902E-2</v>
      </c>
      <c r="AT109" s="22">
        <f>AT108-AU108</f>
        <v>22713</v>
      </c>
    </row>
    <row r="110" spans="1:47" x14ac:dyDescent="0.25">
      <c r="A110" s="8"/>
      <c r="B110" s="8"/>
      <c r="C110" s="8"/>
      <c r="D110" s="8"/>
      <c r="E110" s="8"/>
      <c r="F110" s="8"/>
      <c r="G110" s="8"/>
      <c r="H110" s="8"/>
      <c r="I110" s="16" t="s">
        <v>84</v>
      </c>
      <c r="J110" s="27">
        <f>J109/(F79)</f>
        <v>5.348434674678888</v>
      </c>
      <c r="K110" s="8"/>
      <c r="L110" s="8"/>
      <c r="M110" s="8"/>
      <c r="N110" s="8"/>
      <c r="O110" s="22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16" t="s">
        <v>84</v>
      </c>
      <c r="AB110" s="47">
        <f>AB109/(F79)</f>
        <v>1.690761730386859</v>
      </c>
      <c r="AC110" s="8"/>
      <c r="AD110" s="8"/>
      <c r="AE110" s="8"/>
      <c r="AF110" s="8"/>
      <c r="AG110" s="22"/>
      <c r="AH110" s="8"/>
      <c r="AI110" s="8"/>
      <c r="AJ110" s="8"/>
      <c r="AK110" s="8"/>
      <c r="AL110" s="8"/>
      <c r="AM110" s="8"/>
      <c r="AN110" s="8"/>
      <c r="AO110" s="8"/>
      <c r="AP110" s="8"/>
      <c r="AQ110" s="8"/>
    </row>
    <row r="111" spans="1:47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47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22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25">
      <c r="A113" s="8"/>
      <c r="B113" s="1"/>
      <c r="C113" s="8"/>
      <c r="D113" s="8"/>
      <c r="E113" s="8"/>
      <c r="F113" s="8"/>
      <c r="G113" s="8"/>
      <c r="H113" s="8"/>
      <c r="I113" s="75" t="s">
        <v>104</v>
      </c>
      <c r="J113" s="53">
        <f>J109/F79</f>
        <v>5.348434674678888</v>
      </c>
      <c r="K113" s="8"/>
      <c r="L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x14ac:dyDescent="0.25">
      <c r="A114" s="8"/>
      <c r="B114" s="1"/>
      <c r="C114" s="8"/>
      <c r="D114" s="8"/>
      <c r="E114" s="8"/>
      <c r="F114" s="8"/>
      <c r="G114" s="8"/>
      <c r="H114" s="8"/>
      <c r="I114" s="49" t="s">
        <v>109</v>
      </c>
      <c r="J114" s="73">
        <f>J113*O137</f>
        <v>72.991848288552774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x14ac:dyDescent="0.25">
      <c r="A115" s="8"/>
      <c r="B115" s="1"/>
      <c r="C115" s="8"/>
      <c r="D115" s="8"/>
      <c r="E115" s="8"/>
      <c r="F115" s="8"/>
      <c r="G115" s="8"/>
      <c r="H115" s="8"/>
      <c r="I115" s="49" t="s">
        <v>124</v>
      </c>
      <c r="J115" s="73">
        <f>J114/10</f>
        <v>7.2991848288552772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x14ac:dyDescent="0.25">
      <c r="A116" s="8"/>
      <c r="B116" s="8"/>
      <c r="C116" s="8"/>
      <c r="D116" s="8"/>
      <c r="E116" s="8"/>
      <c r="F116" s="8"/>
      <c r="G116" s="8"/>
      <c r="H116" s="8"/>
      <c r="I116" s="76" t="s">
        <v>108</v>
      </c>
      <c r="J116" s="72">
        <f>(J43+J44+J45)*J114</f>
        <v>47014925.384836301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x14ac:dyDescent="0.25">
      <c r="A117" s="8"/>
      <c r="B117" s="8"/>
      <c r="C117" s="8"/>
      <c r="D117" s="8"/>
      <c r="G117" s="8"/>
      <c r="H117" s="8"/>
      <c r="I117" s="8"/>
      <c r="J117" s="8"/>
      <c r="K117" s="8"/>
      <c r="L117" s="8"/>
      <c r="M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x14ac:dyDescent="0.25">
      <c r="A119" s="49" t="s">
        <v>88</v>
      </c>
      <c r="B119" s="49">
        <f>J48</f>
        <v>0.57840172157273362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x14ac:dyDescent="0.25">
      <c r="A120" s="49" t="s">
        <v>102</v>
      </c>
      <c r="B120" s="50">
        <f>J116/F17</f>
        <v>0.3849808869753959</v>
      </c>
      <c r="D120" s="59">
        <f>B119+B120</f>
        <v>0.96338260854812952</v>
      </c>
      <c r="E120" s="16" t="s">
        <v>134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25">
      <c r="A121" s="49" t="s">
        <v>103</v>
      </c>
      <c r="B121" s="51">
        <f>B119+J113*D129*(1/(1-D130))</f>
        <v>0.96338260854812952</v>
      </c>
      <c r="D121" s="84">
        <f>B121</f>
        <v>0.96338260854812952</v>
      </c>
      <c r="E121" s="16" t="s">
        <v>135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x14ac:dyDescent="0.25">
      <c r="A123" s="16" t="s">
        <v>101</v>
      </c>
      <c r="B123" s="41"/>
      <c r="C123" s="42"/>
      <c r="D123" s="42"/>
      <c r="E123" s="42"/>
      <c r="F123" s="43"/>
      <c r="G123" s="8"/>
      <c r="H123" s="8"/>
      <c r="I123" s="16" t="s">
        <v>86</v>
      </c>
      <c r="J123" s="36"/>
      <c r="K123" s="36"/>
      <c r="L123" s="36"/>
      <c r="M123" s="36"/>
      <c r="N123" s="36"/>
      <c r="O123" s="37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x14ac:dyDescent="0.25">
      <c r="A124" s="35" t="s">
        <v>89</v>
      </c>
      <c r="B124" s="36">
        <v>5</v>
      </c>
      <c r="C124" s="36">
        <v>4</v>
      </c>
      <c r="D124" s="36">
        <v>3</v>
      </c>
      <c r="E124" s="36"/>
      <c r="F124" s="37"/>
      <c r="G124" s="8"/>
      <c r="H124" s="8"/>
      <c r="I124" s="35" t="s">
        <v>89</v>
      </c>
      <c r="J124" s="36">
        <v>5</v>
      </c>
      <c r="K124" s="36">
        <v>4</v>
      </c>
      <c r="L124" s="36">
        <v>3</v>
      </c>
      <c r="M124" s="36"/>
      <c r="N124" s="36"/>
      <c r="O124" s="37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x14ac:dyDescent="0.25">
      <c r="A125" s="11" t="s">
        <v>90</v>
      </c>
      <c r="B125" s="12">
        <v>10</v>
      </c>
      <c r="C125" s="12">
        <v>10</v>
      </c>
      <c r="D125" s="12">
        <v>10</v>
      </c>
      <c r="E125" s="12"/>
      <c r="F125" s="44" t="s">
        <v>96</v>
      </c>
      <c r="G125" s="8"/>
      <c r="H125" s="8"/>
      <c r="I125" s="11" t="s">
        <v>90</v>
      </c>
      <c r="J125" s="12">
        <v>10</v>
      </c>
      <c r="K125" s="12">
        <v>10</v>
      </c>
      <c r="L125" s="12">
        <v>10</v>
      </c>
      <c r="M125" s="12"/>
      <c r="N125" s="12"/>
      <c r="O125" s="44" t="s">
        <v>96</v>
      </c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x14ac:dyDescent="0.25">
      <c r="A126" s="11" t="s">
        <v>91</v>
      </c>
      <c r="B126" s="12">
        <f>Y45</f>
        <v>3.9796024249437153E-6</v>
      </c>
      <c r="C126" s="12">
        <f>Y44</f>
        <v>2.2551080408014389E-4</v>
      </c>
      <c r="D126" s="12">
        <f>Y43</f>
        <v>5.0448093406869838E-3</v>
      </c>
      <c r="E126" s="12">
        <f>SUM(B126:D126)</f>
        <v>5.2742997471920718E-3</v>
      </c>
      <c r="F126" s="45">
        <f>1/E126</f>
        <v>189.59862880989638</v>
      </c>
      <c r="G126" s="8"/>
      <c r="H126" s="8"/>
      <c r="I126" s="11" t="s">
        <v>91</v>
      </c>
      <c r="J126" s="12">
        <f>Y107</f>
        <v>7.0145903479236819E-5</v>
      </c>
      <c r="K126" s="12">
        <f>Y106</f>
        <v>2.1043771043771043E-3</v>
      </c>
      <c r="L126" s="12">
        <f>Y105</f>
        <v>2.4551066217732884E-2</v>
      </c>
      <c r="M126" s="12">
        <f>SUM(J126:L126)</f>
        <v>2.6725589225589225E-2</v>
      </c>
      <c r="N126" s="12">
        <f>SUM(J126:L126)</f>
        <v>2.6725589225589225E-2</v>
      </c>
      <c r="O126" s="45">
        <f>1/N126</f>
        <v>37.417322834645667</v>
      </c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x14ac:dyDescent="0.25">
      <c r="A127" s="11" t="s">
        <v>92</v>
      </c>
      <c r="B127" s="12">
        <f>B125*B126</f>
        <v>3.9796024249437151E-5</v>
      </c>
      <c r="C127" s="12">
        <f>C125*C126</f>
        <v>2.2551080408014391E-3</v>
      </c>
      <c r="D127" s="12">
        <f>D125*D126</f>
        <v>5.0448093406869836E-2</v>
      </c>
      <c r="E127" s="12">
        <f>SUM(B127:D127)</f>
        <v>5.2742997471920711E-2</v>
      </c>
      <c r="F127" s="38"/>
      <c r="G127" s="8"/>
      <c r="H127" s="8"/>
      <c r="I127" s="11" t="s">
        <v>92</v>
      </c>
      <c r="J127" s="12">
        <f>J125*J126</f>
        <v>7.0145903479236819E-4</v>
      </c>
      <c r="K127" s="12">
        <f>K125*K126</f>
        <v>2.1043771043771045E-2</v>
      </c>
      <c r="L127" s="12">
        <f>L125*L126</f>
        <v>0.24551066217732884</v>
      </c>
      <c r="M127" s="12"/>
      <c r="N127" s="12">
        <f>SUM(J127:L127)</f>
        <v>0.26725589225589225</v>
      </c>
      <c r="O127" s="3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x14ac:dyDescent="0.25">
      <c r="A128" s="11"/>
      <c r="B128" s="12"/>
      <c r="C128" s="12"/>
      <c r="D128" s="12"/>
      <c r="E128" s="12"/>
      <c r="F128" s="38"/>
      <c r="G128" s="8"/>
      <c r="H128" s="8"/>
      <c r="I128" s="11" t="s">
        <v>105</v>
      </c>
      <c r="J128" s="12">
        <f>3*K107</f>
        <v>1500</v>
      </c>
      <c r="K128" s="12">
        <f>3*K106</f>
        <v>60</v>
      </c>
      <c r="L128" s="12">
        <f>3*K105</f>
        <v>15</v>
      </c>
      <c r="M128" s="12"/>
      <c r="N128" s="12"/>
      <c r="O128" s="3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x14ac:dyDescent="0.25">
      <c r="A129" s="35" t="s">
        <v>93</v>
      </c>
      <c r="B129" s="36"/>
      <c r="C129" s="36"/>
      <c r="D129" s="37">
        <f>B125*B126+C125*C126+D125*D126</f>
        <v>5.2742997471920711E-2</v>
      </c>
      <c r="E129" s="12"/>
      <c r="F129" s="38"/>
      <c r="G129" s="8"/>
      <c r="H129" s="8"/>
      <c r="I129" s="11"/>
      <c r="J129" s="12"/>
      <c r="K129" s="12"/>
      <c r="M129" s="12"/>
      <c r="N129" s="12"/>
      <c r="O129" s="4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x14ac:dyDescent="0.25">
      <c r="A130" s="11" t="s">
        <v>94</v>
      </c>
      <c r="B130" s="12"/>
      <c r="C130" s="12"/>
      <c r="D130" s="38">
        <f>J125*J126+K125*K126+L125*L126</f>
        <v>0.26725589225589225</v>
      </c>
      <c r="E130" s="12"/>
      <c r="F130" s="38"/>
      <c r="G130" s="8"/>
      <c r="H130" s="8"/>
      <c r="I130" s="11" t="s">
        <v>133</v>
      </c>
      <c r="J130" s="8">
        <f>SQRT(M108+V108+AE108+AL108)</f>
        <v>12.872590745090575</v>
      </c>
      <c r="L130" s="12"/>
      <c r="M130" s="12"/>
      <c r="N130" s="12"/>
      <c r="O130" s="4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x14ac:dyDescent="0.25">
      <c r="A131" s="11" t="s">
        <v>95</v>
      </c>
      <c r="B131" s="12"/>
      <c r="C131" s="12"/>
      <c r="D131" s="38">
        <f>10*E126*(1/1-10*M126)</f>
        <v>3.8647120622312271E-2</v>
      </c>
      <c r="E131" s="12"/>
      <c r="F131" s="38"/>
      <c r="G131" s="8"/>
      <c r="H131" s="8"/>
      <c r="I131" s="11"/>
      <c r="J131" s="12"/>
      <c r="K131" s="12"/>
      <c r="L131" s="12"/>
      <c r="M131" s="12"/>
      <c r="O131" s="4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x14ac:dyDescent="0.25">
      <c r="A132" s="14" t="s">
        <v>132</v>
      </c>
      <c r="B132" s="15"/>
      <c r="C132" s="83"/>
      <c r="D132" s="40">
        <f>SQRT(V46+M46)</f>
        <v>7.5725484680507966</v>
      </c>
      <c r="E132" s="12"/>
      <c r="F132" s="38"/>
      <c r="G132" s="8"/>
      <c r="H132" s="8"/>
      <c r="I132" s="11"/>
      <c r="J132" s="12"/>
      <c r="K132" s="12"/>
      <c r="L132" s="12"/>
      <c r="M132" s="12"/>
      <c r="N132" s="12"/>
      <c r="O132" s="4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x14ac:dyDescent="0.25">
      <c r="A133" s="11"/>
      <c r="B133" s="12"/>
      <c r="C133" s="12"/>
      <c r="D133" s="12"/>
      <c r="E133" s="12"/>
      <c r="F133" s="38"/>
      <c r="G133" s="8"/>
      <c r="H133" s="8"/>
      <c r="I133" s="11"/>
      <c r="J133" s="12"/>
      <c r="K133" s="12"/>
      <c r="L133" s="12"/>
      <c r="M133" s="12"/>
      <c r="N133" s="12" t="s">
        <v>106</v>
      </c>
      <c r="O133" s="38">
        <f>(1/(1-N127))</f>
        <v>1.3647329121194716</v>
      </c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x14ac:dyDescent="0.25">
      <c r="A134" s="14"/>
      <c r="B134" s="15"/>
      <c r="C134" s="39"/>
      <c r="D134" s="15"/>
      <c r="E134" s="15"/>
      <c r="F134" s="40"/>
      <c r="G134" s="8"/>
      <c r="H134" s="8"/>
      <c r="I134" s="14"/>
      <c r="J134" s="15"/>
      <c r="K134" s="39"/>
      <c r="L134" s="15"/>
      <c r="M134" s="15"/>
      <c r="N134" s="12"/>
      <c r="O134" s="4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x14ac:dyDescent="0.25">
      <c r="N135" s="46"/>
      <c r="O135" s="48"/>
    </row>
    <row r="136" spans="1:29" x14ac:dyDescent="0.25">
      <c r="N136" s="46"/>
      <c r="O136" s="38"/>
    </row>
    <row r="137" spans="1:29" x14ac:dyDescent="0.25">
      <c r="N137" s="52" t="s">
        <v>107</v>
      </c>
      <c r="O137" s="71">
        <f>O133*10</f>
        <v>13.647329121194716</v>
      </c>
    </row>
    <row r="141" spans="1:29" x14ac:dyDescent="0.25">
      <c r="L141" s="59"/>
      <c r="M141" s="87" t="s">
        <v>126</v>
      </c>
    </row>
    <row r="142" spans="1:29" x14ac:dyDescent="0.25">
      <c r="A142" s="54" t="s">
        <v>110</v>
      </c>
      <c r="B142" s="54" t="s">
        <v>111</v>
      </c>
      <c r="C142" s="55" t="s">
        <v>112</v>
      </c>
      <c r="D142" s="54" t="s">
        <v>113</v>
      </c>
      <c r="E142" s="54" t="s">
        <v>114</v>
      </c>
      <c r="F142" s="54" t="s">
        <v>115</v>
      </c>
      <c r="I142" s="54" t="s">
        <v>125</v>
      </c>
      <c r="J142" s="81">
        <f>M46+V46+V108+M108+AE108+AL108</f>
        <v>223.04708279156998</v>
      </c>
      <c r="L142" s="87" t="s">
        <v>101</v>
      </c>
      <c r="M142" s="81">
        <f>SQRT(M46+V46)</f>
        <v>7.5725484680507966</v>
      </c>
    </row>
    <row r="143" spans="1:29" x14ac:dyDescent="0.25">
      <c r="A143" s="59">
        <v>2</v>
      </c>
      <c r="B143" s="23">
        <f>D143*A143</f>
        <v>2740218</v>
      </c>
      <c r="C143" s="67">
        <f>B143/$A$162</f>
        <v>9.6937967858097378E-3</v>
      </c>
      <c r="D143" s="23">
        <f>J2+J30+J34+Q2+Q30+Q34</f>
        <v>1370109</v>
      </c>
      <c r="E143" s="60">
        <f>D143/$D$162</f>
        <v>0.11799664864504548</v>
      </c>
      <c r="F143" s="70">
        <f>$F$17/D143</f>
        <v>89.133603238866399</v>
      </c>
      <c r="I143" s="54" t="s">
        <v>126</v>
      </c>
      <c r="J143" s="80">
        <f>SQRT(J142)</f>
        <v>14.934760888329279</v>
      </c>
      <c r="L143" s="87" t="s">
        <v>86</v>
      </c>
      <c r="M143" s="59">
        <f>SQRT(V108+M108+AE108+AL108)</f>
        <v>12.872590745090575</v>
      </c>
    </row>
    <row r="144" spans="1:29" x14ac:dyDescent="0.25">
      <c r="A144" s="59">
        <v>5</v>
      </c>
      <c r="B144" s="23">
        <f t="shared" ref="B144:B158" si="45">D144*A144</f>
        <v>5500345</v>
      </c>
      <c r="C144" s="67">
        <f t="shared" ref="C144:C158" si="46">B144/$A$162</f>
        <v>1.9458023661564395E-2</v>
      </c>
      <c r="D144" s="23">
        <f>J3+J6+J9+J12+Q3+Q6+Q9+Q12</f>
        <v>1100069</v>
      </c>
      <c r="E144" s="60">
        <f t="shared" ref="E144:E159" si="47">D144/$D$162</f>
        <v>9.4740239848294217E-2</v>
      </c>
      <c r="F144" s="70">
        <f t="shared" ref="F144:F159" si="48">$F$17/D144</f>
        <v>111.01372004846969</v>
      </c>
      <c r="I144" s="54" t="s">
        <v>127</v>
      </c>
      <c r="J144" s="59">
        <f>1.96*J143</f>
        <v>29.272131341125387</v>
      </c>
      <c r="M144" s="86"/>
    </row>
    <row r="145" spans="1:13" x14ac:dyDescent="0.25">
      <c r="A145" s="59">
        <v>10</v>
      </c>
      <c r="B145" s="23">
        <f t="shared" si="45"/>
        <v>3983520</v>
      </c>
      <c r="C145" s="67">
        <f t="shared" si="46"/>
        <v>1.4092102661981203E-2</v>
      </c>
      <c r="D145" s="23">
        <f>J15+J18+J38+Q15+Q18</f>
        <v>398352</v>
      </c>
      <c r="E145" s="60">
        <f t="shared" si="47"/>
        <v>3.4306906225016517E-2</v>
      </c>
      <c r="F145" s="70">
        <f t="shared" si="48"/>
        <v>306.56994818652851</v>
      </c>
    </row>
    <row r="146" spans="1:13" x14ac:dyDescent="0.25">
      <c r="A146" s="59">
        <v>15</v>
      </c>
      <c r="B146" s="23">
        <f t="shared" si="45"/>
        <v>2141400</v>
      </c>
      <c r="C146" s="67">
        <f t="shared" si="46"/>
        <v>7.575417881764507E-3</v>
      </c>
      <c r="D146" s="23">
        <f>J21+J27+Q21+Q27</f>
        <v>142760</v>
      </c>
      <c r="E146" s="60">
        <f t="shared" si="47"/>
        <v>1.2294789363887613E-2</v>
      </c>
      <c r="F146" s="70">
        <f t="shared" si="48"/>
        <v>855.44096385542173</v>
      </c>
    </row>
    <row r="147" spans="1:13" x14ac:dyDescent="0.25">
      <c r="A147" s="59">
        <v>20</v>
      </c>
      <c r="B147" s="23">
        <f t="shared" si="45"/>
        <v>137325180</v>
      </c>
      <c r="C147" s="67">
        <f t="shared" si="46"/>
        <v>0.48580163640073298</v>
      </c>
      <c r="D147" s="23">
        <f>J24+J42+Q24</f>
        <v>6866259</v>
      </c>
      <c r="E147" s="60">
        <f t="shared" si="47"/>
        <v>0.59133656572497617</v>
      </c>
      <c r="F147" s="70">
        <f t="shared" si="48"/>
        <v>17.785922727354151</v>
      </c>
      <c r="I147" s="54" t="s">
        <v>129</v>
      </c>
      <c r="J147" s="59">
        <v>10000</v>
      </c>
      <c r="K147" s="59">
        <v>100000</v>
      </c>
      <c r="L147" s="59">
        <v>1000000</v>
      </c>
      <c r="M147" s="82">
        <v>10000000</v>
      </c>
    </row>
    <row r="148" spans="1:13" x14ac:dyDescent="0.25">
      <c r="A148" s="59">
        <v>25</v>
      </c>
      <c r="B148" s="23">
        <f t="shared" si="45"/>
        <v>5847325</v>
      </c>
      <c r="C148" s="67">
        <f t="shared" si="46"/>
        <v>2.0685500310772691E-2</v>
      </c>
      <c r="D148" s="23">
        <f>J4+J7+J10+J13+J31+J35+Q4+Q7+Q10+Q13+Q31+Q35</f>
        <v>233893</v>
      </c>
      <c r="E148" s="60">
        <f t="shared" si="47"/>
        <v>2.0143353661304046E-2</v>
      </c>
      <c r="F148" s="70">
        <f t="shared" si="48"/>
        <v>522.13085470706687</v>
      </c>
      <c r="I148" s="59" t="s">
        <v>128</v>
      </c>
      <c r="J148" s="59">
        <f>J144/SQRT(10000)</f>
        <v>0.29272131341125385</v>
      </c>
      <c r="K148" s="59">
        <f>J144/SQRT(100000)</f>
        <v>9.2566607005555468E-2</v>
      </c>
      <c r="L148" s="59">
        <f>J144/SQRT(1000000)</f>
        <v>2.9272131341125388E-2</v>
      </c>
      <c r="M148" s="59">
        <f>J144/SQRT(10000000)</f>
        <v>9.2566607005555475E-3</v>
      </c>
    </row>
    <row r="149" spans="1:13" x14ac:dyDescent="0.25">
      <c r="A149" s="59">
        <v>50</v>
      </c>
      <c r="B149" s="23">
        <f t="shared" si="45"/>
        <v>33336150</v>
      </c>
      <c r="C149" s="67">
        <f t="shared" si="46"/>
        <v>0.11792998357111416</v>
      </c>
      <c r="D149" s="23">
        <f>J16+J19+J43+Q16+Q19</f>
        <v>666723</v>
      </c>
      <c r="E149" s="60">
        <f t="shared" si="47"/>
        <v>5.7419577255948734E-2</v>
      </c>
      <c r="F149" s="70">
        <f t="shared" si="48"/>
        <v>183.16865024905397</v>
      </c>
      <c r="I149" s="82" t="s">
        <v>130</v>
      </c>
      <c r="J149" s="59">
        <f>D121-J148</f>
        <v>0.67066129513687567</v>
      </c>
      <c r="K149" s="59">
        <f>D121-K148</f>
        <v>0.8708160015425741</v>
      </c>
      <c r="L149" s="59">
        <f>D121-L148</f>
        <v>0.93411047720700413</v>
      </c>
      <c r="M149" s="59">
        <f>D121-M148</f>
        <v>0.95412594784757399</v>
      </c>
    </row>
    <row r="150" spans="1:13" x14ac:dyDescent="0.25">
      <c r="A150" s="59">
        <v>75</v>
      </c>
      <c r="B150" s="23">
        <f t="shared" si="45"/>
        <v>1739400</v>
      </c>
      <c r="C150" s="67">
        <f t="shared" si="46"/>
        <v>6.1533024486509682E-3</v>
      </c>
      <c r="D150" s="23">
        <f>J22+J28+Q22+Q28</f>
        <v>23192</v>
      </c>
      <c r="E150" s="60">
        <f t="shared" si="47"/>
        <v>1.9973434780560487E-3</v>
      </c>
      <c r="F150" s="70">
        <f t="shared" si="48"/>
        <v>5265.7274922387032</v>
      </c>
      <c r="I150" s="82" t="s">
        <v>131</v>
      </c>
      <c r="J150" s="59">
        <f>D121+J148</f>
        <v>1.2561039219593835</v>
      </c>
      <c r="K150" s="59">
        <f>D121+K148</f>
        <v>1.0559492155536849</v>
      </c>
      <c r="L150" s="59">
        <f>D121+L148</f>
        <v>0.9926547398892549</v>
      </c>
      <c r="M150" s="59">
        <f>D121+M148</f>
        <v>0.97263926924868505</v>
      </c>
    </row>
    <row r="151" spans="1:13" x14ac:dyDescent="0.25">
      <c r="A151" s="59">
        <v>100</v>
      </c>
      <c r="B151" s="23">
        <f t="shared" si="45"/>
        <v>2727700</v>
      </c>
      <c r="C151" s="67">
        <f t="shared" si="46"/>
        <v>9.6495131017507452E-3</v>
      </c>
      <c r="D151" s="23">
        <f>J5+J8+J11+J14+J25+Q5+Q8+Q11+Q14+Q25</f>
        <v>27277</v>
      </c>
      <c r="E151" s="60">
        <f t="shared" si="47"/>
        <v>2.3491522098540375E-3</v>
      </c>
      <c r="F151" s="70">
        <f t="shared" si="48"/>
        <v>4477.1328225244715</v>
      </c>
    </row>
    <row r="152" spans="1:13" x14ac:dyDescent="0.25">
      <c r="A152" s="59">
        <v>125</v>
      </c>
      <c r="B152" s="23">
        <f t="shared" si="45"/>
        <v>1969750</v>
      </c>
      <c r="C152" s="67">
        <f t="shared" si="46"/>
        <v>6.9681887422273448E-3</v>
      </c>
      <c r="D152" s="23">
        <f>J17+J20+J32+J36+Q17+Q20+Q32+Q36</f>
        <v>15758</v>
      </c>
      <c r="E152" s="60">
        <f t="shared" si="47"/>
        <v>1.3571118716457062E-3</v>
      </c>
      <c r="F152" s="70">
        <f t="shared" si="48"/>
        <v>7749.8890722172864</v>
      </c>
    </row>
    <row r="153" spans="1:13" x14ac:dyDescent="0.25">
      <c r="A153" s="59">
        <v>200</v>
      </c>
      <c r="B153" s="23">
        <f t="shared" si="45"/>
        <v>23328000</v>
      </c>
      <c r="C153" s="67">
        <f t="shared" si="46"/>
        <v>8.2525146327543861E-2</v>
      </c>
      <c r="D153" s="23">
        <f>J106</f>
        <v>116640</v>
      </c>
      <c r="E153" s="60">
        <f t="shared" si="47"/>
        <v>1.0045280410506103E-2</v>
      </c>
      <c r="F153" s="70">
        <f t="shared" si="48"/>
        <v>1047.0057613168724</v>
      </c>
    </row>
    <row r="154" spans="1:13" x14ac:dyDescent="0.25">
      <c r="A154" s="59">
        <v>250</v>
      </c>
      <c r="B154" s="23">
        <f t="shared" si="45"/>
        <v>1026250</v>
      </c>
      <c r="C154" s="67">
        <f t="shared" si="46"/>
        <v>3.6304625951063905E-3</v>
      </c>
      <c r="D154" s="23">
        <f>J23+Q23+J29+Q29+J39</f>
        <v>4105</v>
      </c>
      <c r="E154" s="60">
        <f t="shared" si="47"/>
        <v>3.535311735693377E-4</v>
      </c>
      <c r="F154" s="70">
        <f t="shared" si="48"/>
        <v>29749.756881851401</v>
      </c>
    </row>
    <row r="155" spans="1:13" x14ac:dyDescent="0.25">
      <c r="A155" s="59">
        <v>400</v>
      </c>
      <c r="B155" s="23">
        <f t="shared" si="45"/>
        <v>374400</v>
      </c>
      <c r="C155" s="67">
        <f t="shared" si="46"/>
        <v>1.3244776571087284E-3</v>
      </c>
      <c r="D155" s="23">
        <f>J88+Q88</f>
        <v>936</v>
      </c>
      <c r="E155" s="60">
        <f t="shared" si="47"/>
        <v>8.0610274899123039E-5</v>
      </c>
      <c r="F155" s="70">
        <f t="shared" si="48"/>
        <v>130473.02564102564</v>
      </c>
    </row>
    <row r="156" spans="1:13" x14ac:dyDescent="0.25">
      <c r="A156" s="59">
        <v>750</v>
      </c>
      <c r="B156" s="23">
        <f t="shared" si="45"/>
        <v>456000</v>
      </c>
      <c r="C156" s="67">
        <f t="shared" si="46"/>
        <v>1.6131458644272976E-3</v>
      </c>
      <c r="D156" s="23">
        <f>J95+J99+Q95+Q99</f>
        <v>608</v>
      </c>
      <c r="E156" s="60">
        <f t="shared" si="47"/>
        <v>5.2362229849003001E-5</v>
      </c>
      <c r="F156" s="70">
        <f t="shared" si="48"/>
        <v>200859.78947368421</v>
      </c>
    </row>
    <row r="157" spans="1:13" x14ac:dyDescent="0.25">
      <c r="A157" s="59">
        <v>2500</v>
      </c>
      <c r="B157" s="23">
        <f t="shared" si="45"/>
        <v>350000</v>
      </c>
      <c r="C157" s="67">
        <f t="shared" si="46"/>
        <v>1.2381602029595486E-3</v>
      </c>
      <c r="D157" s="23">
        <f>J102</f>
        <v>140</v>
      </c>
      <c r="E157" s="60">
        <f t="shared" si="47"/>
        <v>1.2057092399441481E-5</v>
      </c>
      <c r="F157" s="70">
        <f t="shared" si="48"/>
        <v>872305.37142857141</v>
      </c>
    </row>
    <row r="158" spans="1:13" x14ac:dyDescent="0.25">
      <c r="A158" s="59">
        <v>5000</v>
      </c>
      <c r="B158" s="23">
        <f t="shared" si="45"/>
        <v>2430000</v>
      </c>
      <c r="C158" s="67">
        <f t="shared" si="46"/>
        <v>8.5963694091191513E-3</v>
      </c>
      <c r="D158" s="23">
        <f>J45</f>
        <v>486</v>
      </c>
      <c r="E158" s="60">
        <f t="shared" si="47"/>
        <v>4.185533504377543E-5</v>
      </c>
      <c r="F158" s="70">
        <f t="shared" si="48"/>
        <v>251281.38271604938</v>
      </c>
    </row>
    <row r="159" spans="1:13" x14ac:dyDescent="0.25">
      <c r="A159" s="59">
        <v>9000</v>
      </c>
      <c r="B159" s="23">
        <f>D159*A159</f>
        <v>36000</v>
      </c>
      <c r="C159" s="67">
        <f>B159/$A$162</f>
        <v>1.2735362087583929E-4</v>
      </c>
      <c r="D159" s="23">
        <f>J103</f>
        <v>4</v>
      </c>
      <c r="E159" s="60">
        <f t="shared" si="47"/>
        <v>3.4448835426975659E-7</v>
      </c>
      <c r="F159" s="70">
        <f t="shared" si="48"/>
        <v>30530688</v>
      </c>
    </row>
    <row r="160" spans="1:13" x14ac:dyDescent="0.25">
      <c r="A160" s="61">
        <f>J114</f>
        <v>72.991848288552774</v>
      </c>
      <c r="B160" s="62">
        <f>D160*A160</f>
        <v>47014925.384836301</v>
      </c>
      <c r="C160" s="68">
        <f>B120</f>
        <v>0.3849808869753959</v>
      </c>
      <c r="D160" s="62">
        <f>J43+J44+J45</f>
        <v>644112</v>
      </c>
      <c r="E160" s="64">
        <f>D160/$D$162</f>
        <v>5.5472270711350365E-2</v>
      </c>
      <c r="F160" s="63">
        <f>$F$17/D160</f>
        <v>189.59862880989641</v>
      </c>
      <c r="G160" s="63" t="s">
        <v>122</v>
      </c>
    </row>
    <row r="161" spans="1:6" x14ac:dyDescent="0.25">
      <c r="A161" s="56" t="s">
        <v>116</v>
      </c>
      <c r="B161" s="56" t="s">
        <v>117</v>
      </c>
      <c r="C161" s="57" t="s">
        <v>118</v>
      </c>
      <c r="D161" s="58" t="s">
        <v>119</v>
      </c>
      <c r="E161" s="58" t="s">
        <v>120</v>
      </c>
      <c r="F161" s="58" t="s">
        <v>121</v>
      </c>
    </row>
    <row r="162" spans="1:6" x14ac:dyDescent="0.25">
      <c r="A162" s="23">
        <f>B162/C162</f>
        <v>282677475.1469174</v>
      </c>
      <c r="B162" s="23">
        <f>SUM(B143:B160)</f>
        <v>272326563.38483632</v>
      </c>
      <c r="C162" s="65">
        <f>B121</f>
        <v>0.96338260854812952</v>
      </c>
      <c r="D162" s="23">
        <f>SUM(D143:D160)</f>
        <v>11611423</v>
      </c>
      <c r="E162" s="66">
        <v>1</v>
      </c>
      <c r="F162" s="70">
        <f>F17/D162</f>
        <v>10.517466463843407</v>
      </c>
    </row>
    <row r="164" spans="1:6" x14ac:dyDescent="0.25">
      <c r="C164" s="69"/>
    </row>
    <row r="166" spans="1:6" x14ac:dyDescent="0.25">
      <c r="B166" s="22"/>
      <c r="C166" s="69"/>
    </row>
    <row r="167" spans="1:6" x14ac:dyDescent="0.25">
      <c r="B167" s="22"/>
      <c r="C167" s="69"/>
    </row>
    <row r="168" spans="1:6" x14ac:dyDescent="0.25">
      <c r="C168" s="69"/>
    </row>
    <row r="169" spans="1:6" x14ac:dyDescent="0.25">
      <c r="B169" s="22"/>
    </row>
  </sheetData>
  <conditionalFormatting sqref="Y2:Y45">
    <cfRule type="cellIs" priority="5" operator="greaterThanOrEqual">
      <formula>0</formula>
    </cfRule>
  </conditionalFormatting>
  <conditionalFormatting sqref="AQ64:AQ107">
    <cfRule type="cellIs" priority="1" operator="greaterThanOrEqual">
      <formula>0</formula>
    </cfRule>
  </conditionalFormatting>
  <conditionalFormatting sqref="Y64:Y107">
    <cfRule type="cellIs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99"/>
  <sheetViews>
    <sheetView topLeftCell="A55" zoomScale="70" zoomScaleNormal="70" workbookViewId="0">
      <selection activeCell="P82" sqref="P82"/>
    </sheetView>
  </sheetViews>
  <sheetFormatPr defaultRowHeight="15" x14ac:dyDescent="0.25"/>
  <cols>
    <col min="1" max="1" width="14.28515625" customWidth="1"/>
    <col min="16" max="16" width="16.28515625" customWidth="1"/>
    <col min="17" max="17" width="19" customWidth="1"/>
  </cols>
  <sheetData>
    <row r="2" spans="1:16" x14ac:dyDescent="0.25">
      <c r="A2" t="s">
        <v>72</v>
      </c>
      <c r="J2" t="s">
        <v>79</v>
      </c>
    </row>
    <row r="3" spans="1:16" x14ac:dyDescent="0.25">
      <c r="A3" t="s">
        <v>73</v>
      </c>
      <c r="B3">
        <v>32</v>
      </c>
      <c r="C3">
        <v>48</v>
      </c>
      <c r="D3">
        <v>43</v>
      </c>
      <c r="E3">
        <v>43</v>
      </c>
      <c r="F3">
        <v>43</v>
      </c>
      <c r="J3" t="s">
        <v>73</v>
      </c>
      <c r="K3">
        <v>32</v>
      </c>
      <c r="L3">
        <v>48</v>
      </c>
      <c r="M3">
        <v>43</v>
      </c>
      <c r="N3">
        <v>43</v>
      </c>
      <c r="O3">
        <v>43</v>
      </c>
    </row>
    <row r="4" spans="1:16" x14ac:dyDescent="0.25">
      <c r="B4" t="s">
        <v>74</v>
      </c>
      <c r="C4" t="s">
        <v>74</v>
      </c>
      <c r="D4" t="s">
        <v>74</v>
      </c>
      <c r="E4" t="s">
        <v>74</v>
      </c>
      <c r="F4" t="s">
        <v>74</v>
      </c>
      <c r="G4" t="s">
        <v>80</v>
      </c>
      <c r="K4" t="s">
        <v>74</v>
      </c>
      <c r="L4" t="s">
        <v>74</v>
      </c>
      <c r="M4" t="s">
        <v>77</v>
      </c>
      <c r="N4" t="s">
        <v>77</v>
      </c>
      <c r="O4" t="s">
        <v>77</v>
      </c>
    </row>
    <row r="5" spans="1:16" x14ac:dyDescent="0.25">
      <c r="A5" t="s">
        <v>75</v>
      </c>
      <c r="B5">
        <f>Sheet1!B13</f>
        <v>1</v>
      </c>
      <c r="C5">
        <f>Sheet1!C13</f>
        <v>2</v>
      </c>
      <c r="D5">
        <f>Sheet1!D13</f>
        <v>1</v>
      </c>
      <c r="E5">
        <f>Sheet1!E13</f>
        <v>1</v>
      </c>
      <c r="F5">
        <f>Sheet1!F13</f>
        <v>1</v>
      </c>
      <c r="G5" s="2">
        <f>3*B5*3*C5*3*D5*3*E5*3*F5</f>
        <v>486</v>
      </c>
      <c r="K5" t="s">
        <v>74</v>
      </c>
      <c r="L5" t="s">
        <v>77</v>
      </c>
      <c r="M5" t="s">
        <v>74</v>
      </c>
      <c r="N5" t="s">
        <v>77</v>
      </c>
      <c r="O5" t="s">
        <v>77</v>
      </c>
    </row>
    <row r="6" spans="1:16" x14ac:dyDescent="0.25">
      <c r="K6" t="s">
        <v>74</v>
      </c>
      <c r="L6" t="s">
        <v>77</v>
      </c>
      <c r="M6" t="s">
        <v>77</v>
      </c>
      <c r="N6" t="s">
        <v>74</v>
      </c>
      <c r="O6" t="s">
        <v>77</v>
      </c>
    </row>
    <row r="7" spans="1:16" x14ac:dyDescent="0.25">
      <c r="K7" t="s">
        <v>74</v>
      </c>
      <c r="L7" t="s">
        <v>77</v>
      </c>
      <c r="M7" t="s">
        <v>77</v>
      </c>
      <c r="N7" t="s">
        <v>77</v>
      </c>
      <c r="O7" t="s">
        <v>74</v>
      </c>
    </row>
    <row r="8" spans="1:16" x14ac:dyDescent="0.25">
      <c r="A8" t="s">
        <v>76</v>
      </c>
      <c r="K8" t="s">
        <v>77</v>
      </c>
      <c r="L8" t="s">
        <v>74</v>
      </c>
      <c r="M8" t="s">
        <v>74</v>
      </c>
      <c r="N8" t="s">
        <v>77</v>
      </c>
      <c r="O8" t="s">
        <v>77</v>
      </c>
    </row>
    <row r="9" spans="1:16" x14ac:dyDescent="0.25">
      <c r="A9" t="s">
        <v>73</v>
      </c>
      <c r="B9">
        <v>32</v>
      </c>
      <c r="C9">
        <v>48</v>
      </c>
      <c r="D9">
        <v>43</v>
      </c>
      <c r="E9">
        <v>43</v>
      </c>
      <c r="F9">
        <v>43</v>
      </c>
      <c r="K9" t="s">
        <v>77</v>
      </c>
      <c r="L9" t="s">
        <v>74</v>
      </c>
      <c r="M9" t="s">
        <v>77</v>
      </c>
      <c r="N9" t="s">
        <v>74</v>
      </c>
      <c r="O9" t="s">
        <v>77</v>
      </c>
    </row>
    <row r="10" spans="1:16" x14ac:dyDescent="0.25">
      <c r="B10" t="s">
        <v>74</v>
      </c>
      <c r="C10" t="s">
        <v>74</v>
      </c>
      <c r="D10" t="s">
        <v>74</v>
      </c>
      <c r="E10" t="s">
        <v>74</v>
      </c>
      <c r="F10" t="s">
        <v>77</v>
      </c>
      <c r="K10" t="s">
        <v>77</v>
      </c>
      <c r="L10" t="s">
        <v>74</v>
      </c>
      <c r="M10" t="s">
        <v>77</v>
      </c>
      <c r="N10" t="s">
        <v>77</v>
      </c>
      <c r="O10" t="s">
        <v>74</v>
      </c>
    </row>
    <row r="11" spans="1:16" x14ac:dyDescent="0.25">
      <c r="B11" t="s">
        <v>74</v>
      </c>
      <c r="C11" t="s">
        <v>74</v>
      </c>
      <c r="D11" t="s">
        <v>74</v>
      </c>
      <c r="E11" t="s">
        <v>77</v>
      </c>
      <c r="F11" t="s">
        <v>74</v>
      </c>
      <c r="K11" t="s">
        <v>77</v>
      </c>
      <c r="L11" t="s">
        <v>77</v>
      </c>
      <c r="M11" t="s">
        <v>74</v>
      </c>
      <c r="N11" t="s">
        <v>74</v>
      </c>
      <c r="O11" t="s">
        <v>77</v>
      </c>
    </row>
    <row r="12" spans="1:16" x14ac:dyDescent="0.25">
      <c r="B12" t="s">
        <v>74</v>
      </c>
      <c r="C12" t="s">
        <v>74</v>
      </c>
      <c r="D12" t="s">
        <v>77</v>
      </c>
      <c r="E12" t="s">
        <v>74</v>
      </c>
      <c r="F12" t="s">
        <v>74</v>
      </c>
      <c r="K12" t="s">
        <v>77</v>
      </c>
      <c r="L12" t="s">
        <v>77</v>
      </c>
      <c r="M12" t="s">
        <v>77</v>
      </c>
      <c r="N12" t="s">
        <v>74</v>
      </c>
      <c r="O12" t="s">
        <v>74</v>
      </c>
    </row>
    <row r="13" spans="1:16" x14ac:dyDescent="0.25">
      <c r="B13" t="s">
        <v>74</v>
      </c>
      <c r="C13" t="s">
        <v>77</v>
      </c>
      <c r="D13" t="s">
        <v>74</v>
      </c>
      <c r="E13" t="s">
        <v>74</v>
      </c>
      <c r="F13" t="s">
        <v>74</v>
      </c>
      <c r="K13" t="s">
        <v>77</v>
      </c>
      <c r="L13" t="s">
        <v>77</v>
      </c>
      <c r="M13" t="s">
        <v>74</v>
      </c>
      <c r="N13" t="s">
        <v>77</v>
      </c>
      <c r="O13" t="s">
        <v>74</v>
      </c>
    </row>
    <row r="14" spans="1:16" x14ac:dyDescent="0.25">
      <c r="B14" t="s">
        <v>77</v>
      </c>
      <c r="C14" t="s">
        <v>74</v>
      </c>
      <c r="D14" t="s">
        <v>74</v>
      </c>
      <c r="E14" t="s">
        <v>74</v>
      </c>
      <c r="F14" t="s">
        <v>74</v>
      </c>
    </row>
    <row r="15" spans="1:16" x14ac:dyDescent="0.25">
      <c r="K15">
        <f>3*$B$5</f>
        <v>3</v>
      </c>
      <c r="L15">
        <f>3*$C$5</f>
        <v>6</v>
      </c>
      <c r="M15">
        <f>(D9-3*D5)</f>
        <v>40</v>
      </c>
      <c r="N15">
        <f>(E9-3*E5)</f>
        <v>40</v>
      </c>
      <c r="O15">
        <f>(F9-3*F5)</f>
        <v>40</v>
      </c>
      <c r="P15">
        <f>K15*L15*M15*N15*O15</f>
        <v>1152000</v>
      </c>
    </row>
    <row r="16" spans="1:16" x14ac:dyDescent="0.25">
      <c r="B16">
        <f>3*$B$5</f>
        <v>3</v>
      </c>
      <c r="C16">
        <f>3*$C$5</f>
        <v>6</v>
      </c>
      <c r="D16">
        <f>3*$D$5</f>
        <v>3</v>
      </c>
      <c r="E16">
        <f>3*$E$5</f>
        <v>3</v>
      </c>
      <c r="F16">
        <f>(F9-3*F5)</f>
        <v>40</v>
      </c>
      <c r="G16">
        <f>B16*C16*D16*E16*F16</f>
        <v>6480</v>
      </c>
      <c r="K16">
        <f>3*$B$5</f>
        <v>3</v>
      </c>
      <c r="L16">
        <f>(C9-3*C5)</f>
        <v>42</v>
      </c>
      <c r="M16">
        <f>3*$D$5</f>
        <v>3</v>
      </c>
      <c r="N16">
        <f>(E9-3*E5)</f>
        <v>40</v>
      </c>
      <c r="O16">
        <f>(F9-3*F5)</f>
        <v>40</v>
      </c>
      <c r="P16">
        <f t="shared" ref="P16:P24" si="0">K16*L16*M16*N16*O16</f>
        <v>604800</v>
      </c>
    </row>
    <row r="17" spans="1:16" x14ac:dyDescent="0.25">
      <c r="B17">
        <f>3*$B$5</f>
        <v>3</v>
      </c>
      <c r="C17">
        <f>3*$C$5</f>
        <v>6</v>
      </c>
      <c r="D17">
        <f>3*$D$5</f>
        <v>3</v>
      </c>
      <c r="E17">
        <f>(E9-3*E5)</f>
        <v>40</v>
      </c>
      <c r="F17">
        <f>3*$F$5</f>
        <v>3</v>
      </c>
      <c r="G17">
        <f>B17*C17*D17*E17*F17</f>
        <v>6480</v>
      </c>
      <c r="K17">
        <f>3*$B$5</f>
        <v>3</v>
      </c>
      <c r="L17">
        <f>(C9-3*C5)</f>
        <v>42</v>
      </c>
      <c r="M17">
        <f>(D9-3*D5)</f>
        <v>40</v>
      </c>
      <c r="N17">
        <f>3*$E$5</f>
        <v>3</v>
      </c>
      <c r="O17">
        <f>(F9-3*F5)</f>
        <v>40</v>
      </c>
      <c r="P17">
        <f t="shared" si="0"/>
        <v>604800</v>
      </c>
    </row>
    <row r="18" spans="1:16" x14ac:dyDescent="0.25">
      <c r="B18">
        <f>3*$B$5</f>
        <v>3</v>
      </c>
      <c r="C18">
        <f>3*$C$5</f>
        <v>6</v>
      </c>
      <c r="D18">
        <f>(D9-3*D5)</f>
        <v>40</v>
      </c>
      <c r="E18">
        <f>3*$E$5</f>
        <v>3</v>
      </c>
      <c r="F18">
        <f>3*$F$5</f>
        <v>3</v>
      </c>
      <c r="G18">
        <f>B18*C18*D18*E18*F18</f>
        <v>6480</v>
      </c>
      <c r="K18">
        <f>3*$B$5</f>
        <v>3</v>
      </c>
      <c r="L18">
        <f>(C9-3*C5)</f>
        <v>42</v>
      </c>
      <c r="M18">
        <f>(D9-3*D5)</f>
        <v>40</v>
      </c>
      <c r="N18">
        <f>(E9-3*E5)</f>
        <v>40</v>
      </c>
      <c r="O18">
        <f>3*$F$5</f>
        <v>3</v>
      </c>
      <c r="P18">
        <f t="shared" si="0"/>
        <v>604800</v>
      </c>
    </row>
    <row r="19" spans="1:16" x14ac:dyDescent="0.25">
      <c r="B19">
        <f>3*$B$5</f>
        <v>3</v>
      </c>
      <c r="C19">
        <f>(C9-3*C5)</f>
        <v>42</v>
      </c>
      <c r="D19">
        <f>3*$D$5</f>
        <v>3</v>
      </c>
      <c r="E19">
        <f>3*$E$5</f>
        <v>3</v>
      </c>
      <c r="F19">
        <f>3*$F$5</f>
        <v>3</v>
      </c>
      <c r="G19">
        <f>B19*C19*D19*E19*F19</f>
        <v>3402</v>
      </c>
      <c r="K19">
        <f>(B9-3*B5)</f>
        <v>29</v>
      </c>
      <c r="L19">
        <f>3*$C$5</f>
        <v>6</v>
      </c>
      <c r="M19">
        <f>3*$D$5</f>
        <v>3</v>
      </c>
      <c r="N19">
        <f>(E9-3*E5)</f>
        <v>40</v>
      </c>
      <c r="O19">
        <f>(F9-3*F5)</f>
        <v>40</v>
      </c>
      <c r="P19">
        <f t="shared" si="0"/>
        <v>835200</v>
      </c>
    </row>
    <row r="20" spans="1:16" x14ac:dyDescent="0.25">
      <c r="B20">
        <f>(B9-3*B5)</f>
        <v>29</v>
      </c>
      <c r="C20">
        <f>3*$C$5</f>
        <v>6</v>
      </c>
      <c r="D20">
        <f>3*$D$5</f>
        <v>3</v>
      </c>
      <c r="E20">
        <f>3*$E$5</f>
        <v>3</v>
      </c>
      <c r="F20">
        <f>3*$F$5</f>
        <v>3</v>
      </c>
      <c r="G20">
        <f>B20*C20*D20*E20*F20</f>
        <v>4698</v>
      </c>
      <c r="K20">
        <f>(B9-3*B5)</f>
        <v>29</v>
      </c>
      <c r="L20">
        <f>3*$C$5</f>
        <v>6</v>
      </c>
      <c r="M20">
        <f>(D9-3*D5)</f>
        <v>40</v>
      </c>
      <c r="N20">
        <f>3*$E$5</f>
        <v>3</v>
      </c>
      <c r="O20">
        <f>(F9-3*F5)</f>
        <v>40</v>
      </c>
      <c r="P20">
        <f t="shared" si="0"/>
        <v>835200</v>
      </c>
    </row>
    <row r="21" spans="1:16" x14ac:dyDescent="0.25">
      <c r="F21" t="s">
        <v>80</v>
      </c>
      <c r="G21" s="2">
        <f>SUM(G16:G20)</f>
        <v>27540</v>
      </c>
      <c r="K21">
        <f>(B9-3*B5)</f>
        <v>29</v>
      </c>
      <c r="L21">
        <f>3*$C$5</f>
        <v>6</v>
      </c>
      <c r="M21">
        <f>(D9-3*D5)</f>
        <v>40</v>
      </c>
      <c r="N21">
        <f>(E9-3*E5)</f>
        <v>40</v>
      </c>
      <c r="O21">
        <f>3*$F$5</f>
        <v>3</v>
      </c>
      <c r="P21">
        <f t="shared" si="0"/>
        <v>835200</v>
      </c>
    </row>
    <row r="22" spans="1:16" x14ac:dyDescent="0.25">
      <c r="K22">
        <f>(B9-3*B5)</f>
        <v>29</v>
      </c>
      <c r="L22">
        <f>(C9-3*C5)</f>
        <v>42</v>
      </c>
      <c r="M22">
        <f>3*$D$5</f>
        <v>3</v>
      </c>
      <c r="N22">
        <f>3*$E$5</f>
        <v>3</v>
      </c>
      <c r="O22">
        <f>(F9-3*F5)</f>
        <v>40</v>
      </c>
      <c r="P22">
        <f t="shared" si="0"/>
        <v>438480</v>
      </c>
    </row>
    <row r="23" spans="1:16" x14ac:dyDescent="0.25">
      <c r="A23" t="s">
        <v>78</v>
      </c>
      <c r="K23">
        <f>(B9-3*B5)</f>
        <v>29</v>
      </c>
      <c r="L23">
        <f>(C9-3*C5)</f>
        <v>42</v>
      </c>
      <c r="M23">
        <f>(D9-3*D5)</f>
        <v>40</v>
      </c>
      <c r="N23">
        <f>3*$E$5</f>
        <v>3</v>
      </c>
      <c r="O23">
        <f>3*$F$5</f>
        <v>3</v>
      </c>
      <c r="P23">
        <f t="shared" si="0"/>
        <v>438480</v>
      </c>
    </row>
    <row r="24" spans="1:16" x14ac:dyDescent="0.25">
      <c r="A24" t="s">
        <v>73</v>
      </c>
      <c r="B24">
        <v>32</v>
      </c>
      <c r="C24">
        <v>48</v>
      </c>
      <c r="D24">
        <v>43</v>
      </c>
      <c r="E24">
        <v>43</v>
      </c>
      <c r="F24">
        <v>43</v>
      </c>
      <c r="K24">
        <f>(B9-3*B5)</f>
        <v>29</v>
      </c>
      <c r="L24">
        <f>(C9-3*C5)</f>
        <v>42</v>
      </c>
      <c r="M24">
        <f>3*$D$5</f>
        <v>3</v>
      </c>
      <c r="N24">
        <f>(E9-3*E5)</f>
        <v>40</v>
      </c>
      <c r="O24">
        <f>3*$F$5</f>
        <v>3</v>
      </c>
      <c r="P24">
        <f t="shared" si="0"/>
        <v>438480</v>
      </c>
    </row>
    <row r="25" spans="1:16" x14ac:dyDescent="0.25">
      <c r="B25" t="s">
        <v>74</v>
      </c>
      <c r="C25" t="s">
        <v>74</v>
      </c>
      <c r="D25" t="s">
        <v>74</v>
      </c>
      <c r="E25" t="s">
        <v>77</v>
      </c>
      <c r="F25" t="s">
        <v>77</v>
      </c>
      <c r="O25" t="s">
        <v>80</v>
      </c>
      <c r="P25" s="2">
        <f>SUM(P15:P24)</f>
        <v>6787440</v>
      </c>
    </row>
    <row r="26" spans="1:16" x14ac:dyDescent="0.25">
      <c r="B26" t="s">
        <v>74</v>
      </c>
      <c r="C26" t="s">
        <v>74</v>
      </c>
      <c r="D26" t="s">
        <v>77</v>
      </c>
      <c r="E26" t="s">
        <v>74</v>
      </c>
      <c r="F26" t="s">
        <v>77</v>
      </c>
    </row>
    <row r="27" spans="1:16" x14ac:dyDescent="0.25">
      <c r="B27" t="s">
        <v>74</v>
      </c>
      <c r="C27" t="s">
        <v>77</v>
      </c>
      <c r="D27" t="s">
        <v>74</v>
      </c>
      <c r="E27" t="s">
        <v>74</v>
      </c>
      <c r="F27" t="s">
        <v>77</v>
      </c>
    </row>
    <row r="28" spans="1:16" x14ac:dyDescent="0.25">
      <c r="B28" t="s">
        <v>77</v>
      </c>
      <c r="C28" t="s">
        <v>74</v>
      </c>
      <c r="D28" t="s">
        <v>74</v>
      </c>
      <c r="E28" t="s">
        <v>74</v>
      </c>
      <c r="F28" t="s">
        <v>77</v>
      </c>
    </row>
    <row r="29" spans="1:16" x14ac:dyDescent="0.25">
      <c r="B29" t="s">
        <v>74</v>
      </c>
      <c r="C29" t="s">
        <v>74</v>
      </c>
      <c r="D29" t="s">
        <v>77</v>
      </c>
      <c r="E29" t="s">
        <v>77</v>
      </c>
      <c r="F29" t="s">
        <v>74</v>
      </c>
    </row>
    <row r="30" spans="1:16" x14ac:dyDescent="0.25">
      <c r="B30" t="s">
        <v>74</v>
      </c>
      <c r="C30" t="s">
        <v>77</v>
      </c>
      <c r="D30" t="s">
        <v>74</v>
      </c>
      <c r="E30" t="s">
        <v>77</v>
      </c>
      <c r="F30" t="s">
        <v>74</v>
      </c>
    </row>
    <row r="31" spans="1:16" x14ac:dyDescent="0.25">
      <c r="B31" t="s">
        <v>77</v>
      </c>
      <c r="C31" t="s">
        <v>74</v>
      </c>
      <c r="D31" t="s">
        <v>74</v>
      </c>
      <c r="E31" t="s">
        <v>77</v>
      </c>
      <c r="F31" t="s">
        <v>74</v>
      </c>
    </row>
    <row r="32" spans="1:16" x14ac:dyDescent="0.25">
      <c r="B32" t="s">
        <v>74</v>
      </c>
      <c r="C32" t="s">
        <v>77</v>
      </c>
      <c r="D32" t="s">
        <v>77</v>
      </c>
      <c r="E32" t="s">
        <v>74</v>
      </c>
      <c r="F32" t="s">
        <v>74</v>
      </c>
    </row>
    <row r="33" spans="2:7" x14ac:dyDescent="0.25">
      <c r="B33" t="s">
        <v>77</v>
      </c>
      <c r="C33" t="s">
        <v>74</v>
      </c>
      <c r="D33" t="s">
        <v>77</v>
      </c>
      <c r="E33" t="s">
        <v>74</v>
      </c>
      <c r="F33" t="s">
        <v>74</v>
      </c>
    </row>
    <row r="34" spans="2:7" x14ac:dyDescent="0.25">
      <c r="B34" t="s">
        <v>77</v>
      </c>
      <c r="C34" t="s">
        <v>77</v>
      </c>
      <c r="D34" t="s">
        <v>74</v>
      </c>
      <c r="E34" t="s">
        <v>74</v>
      </c>
      <c r="F34" t="s">
        <v>74</v>
      </c>
    </row>
    <row r="36" spans="2:7" x14ac:dyDescent="0.25">
      <c r="B36">
        <f>3*$B$5</f>
        <v>3</v>
      </c>
      <c r="C36">
        <f>3*$C$5</f>
        <v>6</v>
      </c>
      <c r="D36">
        <f>3*$D$5</f>
        <v>3</v>
      </c>
      <c r="E36">
        <f>(E9-3*E5)</f>
        <v>40</v>
      </c>
      <c r="F36">
        <f>(F9-3*F5)</f>
        <v>40</v>
      </c>
      <c r="G36">
        <f>B36*C36*D36*E36*F36</f>
        <v>86400</v>
      </c>
    </row>
    <row r="37" spans="2:7" x14ac:dyDescent="0.25">
      <c r="B37">
        <f>3*$B$5</f>
        <v>3</v>
      </c>
      <c r="C37">
        <f>3*$C$5</f>
        <v>6</v>
      </c>
      <c r="D37">
        <f>(D9-3*D5)</f>
        <v>40</v>
      </c>
      <c r="E37">
        <f>3*$E$5</f>
        <v>3</v>
      </c>
      <c r="F37">
        <f>(F9-3*F5)</f>
        <v>40</v>
      </c>
      <c r="G37">
        <f t="shared" ref="G37:G45" si="1">B37*C37*D37*E37*F37</f>
        <v>86400</v>
      </c>
    </row>
    <row r="38" spans="2:7" x14ac:dyDescent="0.25">
      <c r="B38">
        <f>3*$B$5</f>
        <v>3</v>
      </c>
      <c r="C38">
        <f>(C9-3*C5)</f>
        <v>42</v>
      </c>
      <c r="D38">
        <f>3*$D$5</f>
        <v>3</v>
      </c>
      <c r="E38">
        <f>3*$E$5</f>
        <v>3</v>
      </c>
      <c r="F38">
        <f>(F9-3*F5)</f>
        <v>40</v>
      </c>
      <c r="G38">
        <f t="shared" si="1"/>
        <v>45360</v>
      </c>
    </row>
    <row r="39" spans="2:7" x14ac:dyDescent="0.25">
      <c r="B39">
        <f>(B9-3*B5)</f>
        <v>29</v>
      </c>
      <c r="C39">
        <f>3*$C$5</f>
        <v>6</v>
      </c>
      <c r="D39">
        <f>3*$D$5</f>
        <v>3</v>
      </c>
      <c r="E39">
        <f>3*$E$5</f>
        <v>3</v>
      </c>
      <c r="F39">
        <f>(F9-3*F5)</f>
        <v>40</v>
      </c>
      <c r="G39">
        <f t="shared" si="1"/>
        <v>62640</v>
      </c>
    </row>
    <row r="40" spans="2:7" x14ac:dyDescent="0.25">
      <c r="B40">
        <f>3*$B$5</f>
        <v>3</v>
      </c>
      <c r="C40">
        <f>3*$C$5</f>
        <v>6</v>
      </c>
      <c r="D40">
        <f>(D9-3*D5)</f>
        <v>40</v>
      </c>
      <c r="E40">
        <f>(E9-3*E5)</f>
        <v>40</v>
      </c>
      <c r="F40">
        <f t="shared" ref="F40:F45" si="2">3*$F$5</f>
        <v>3</v>
      </c>
      <c r="G40">
        <f t="shared" si="1"/>
        <v>86400</v>
      </c>
    </row>
    <row r="41" spans="2:7" x14ac:dyDescent="0.25">
      <c r="B41">
        <f>3*$B$5</f>
        <v>3</v>
      </c>
      <c r="C41">
        <f>(C9-3*C5)</f>
        <v>42</v>
      </c>
      <c r="D41">
        <f>3*$D$5</f>
        <v>3</v>
      </c>
      <c r="E41">
        <f>(E9-3*E5)</f>
        <v>40</v>
      </c>
      <c r="F41">
        <f t="shared" si="2"/>
        <v>3</v>
      </c>
      <c r="G41">
        <f t="shared" si="1"/>
        <v>45360</v>
      </c>
    </row>
    <row r="42" spans="2:7" x14ac:dyDescent="0.25">
      <c r="B42">
        <f>(B9-3*B5)</f>
        <v>29</v>
      </c>
      <c r="C42">
        <f>3*$C$5</f>
        <v>6</v>
      </c>
      <c r="D42">
        <f>3*$D$5</f>
        <v>3</v>
      </c>
      <c r="E42">
        <f>(E9-3*E5)</f>
        <v>40</v>
      </c>
      <c r="F42">
        <f t="shared" si="2"/>
        <v>3</v>
      </c>
      <c r="G42">
        <f t="shared" si="1"/>
        <v>62640</v>
      </c>
    </row>
    <row r="43" spans="2:7" x14ac:dyDescent="0.25">
      <c r="B43">
        <f>3*$B$5</f>
        <v>3</v>
      </c>
      <c r="C43">
        <f>(C9-3*C5)</f>
        <v>42</v>
      </c>
      <c r="D43">
        <f>(D9-3*D5)</f>
        <v>40</v>
      </c>
      <c r="E43">
        <f>3*$E$5</f>
        <v>3</v>
      </c>
      <c r="F43">
        <f t="shared" si="2"/>
        <v>3</v>
      </c>
      <c r="G43">
        <f t="shared" si="1"/>
        <v>45360</v>
      </c>
    </row>
    <row r="44" spans="2:7" x14ac:dyDescent="0.25">
      <c r="B44">
        <f>(B9-3*B5)</f>
        <v>29</v>
      </c>
      <c r="C44">
        <f>3*$C$5</f>
        <v>6</v>
      </c>
      <c r="D44">
        <f>(D9-3*D5)</f>
        <v>40</v>
      </c>
      <c r="E44">
        <f>3*$E$5</f>
        <v>3</v>
      </c>
      <c r="F44">
        <f t="shared" si="2"/>
        <v>3</v>
      </c>
      <c r="G44">
        <f t="shared" si="1"/>
        <v>62640</v>
      </c>
    </row>
    <row r="45" spans="2:7" x14ac:dyDescent="0.25">
      <c r="B45">
        <f>(B9-3*B5)</f>
        <v>29</v>
      </c>
      <c r="C45">
        <f>(C9-3*C5)</f>
        <v>42</v>
      </c>
      <c r="D45">
        <f>3*$D$5</f>
        <v>3</v>
      </c>
      <c r="E45">
        <f>3*$E$5</f>
        <v>3</v>
      </c>
      <c r="F45">
        <f t="shared" si="2"/>
        <v>3</v>
      </c>
      <c r="G45">
        <f t="shared" si="1"/>
        <v>32886</v>
      </c>
    </row>
    <row r="46" spans="2:7" x14ac:dyDescent="0.25">
      <c r="F46" t="s">
        <v>80</v>
      </c>
      <c r="G46" s="2">
        <f>SUM(G36:G45)</f>
        <v>616086</v>
      </c>
    </row>
    <row r="51" spans="1:16" ht="15.75" thickBot="1" x14ac:dyDescent="0.3"/>
    <row r="52" spans="1:16" ht="15.75" thickBot="1" x14ac:dyDescent="0.3">
      <c r="A52" s="29" t="s">
        <v>98</v>
      </c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2"/>
    </row>
    <row r="55" spans="1:16" x14ac:dyDescent="0.25">
      <c r="A55" t="s">
        <v>72</v>
      </c>
      <c r="J55" t="s">
        <v>79</v>
      </c>
    </row>
    <row r="56" spans="1:16" x14ac:dyDescent="0.25">
      <c r="A56" t="s">
        <v>73</v>
      </c>
      <c r="B56">
        <f>Sheet1!B77</f>
        <v>33</v>
      </c>
      <c r="C56">
        <f>Sheet1!C77</f>
        <v>36</v>
      </c>
      <c r="D56">
        <f>Sheet1!D77</f>
        <v>36</v>
      </c>
      <c r="E56">
        <f>Sheet1!E77</f>
        <v>36</v>
      </c>
      <c r="F56">
        <f>Sheet1!F77</f>
        <v>36</v>
      </c>
      <c r="J56" t="s">
        <v>73</v>
      </c>
      <c r="K56">
        <v>32</v>
      </c>
      <c r="L56">
        <v>48</v>
      </c>
      <c r="M56">
        <v>43</v>
      </c>
      <c r="N56">
        <v>43</v>
      </c>
      <c r="O56">
        <v>43</v>
      </c>
    </row>
    <row r="57" spans="1:16" x14ac:dyDescent="0.25">
      <c r="B57" t="s">
        <v>74</v>
      </c>
      <c r="C57" t="s">
        <v>74</v>
      </c>
      <c r="D57" t="s">
        <v>74</v>
      </c>
      <c r="E57" t="s">
        <v>74</v>
      </c>
      <c r="F57" t="s">
        <v>74</v>
      </c>
      <c r="G57" t="s">
        <v>80</v>
      </c>
      <c r="K57" t="s">
        <v>74</v>
      </c>
      <c r="L57" t="s">
        <v>74</v>
      </c>
      <c r="M57" t="s">
        <v>77</v>
      </c>
      <c r="N57" t="s">
        <v>77</v>
      </c>
      <c r="O57" t="s">
        <v>77</v>
      </c>
    </row>
    <row r="58" spans="1:16" x14ac:dyDescent="0.25">
      <c r="A58" t="s">
        <v>75</v>
      </c>
      <c r="B58">
        <f>Sheet1!B75</f>
        <v>1</v>
      </c>
      <c r="C58">
        <f>Sheet1!C75</f>
        <v>2</v>
      </c>
      <c r="D58">
        <f>Sheet1!D75</f>
        <v>2</v>
      </c>
      <c r="E58">
        <f>Sheet1!E75</f>
        <v>2</v>
      </c>
      <c r="F58">
        <f>Sheet1!F75</f>
        <v>2</v>
      </c>
      <c r="G58" s="2">
        <f>3*B58*3*C58*3*D58*3*E58*3*F58</f>
        <v>3888</v>
      </c>
      <c r="K58" t="s">
        <v>74</v>
      </c>
      <c r="L58" t="s">
        <v>77</v>
      </c>
      <c r="M58" t="s">
        <v>74</v>
      </c>
      <c r="N58" t="s">
        <v>77</v>
      </c>
      <c r="O58" t="s">
        <v>77</v>
      </c>
    </row>
    <row r="59" spans="1:16" x14ac:dyDescent="0.25">
      <c r="K59" t="s">
        <v>74</v>
      </c>
      <c r="L59" t="s">
        <v>77</v>
      </c>
      <c r="M59" t="s">
        <v>77</v>
      </c>
      <c r="N59" t="s">
        <v>74</v>
      </c>
      <c r="O59" t="s">
        <v>77</v>
      </c>
    </row>
    <row r="60" spans="1:16" x14ac:dyDescent="0.25">
      <c r="K60" t="s">
        <v>74</v>
      </c>
      <c r="L60" t="s">
        <v>77</v>
      </c>
      <c r="M60" t="s">
        <v>77</v>
      </c>
      <c r="N60" t="s">
        <v>77</v>
      </c>
      <c r="O60" t="s">
        <v>74</v>
      </c>
    </row>
    <row r="61" spans="1:16" x14ac:dyDescent="0.25">
      <c r="A61" t="s">
        <v>76</v>
      </c>
      <c r="K61" t="s">
        <v>77</v>
      </c>
      <c r="L61" t="s">
        <v>74</v>
      </c>
      <c r="M61" t="s">
        <v>74</v>
      </c>
      <c r="N61" t="s">
        <v>77</v>
      </c>
      <c r="O61" t="s">
        <v>77</v>
      </c>
    </row>
    <row r="62" spans="1:16" x14ac:dyDescent="0.25">
      <c r="A62" t="s">
        <v>73</v>
      </c>
      <c r="B62">
        <f>B56</f>
        <v>33</v>
      </c>
      <c r="C62">
        <f>C56</f>
        <v>36</v>
      </c>
      <c r="D62">
        <f>D56</f>
        <v>36</v>
      </c>
      <c r="E62">
        <f>E56</f>
        <v>36</v>
      </c>
      <c r="F62">
        <f>F56</f>
        <v>36</v>
      </c>
      <c r="K62" t="s">
        <v>77</v>
      </c>
      <c r="L62" t="s">
        <v>74</v>
      </c>
      <c r="M62" t="s">
        <v>77</v>
      </c>
      <c r="N62" t="s">
        <v>74</v>
      </c>
      <c r="O62" t="s">
        <v>77</v>
      </c>
    </row>
    <row r="63" spans="1:16" x14ac:dyDescent="0.25">
      <c r="B63" t="s">
        <v>74</v>
      </c>
      <c r="C63" t="s">
        <v>74</v>
      </c>
      <c r="D63" t="s">
        <v>74</v>
      </c>
      <c r="E63" t="s">
        <v>74</v>
      </c>
      <c r="F63" t="s">
        <v>77</v>
      </c>
      <c r="K63" t="s">
        <v>77</v>
      </c>
      <c r="L63" t="s">
        <v>74</v>
      </c>
      <c r="M63" t="s">
        <v>77</v>
      </c>
      <c r="N63" t="s">
        <v>77</v>
      </c>
      <c r="O63" t="s">
        <v>74</v>
      </c>
    </row>
    <row r="64" spans="1:16" x14ac:dyDescent="0.25">
      <c r="B64" t="s">
        <v>74</v>
      </c>
      <c r="C64" t="s">
        <v>74</v>
      </c>
      <c r="D64" t="s">
        <v>74</v>
      </c>
      <c r="E64" t="s">
        <v>77</v>
      </c>
      <c r="F64" t="s">
        <v>74</v>
      </c>
      <c r="K64" t="s">
        <v>77</v>
      </c>
      <c r="L64" t="s">
        <v>77</v>
      </c>
      <c r="M64" t="s">
        <v>74</v>
      </c>
      <c r="N64" t="s">
        <v>74</v>
      </c>
      <c r="O64" t="s">
        <v>77</v>
      </c>
    </row>
    <row r="65" spans="1:16" x14ac:dyDescent="0.25">
      <c r="B65" t="s">
        <v>74</v>
      </c>
      <c r="C65" t="s">
        <v>74</v>
      </c>
      <c r="D65" t="s">
        <v>77</v>
      </c>
      <c r="E65" t="s">
        <v>74</v>
      </c>
      <c r="F65" t="s">
        <v>74</v>
      </c>
      <c r="K65" t="s">
        <v>77</v>
      </c>
      <c r="L65" t="s">
        <v>77</v>
      </c>
      <c r="M65" t="s">
        <v>77</v>
      </c>
      <c r="N65" t="s">
        <v>74</v>
      </c>
      <c r="O65" t="s">
        <v>74</v>
      </c>
    </row>
    <row r="66" spans="1:16" x14ac:dyDescent="0.25">
      <c r="B66" t="s">
        <v>74</v>
      </c>
      <c r="C66" t="s">
        <v>77</v>
      </c>
      <c r="D66" t="s">
        <v>74</v>
      </c>
      <c r="E66" t="s">
        <v>74</v>
      </c>
      <c r="F66" t="s">
        <v>74</v>
      </c>
      <c r="K66" t="s">
        <v>77</v>
      </c>
      <c r="L66" t="s">
        <v>77</v>
      </c>
      <c r="M66" t="s">
        <v>74</v>
      </c>
      <c r="N66" t="s">
        <v>77</v>
      </c>
      <c r="O66" t="s">
        <v>74</v>
      </c>
    </row>
    <row r="67" spans="1:16" x14ac:dyDescent="0.25">
      <c r="B67" t="s">
        <v>77</v>
      </c>
      <c r="C67" t="s">
        <v>74</v>
      </c>
      <c r="D67" t="s">
        <v>74</v>
      </c>
      <c r="E67" t="s">
        <v>74</v>
      </c>
      <c r="F67" t="s">
        <v>74</v>
      </c>
    </row>
    <row r="68" spans="1:16" x14ac:dyDescent="0.25">
      <c r="K68">
        <f>3*$B$58</f>
        <v>3</v>
      </c>
      <c r="L68">
        <f>3*$C$58</f>
        <v>6</v>
      </c>
      <c r="M68">
        <f>(D62-3*D58)</f>
        <v>30</v>
      </c>
      <c r="N68">
        <f>(E62-3*E58)</f>
        <v>30</v>
      </c>
      <c r="O68">
        <f>(F62-3*F58)</f>
        <v>30</v>
      </c>
      <c r="P68">
        <f>K68*L68*M68*N68*O68</f>
        <v>486000</v>
      </c>
    </row>
    <row r="69" spans="1:16" x14ac:dyDescent="0.25">
      <c r="B69">
        <f>3*$B$58</f>
        <v>3</v>
      </c>
      <c r="C69">
        <f>3*$C$58</f>
        <v>6</v>
      </c>
      <c r="D69">
        <f>3*$D$58</f>
        <v>6</v>
      </c>
      <c r="E69">
        <f>3*$E$58</f>
        <v>6</v>
      </c>
      <c r="F69">
        <f>(F62-3*F58)</f>
        <v>30</v>
      </c>
      <c r="G69">
        <f>B69*C69*D69*E69*F69</f>
        <v>19440</v>
      </c>
      <c r="K69">
        <f>3*$B$58</f>
        <v>3</v>
      </c>
      <c r="L69">
        <f>(C62-3*C58)</f>
        <v>30</v>
      </c>
      <c r="M69">
        <f>3*$D$58</f>
        <v>6</v>
      </c>
      <c r="N69">
        <f>(E62-3*E58)</f>
        <v>30</v>
      </c>
      <c r="O69">
        <f>(F62-3*F58)</f>
        <v>30</v>
      </c>
      <c r="P69">
        <f t="shared" ref="P69:P77" si="3">K69*L69*M69*N69*O69</f>
        <v>486000</v>
      </c>
    </row>
    <row r="70" spans="1:16" x14ac:dyDescent="0.25">
      <c r="B70">
        <f>3*$B$58</f>
        <v>3</v>
      </c>
      <c r="C70">
        <f>3*$C$58</f>
        <v>6</v>
      </c>
      <c r="D70">
        <f>3*$D$58</f>
        <v>6</v>
      </c>
      <c r="E70">
        <f>(E62-3*E58)</f>
        <v>30</v>
      </c>
      <c r="F70">
        <f>3*$F$58</f>
        <v>6</v>
      </c>
      <c r="G70">
        <f>B70*C70*D70*E70*F70</f>
        <v>19440</v>
      </c>
      <c r="K70">
        <f>3*$B$58</f>
        <v>3</v>
      </c>
      <c r="L70">
        <f>(C62-3*C58)</f>
        <v>30</v>
      </c>
      <c r="M70">
        <f>(D62-3*D58)</f>
        <v>30</v>
      </c>
      <c r="N70">
        <f>3*$E$58</f>
        <v>6</v>
      </c>
      <c r="O70">
        <f>(F62-3*F58)</f>
        <v>30</v>
      </c>
      <c r="P70">
        <f t="shared" si="3"/>
        <v>486000</v>
      </c>
    </row>
    <row r="71" spans="1:16" x14ac:dyDescent="0.25">
      <c r="B71">
        <f>3*$B$58</f>
        <v>3</v>
      </c>
      <c r="C71">
        <f>3*$C$58</f>
        <v>6</v>
      </c>
      <c r="D71">
        <f>(D62-3*D58)</f>
        <v>30</v>
      </c>
      <c r="E71">
        <f>3*$E$58</f>
        <v>6</v>
      </c>
      <c r="F71">
        <f>3*$F$58</f>
        <v>6</v>
      </c>
      <c r="G71">
        <f>B71*C71*D71*E71*F71</f>
        <v>19440</v>
      </c>
      <c r="K71">
        <f>3*$B$58</f>
        <v>3</v>
      </c>
      <c r="L71">
        <f>(C62-3*C58)</f>
        <v>30</v>
      </c>
      <c r="M71">
        <f>(D62-3*D58)</f>
        <v>30</v>
      </c>
      <c r="N71">
        <f>(E62-3*E58)</f>
        <v>30</v>
      </c>
      <c r="O71">
        <f>3*$F$58</f>
        <v>6</v>
      </c>
      <c r="P71">
        <f t="shared" si="3"/>
        <v>486000</v>
      </c>
    </row>
    <row r="72" spans="1:16" x14ac:dyDescent="0.25">
      <c r="B72">
        <f>3*$B$58</f>
        <v>3</v>
      </c>
      <c r="C72">
        <f>(C62-3*C58)</f>
        <v>30</v>
      </c>
      <c r="D72">
        <f>3*$D$58</f>
        <v>6</v>
      </c>
      <c r="E72">
        <f>3*$E$58</f>
        <v>6</v>
      </c>
      <c r="F72">
        <f>3*$F$58</f>
        <v>6</v>
      </c>
      <c r="G72">
        <f>B72*C72*D72*E72*F72</f>
        <v>19440</v>
      </c>
      <c r="K72">
        <f>(B62-3*B58)</f>
        <v>30</v>
      </c>
      <c r="L72">
        <f>3*$C$58</f>
        <v>6</v>
      </c>
      <c r="M72">
        <f>3*$D$58</f>
        <v>6</v>
      </c>
      <c r="N72">
        <f>(E62-3*E58)</f>
        <v>30</v>
      </c>
      <c r="O72">
        <f>(F62-3*F58)</f>
        <v>30</v>
      </c>
      <c r="P72">
        <f t="shared" si="3"/>
        <v>972000</v>
      </c>
    </row>
    <row r="73" spans="1:16" x14ac:dyDescent="0.25">
      <c r="B73">
        <f>(B62-3*B58)</f>
        <v>30</v>
      </c>
      <c r="C73">
        <f>3*$C$58</f>
        <v>6</v>
      </c>
      <c r="D73">
        <f>3*$D$58</f>
        <v>6</v>
      </c>
      <c r="E73">
        <f>3*$E$58</f>
        <v>6</v>
      </c>
      <c r="F73">
        <f>3*$F$58</f>
        <v>6</v>
      </c>
      <c r="G73">
        <f>B73*C73*D73*E73*F73</f>
        <v>38880</v>
      </c>
      <c r="K73">
        <f>(B62-3*B58)</f>
        <v>30</v>
      </c>
      <c r="L73">
        <f>3*$C$58</f>
        <v>6</v>
      </c>
      <c r="M73">
        <f>(D62-3*D58)</f>
        <v>30</v>
      </c>
      <c r="N73">
        <f>3*$E$58</f>
        <v>6</v>
      </c>
      <c r="O73">
        <f>(F62-3*F58)</f>
        <v>30</v>
      </c>
      <c r="P73">
        <f t="shared" si="3"/>
        <v>972000</v>
      </c>
    </row>
    <row r="74" spans="1:16" x14ac:dyDescent="0.25">
      <c r="F74" t="s">
        <v>80</v>
      </c>
      <c r="G74" s="2">
        <f>SUM(G69:G73)</f>
        <v>116640</v>
      </c>
      <c r="K74">
        <f>(B62-3*B58)</f>
        <v>30</v>
      </c>
      <c r="L74">
        <f>3*$C$58</f>
        <v>6</v>
      </c>
      <c r="M74">
        <f>(D62-3*D58)</f>
        <v>30</v>
      </c>
      <c r="N74">
        <f>(E62-3*E58)</f>
        <v>30</v>
      </c>
      <c r="O74">
        <f>3*$F$58</f>
        <v>6</v>
      </c>
      <c r="P74">
        <f t="shared" si="3"/>
        <v>972000</v>
      </c>
    </row>
    <row r="75" spans="1:16" x14ac:dyDescent="0.25">
      <c r="K75">
        <f>(B62-3*B58)</f>
        <v>30</v>
      </c>
      <c r="L75">
        <f>(C62-3*C58)</f>
        <v>30</v>
      </c>
      <c r="M75">
        <f>3*$D$58</f>
        <v>6</v>
      </c>
      <c r="N75">
        <f>3*$E$58</f>
        <v>6</v>
      </c>
      <c r="O75">
        <f>(F62-3*F58)</f>
        <v>30</v>
      </c>
      <c r="P75">
        <f t="shared" si="3"/>
        <v>972000</v>
      </c>
    </row>
    <row r="76" spans="1:16" x14ac:dyDescent="0.25">
      <c r="A76" t="s">
        <v>78</v>
      </c>
      <c r="K76">
        <f>(B62-3*B58)</f>
        <v>30</v>
      </c>
      <c r="L76">
        <f>(C62-3*C58)</f>
        <v>30</v>
      </c>
      <c r="M76">
        <f>(D62-3*D58)</f>
        <v>30</v>
      </c>
      <c r="N76">
        <f>3*$E$58</f>
        <v>6</v>
      </c>
      <c r="O76">
        <f>3*$F$58</f>
        <v>6</v>
      </c>
      <c r="P76">
        <f t="shared" si="3"/>
        <v>972000</v>
      </c>
    </row>
    <row r="77" spans="1:16" x14ac:dyDescent="0.25">
      <c r="A77" t="s">
        <v>73</v>
      </c>
      <c r="B77">
        <v>32</v>
      </c>
      <c r="C77">
        <v>48</v>
      </c>
      <c r="D77">
        <v>43</v>
      </c>
      <c r="E77">
        <v>43</v>
      </c>
      <c r="F77">
        <v>43</v>
      </c>
      <c r="K77">
        <f>(B62-3*B58)</f>
        <v>30</v>
      </c>
      <c r="L77">
        <f>(C62-3*C58)</f>
        <v>30</v>
      </c>
      <c r="M77">
        <f>3*$D$58</f>
        <v>6</v>
      </c>
      <c r="N77">
        <f>(E62-3*E58)</f>
        <v>30</v>
      </c>
      <c r="O77">
        <f>3*$F$58</f>
        <v>6</v>
      </c>
      <c r="P77">
        <f t="shared" si="3"/>
        <v>972000</v>
      </c>
    </row>
    <row r="78" spans="1:16" x14ac:dyDescent="0.25">
      <c r="B78" t="s">
        <v>74</v>
      </c>
      <c r="C78" t="s">
        <v>74</v>
      </c>
      <c r="D78" t="s">
        <v>74</v>
      </c>
      <c r="E78" t="s">
        <v>77</v>
      </c>
      <c r="F78" t="s">
        <v>77</v>
      </c>
      <c r="O78" t="s">
        <v>80</v>
      </c>
      <c r="P78" s="2">
        <f>SUM(P68:P77)</f>
        <v>7776000</v>
      </c>
    </row>
    <row r="79" spans="1:16" x14ac:dyDescent="0.25">
      <c r="B79" t="s">
        <v>74</v>
      </c>
      <c r="C79" t="s">
        <v>74</v>
      </c>
      <c r="D79" t="s">
        <v>77</v>
      </c>
      <c r="E79" t="s">
        <v>74</v>
      </c>
      <c r="F79" t="s">
        <v>77</v>
      </c>
    </row>
    <row r="80" spans="1:16" x14ac:dyDescent="0.25">
      <c r="B80" t="s">
        <v>74</v>
      </c>
      <c r="C80" t="s">
        <v>77</v>
      </c>
      <c r="D80" t="s">
        <v>74</v>
      </c>
      <c r="E80" t="s">
        <v>74</v>
      </c>
      <c r="F80" t="s">
        <v>77</v>
      </c>
    </row>
    <row r="81" spans="2:7" x14ac:dyDescent="0.25">
      <c r="B81" t="s">
        <v>77</v>
      </c>
      <c r="C81" t="s">
        <v>74</v>
      </c>
      <c r="D81" t="s">
        <v>74</v>
      </c>
      <c r="E81" t="s">
        <v>74</v>
      </c>
      <c r="F81" t="s">
        <v>77</v>
      </c>
    </row>
    <row r="82" spans="2:7" x14ac:dyDescent="0.25">
      <c r="B82" t="s">
        <v>74</v>
      </c>
      <c r="C82" t="s">
        <v>74</v>
      </c>
      <c r="D82" t="s">
        <v>77</v>
      </c>
      <c r="E82" t="s">
        <v>77</v>
      </c>
      <c r="F82" t="s">
        <v>74</v>
      </c>
    </row>
    <row r="83" spans="2:7" x14ac:dyDescent="0.25">
      <c r="B83" t="s">
        <v>74</v>
      </c>
      <c r="C83" t="s">
        <v>77</v>
      </c>
      <c r="D83" t="s">
        <v>74</v>
      </c>
      <c r="E83" t="s">
        <v>77</v>
      </c>
      <c r="F83" t="s">
        <v>74</v>
      </c>
    </row>
    <row r="84" spans="2:7" x14ac:dyDescent="0.25">
      <c r="B84" t="s">
        <v>77</v>
      </c>
      <c r="C84" t="s">
        <v>74</v>
      </c>
      <c r="D84" t="s">
        <v>74</v>
      </c>
      <c r="E84" t="s">
        <v>77</v>
      </c>
      <c r="F84" t="s">
        <v>74</v>
      </c>
    </row>
    <row r="85" spans="2:7" x14ac:dyDescent="0.25">
      <c r="B85" t="s">
        <v>74</v>
      </c>
      <c r="C85" t="s">
        <v>77</v>
      </c>
      <c r="D85" t="s">
        <v>77</v>
      </c>
      <c r="E85" t="s">
        <v>74</v>
      </c>
      <c r="F85" t="s">
        <v>74</v>
      </c>
    </row>
    <row r="86" spans="2:7" x14ac:dyDescent="0.25">
      <c r="B86" t="s">
        <v>77</v>
      </c>
      <c r="C86" t="s">
        <v>74</v>
      </c>
      <c r="D86" t="s">
        <v>77</v>
      </c>
      <c r="E86" t="s">
        <v>74</v>
      </c>
      <c r="F86" t="s">
        <v>74</v>
      </c>
    </row>
    <row r="87" spans="2:7" x14ac:dyDescent="0.25">
      <c r="B87" t="s">
        <v>77</v>
      </c>
      <c r="C87" t="s">
        <v>77</v>
      </c>
      <c r="D87" t="s">
        <v>74</v>
      </c>
      <c r="E87" t="s">
        <v>74</v>
      </c>
      <c r="F87" t="s">
        <v>74</v>
      </c>
    </row>
    <row r="89" spans="2:7" x14ac:dyDescent="0.25">
      <c r="B89">
        <f>3*$B$58</f>
        <v>3</v>
      </c>
      <c r="C89">
        <f>3*$C$58</f>
        <v>6</v>
      </c>
      <c r="D89">
        <f>3*$D$58</f>
        <v>6</v>
      </c>
      <c r="E89">
        <f>(E62-3*E58)</f>
        <v>30</v>
      </c>
      <c r="F89">
        <f>(F62-3*F58)</f>
        <v>30</v>
      </c>
      <c r="G89">
        <f>B89*C89*D89*E89*F89</f>
        <v>97200</v>
      </c>
    </row>
    <row r="90" spans="2:7" x14ac:dyDescent="0.25">
      <c r="B90">
        <f>3*$B$58</f>
        <v>3</v>
      </c>
      <c r="C90">
        <f>3*$C$58</f>
        <v>6</v>
      </c>
      <c r="D90">
        <f>(D62-3*D58)</f>
        <v>30</v>
      </c>
      <c r="E90">
        <f>3*$E$58</f>
        <v>6</v>
      </c>
      <c r="F90">
        <f>(F62-3*F58)</f>
        <v>30</v>
      </c>
      <c r="G90">
        <f t="shared" ref="G90:G98" si="4">B90*C90*D90*E90*F90</f>
        <v>97200</v>
      </c>
    </row>
    <row r="91" spans="2:7" x14ac:dyDescent="0.25">
      <c r="B91">
        <f>3*$B$58</f>
        <v>3</v>
      </c>
      <c r="C91">
        <f>(C62-3*C58)</f>
        <v>30</v>
      </c>
      <c r="D91">
        <f>3*$D$58</f>
        <v>6</v>
      </c>
      <c r="E91">
        <f>3*$E$58</f>
        <v>6</v>
      </c>
      <c r="F91">
        <f>(F62-3*F58)</f>
        <v>30</v>
      </c>
      <c r="G91">
        <f t="shared" si="4"/>
        <v>97200</v>
      </c>
    </row>
    <row r="92" spans="2:7" x14ac:dyDescent="0.25">
      <c r="B92">
        <f>(B62-3*B58)</f>
        <v>30</v>
      </c>
      <c r="C92">
        <f>3*$C$58</f>
        <v>6</v>
      </c>
      <c r="D92">
        <f>3*$D$58</f>
        <v>6</v>
      </c>
      <c r="E92">
        <f>3*$E$58</f>
        <v>6</v>
      </c>
      <c r="F92">
        <f>(F62-3*F58)</f>
        <v>30</v>
      </c>
      <c r="G92">
        <f t="shared" si="4"/>
        <v>194400</v>
      </c>
    </row>
    <row r="93" spans="2:7" x14ac:dyDescent="0.25">
      <c r="B93">
        <f>3*$B$58</f>
        <v>3</v>
      </c>
      <c r="C93">
        <f>3*$C$58</f>
        <v>6</v>
      </c>
      <c r="D93">
        <f>(D62-3*D58)</f>
        <v>30</v>
      </c>
      <c r="E93">
        <f>(E62-3*E58)</f>
        <v>30</v>
      </c>
      <c r="F93">
        <f t="shared" ref="F93:F98" si="5">3*$F$58</f>
        <v>6</v>
      </c>
      <c r="G93">
        <f t="shared" si="4"/>
        <v>97200</v>
      </c>
    </row>
    <row r="94" spans="2:7" x14ac:dyDescent="0.25">
      <c r="B94">
        <f>3*$B$58</f>
        <v>3</v>
      </c>
      <c r="C94">
        <f>(C62-3*C58)</f>
        <v>30</v>
      </c>
      <c r="D94">
        <f>3*$D$58</f>
        <v>6</v>
      </c>
      <c r="E94">
        <f>(E62-3*E58)</f>
        <v>30</v>
      </c>
      <c r="F94">
        <f t="shared" si="5"/>
        <v>6</v>
      </c>
      <c r="G94">
        <f t="shared" si="4"/>
        <v>97200</v>
      </c>
    </row>
    <row r="95" spans="2:7" x14ac:dyDescent="0.25">
      <c r="B95">
        <f>(B62-3*B58)</f>
        <v>30</v>
      </c>
      <c r="C95">
        <f>3*$C$58</f>
        <v>6</v>
      </c>
      <c r="D95">
        <f>3*$D$58</f>
        <v>6</v>
      </c>
      <c r="E95">
        <f>(E62-3*E58)</f>
        <v>30</v>
      </c>
      <c r="F95">
        <f t="shared" si="5"/>
        <v>6</v>
      </c>
      <c r="G95">
        <f t="shared" si="4"/>
        <v>194400</v>
      </c>
    </row>
    <row r="96" spans="2:7" x14ac:dyDescent="0.25">
      <c r="B96">
        <f>3*$B$58</f>
        <v>3</v>
      </c>
      <c r="C96">
        <f>(C62-3*C58)</f>
        <v>30</v>
      </c>
      <c r="D96">
        <f>(D62-3*D58)</f>
        <v>30</v>
      </c>
      <c r="E96">
        <f>3*$E$58</f>
        <v>6</v>
      </c>
      <c r="F96">
        <f t="shared" si="5"/>
        <v>6</v>
      </c>
      <c r="G96">
        <f t="shared" si="4"/>
        <v>97200</v>
      </c>
    </row>
    <row r="97" spans="2:7" x14ac:dyDescent="0.25">
      <c r="B97">
        <f>(B62-3*B58)</f>
        <v>30</v>
      </c>
      <c r="C97">
        <f>3*$C$58</f>
        <v>6</v>
      </c>
      <c r="D97">
        <f>(D62-3*D58)</f>
        <v>30</v>
      </c>
      <c r="E97">
        <f>3*$E$58</f>
        <v>6</v>
      </c>
      <c r="F97">
        <f t="shared" si="5"/>
        <v>6</v>
      </c>
      <c r="G97">
        <f t="shared" si="4"/>
        <v>194400</v>
      </c>
    </row>
    <row r="98" spans="2:7" x14ac:dyDescent="0.25">
      <c r="B98">
        <f>(B62-3*B58)</f>
        <v>30</v>
      </c>
      <c r="C98">
        <f>(C62-3*C58)</f>
        <v>30</v>
      </c>
      <c r="D98">
        <f>3*$D$58</f>
        <v>6</v>
      </c>
      <c r="E98">
        <f>3*$E$58</f>
        <v>6</v>
      </c>
      <c r="F98">
        <f t="shared" si="5"/>
        <v>6</v>
      </c>
      <c r="G98">
        <f t="shared" si="4"/>
        <v>194400</v>
      </c>
    </row>
    <row r="99" spans="2:7" x14ac:dyDescent="0.25">
      <c r="F99" t="s">
        <v>80</v>
      </c>
      <c r="G99" s="2">
        <f>SUM(G89:G98)</f>
        <v>1360800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3" zoomScale="85" zoomScaleNormal="85" workbookViewId="0">
      <selection activeCell="P1" sqref="P1"/>
    </sheetView>
  </sheetViews>
  <sheetFormatPr defaultRowHeight="15" x14ac:dyDescent="0.25"/>
  <cols>
    <col min="21" max="21" width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slot designer analysis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Pantelis-Arsenios</cp:lastModifiedBy>
  <dcterms:created xsi:type="dcterms:W3CDTF">2018-07-09T12:19:10Z</dcterms:created>
  <dcterms:modified xsi:type="dcterms:W3CDTF">2018-12-06T09:03:22Z</dcterms:modified>
</cp:coreProperties>
</file>