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4 Week 4\01 Workbooks\"/>
    </mc:Choice>
  </mc:AlternateContent>
  <bookViews>
    <workbookView xWindow="0" yWindow="0" windowWidth="28800" windowHeight="13275" activeTab="1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0" l="1"/>
  <c r="G23" i="10"/>
  <c r="G24" i="10"/>
  <c r="G25" i="10"/>
  <c r="F9" i="10" l="1"/>
  <c r="G19" i="10" l="1"/>
  <c r="C15" i="10"/>
  <c r="H24" i="10" l="1"/>
  <c r="B8" i="10"/>
  <c r="B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5" i="10"/>
  <c r="B18" i="10"/>
  <c r="D8" i="15"/>
  <c r="Z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B6" i="10" l="1"/>
  <c r="B14" i="10"/>
  <c r="B16" i="10"/>
  <c r="D5" i="12"/>
  <c r="D6" i="12"/>
  <c r="D7" i="12"/>
  <c r="D8" i="12"/>
  <c r="D9" i="12"/>
  <c r="D10" i="12"/>
  <c r="D11" i="12"/>
  <c r="D12" i="12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D29" i="12"/>
  <c r="D30" i="12"/>
  <c r="D31" i="12"/>
  <c r="B15" i="10" s="1"/>
  <c r="D32" i="12"/>
  <c r="D33" i="12"/>
  <c r="D34" i="12"/>
  <c r="B17" i="10" s="1"/>
  <c r="D35" i="12"/>
  <c r="D36" i="12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H31" i="10" l="1"/>
  <c r="H33" i="10"/>
  <c r="H30" i="10"/>
  <c r="H34" i="10" s="1"/>
  <c r="H32" i="10"/>
  <c r="B30" i="10"/>
  <c r="C30" i="10" s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E12" i="10" l="1"/>
  <c r="E8" i="10"/>
  <c r="F16" i="10"/>
  <c r="G8" i="10"/>
  <c r="G13" i="10"/>
  <c r="G15" i="10"/>
  <c r="E13" i="10"/>
  <c r="E25" i="10"/>
  <c r="F18" i="10"/>
  <c r="C23" i="10"/>
  <c r="D14" i="10"/>
  <c r="D9" i="10"/>
  <c r="D13" i="10"/>
  <c r="E9" i="10"/>
  <c r="F17" i="10"/>
  <c r="G14" i="10"/>
  <c r="G11" i="10"/>
  <c r="G18" i="10"/>
  <c r="F25" i="10"/>
  <c r="B7" i="15" s="1"/>
  <c r="C7" i="15" s="1"/>
  <c r="E7" i="15" s="1"/>
  <c r="G12" i="10"/>
  <c r="C32" i="10" s="1"/>
  <c r="F24" i="10"/>
  <c r="B6" i="15" s="1"/>
  <c r="C6" i="15" s="1"/>
  <c r="E6" i="15" s="1"/>
  <c r="D12" i="10"/>
  <c r="D25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D23" i="10"/>
  <c r="E16" i="10"/>
  <c r="C24" i="10"/>
  <c r="D17" i="10"/>
  <c r="D6" i="10"/>
  <c r="D24" i="10"/>
  <c r="E17" i="10"/>
  <c r="E11" i="10"/>
  <c r="E23" i="10"/>
  <c r="F7" i="10"/>
  <c r="G6" i="10"/>
  <c r="F8" i="10"/>
  <c r="C8" i="10" s="1"/>
  <c r="G16" i="10"/>
  <c r="F23" i="10"/>
  <c r="G10" i="10"/>
  <c r="G7" i="10"/>
  <c r="G9" i="10"/>
  <c r="G5" i="10"/>
  <c r="D5" i="10"/>
  <c r="E5" i="10"/>
  <c r="F26" i="10" l="1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C19" i="10" s="1"/>
  <c r="D19" i="10"/>
  <c r="C5" i="15" l="1"/>
  <c r="B8" i="15"/>
  <c r="C31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<sst xmlns="http://schemas.openxmlformats.org/spreadsheetml/2006/main" count="12806" uniqueCount="2160">
  <si>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</si>
  <si>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</si>
  <si>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</si>
  <si>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</si>
  <si>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</si>
  <si>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</si>
  <si>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</si>
  <si>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</si>
  <si>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</si>
  <si>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</si>
  <si>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</si>
  <si>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</si>
  <si>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</si>
  <si>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</si>
  <si>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</si>
  <si>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</si>
  <si>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</si>
  <si>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</si>
  <si>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</si>
  <si>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</si>
  <si>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</si>
  <si>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</si>
  <si>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</si>
  <si>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</si>
  <si>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</si>
  <si>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</si>
  <si>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</si>
  <si>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</si>
  <si>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</si>
  <si>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</si>
  <si>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</si>
  <si>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</si>
  <si>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</si>
  <si>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</si>
  <si>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</si>
  <si>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</si>
  <si>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</si>
  <si>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</si>
  <si>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</si>
  <si>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</si>
  <si>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</si>
  <si>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</si>
  <si>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</si>
  <si>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</si>
  <si>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</si>
  <si>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</si>
  <si>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</si>
  <si>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</si>
  <si>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</si>
  <si>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</si>
  <si>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</si>
  <si>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</si>
  <si>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</si>
  <si>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</si>
  <si>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</si>
  <si>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</si>
  <si>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</si>
  <si>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</si>
  <si>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</si>
  <si>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</si>
  <si>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</si>
  <si>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</si>
  <si>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</si>
  <si>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</si>
  <si>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</si>
  <si>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</si>
  <si>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</si>
  <si>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</si>
  <si>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</si>
  <si>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</si>
  <si>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</si>
  <si>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</si>
  <si>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</si>
  <si>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</si>
  <si>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</si>
  <si>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</si>
  <si>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</si>
  <si>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</si>
  <si>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</si>
  <si>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</si>
  <si>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</si>
  <si>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</si>
  <si>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</si>
  <si>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</si>
  <si>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</si>
  <si>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</si>
  <si>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</si>
  <si>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</si>
  <si>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</si>
  <si>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</si>
  <si>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</si>
  <si>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</si>
  <si>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</si>
  <si>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</si>
  <si>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</si>
  <si>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</si>
  <si>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</si>
  <si>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</si>
  <si>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</si>
  <si>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</si>
  <si>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</si>
  <si>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</si>
  <si>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</si>
  <si>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</si>
  <si>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</si>
  <si>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</si>
  <si>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</si>
  <si>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</si>
  <si>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</si>
  <si>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</si>
  <si>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</si>
  <si>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</si>
  <si>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</si>
  <si>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</si>
  <si>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</si>
  <si>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</si>
  <si>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</si>
  <si>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</si>
  <si>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</si>
  <si>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</si>
  <si>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</si>
  <si>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</si>
  <si>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</si>
  <si>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</si>
  <si>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</si>
  <si>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</si>
  <si>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</si>
  <si>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</si>
  <si>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</si>
  <si>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</si>
  <si>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</si>
  <si>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</si>
  <si>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</si>
  <si>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</si>
  <si>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</si>
  <si>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</si>
  <si>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</si>
  <si>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</si>
  <si>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</si>
  <si>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</si>
  <si>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</si>
  <si>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</si>
  <si>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</si>
  <si>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</si>
  <si>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</si>
  <si>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</si>
  <si>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</si>
  <si>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</si>
  <si>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</si>
  <si>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</si>
  <si>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</si>
  <si>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</si>
  <si>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</si>
  <si>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</si>
  <si>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</si>
  <si>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</si>
  <si>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</si>
  <si>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</si>
  <si>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</si>
  <si>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</si>
  <si>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</si>
  <si>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</si>
  <si>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</si>
  <si>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</si>
  <si>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</si>
  <si>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</si>
  <si>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</si>
  <si>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</si>
  <si>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</si>
  <si>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</si>
  <si>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</si>
  <si>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</si>
  <si>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</si>
  <si>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</si>
  <si>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</si>
  <si>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</si>
  <si>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</si>
  <si>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</si>
  <si>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</si>
  <si>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</si>
  <si>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</si>
  <si>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</si>
  <si>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</si>
  <si>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</si>
  <si>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</si>
  <si>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</si>
  <si>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</si>
  <si>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</si>
  <si>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</si>
  <si>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</si>
  <si>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</si>
  <si>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</si>
  <si>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</si>
  <si>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</si>
  <si>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</si>
  <si>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</si>
  <si>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</si>
  <si>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</si>
  <si>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</si>
  <si>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</si>
  <si>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</si>
  <si>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</si>
  <si>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</si>
  <si>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</si>
  <si>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</si>
  <si>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</si>
  <si>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</si>
  <si>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</si>
  <si>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</si>
  <si>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</si>
  <si>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</si>
  <si>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</si>
  <si>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</si>
  <si>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</si>
  <si>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</si>
  <si>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</si>
  <si>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</si>
  <si>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</si>
  <si>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</si>
  <si>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</si>
  <si>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</si>
  <si>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</si>
  <si>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</si>
  <si>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</si>
  <si>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</si>
  <si>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</si>
  <si>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</si>
  <si>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</si>
  <si>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</si>
  <si>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</si>
  <si>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</si>
  <si>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</si>
  <si>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</si>
  <si>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</si>
  <si>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</si>
  <si>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</si>
  <si>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</si>
  <si>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</si>
  <si>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</si>
  <si>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</si>
  <si>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</si>
  <si>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</si>
  <si>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</si>
  <si>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</si>
  <si>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</si>
  <si>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</si>
  <si>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</si>
  <si>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</si>
  <si>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</si>
  <si>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</si>
  <si>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</si>
  <si>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</si>
  <si>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</si>
  <si>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</si>
  <si>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</si>
  <si>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</si>
  <si>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</si>
  <si>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</si>
  <si>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</si>
  <si>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</si>
  <si>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</si>
  <si>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</si>
  <si>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</si>
  <si>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</si>
  <si>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</si>
  <si>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</si>
  <si>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</si>
  <si>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</si>
  <si>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</si>
  <si>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</si>
  <si>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</si>
  <si>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</si>
  <si>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</si>
  <si>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</si>
  <si>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</si>
  <si>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</si>
  <si>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</si>
  <si>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</si>
  <si>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</si>
  <si>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</si>
  <si>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</si>
  <si>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</si>
  <si>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</si>
  <si>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</si>
  <si>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</si>
  <si>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</si>
  <si>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</si>
  <si>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</si>
  <si>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</si>
  <si>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</si>
  <si>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</si>
  <si>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</si>
  <si>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</si>
  <si>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</si>
  <si>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</si>
  <si>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</si>
  <si>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</si>
  <si>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</si>
  <si>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</si>
  <si>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</si>
  <si>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</si>
  <si>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</si>
  <si>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</si>
  <si>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</si>
  <si>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</si>
  <si>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</si>
  <si>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</si>
  <si>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</si>
  <si>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</si>
  <si>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</si>
  <si>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</si>
  <si>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</si>
  <si>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</si>
  <si>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</si>
  <si>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</si>
  <si>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</si>
  <si>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</si>
  <si>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</si>
  <si>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</si>
  <si>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</si>
  <si>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</si>
  <si>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</si>
  <si>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</si>
  <si>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</si>
  <si>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</si>
  <si>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</si>
  <si>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</si>
  <si>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</si>
  <si>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</si>
  <si>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</si>
  <si>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</si>
  <si>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</si>
  <si>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</si>
  <si>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</si>
  <si>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</si>
  <si>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</si>
  <si>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</si>
  <si>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</si>
  <si>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</si>
  <si>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</si>
  <si>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</si>
  <si>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</si>
  <si>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</si>
  <si>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</si>
  <si>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</si>
  <si>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</si>
  <si>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</si>
  <si>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</si>
  <si>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</si>
  <si>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</si>
  <si>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</si>
  <si>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</si>
  <si>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</si>
  <si>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</si>
  <si>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</si>
  <si>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</si>
  <si>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</si>
  <si>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</si>
  <si>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</si>
  <si>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</si>
  <si>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</si>
  <si>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</si>
  <si>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</si>
  <si>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</si>
  <si>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</si>
  <si>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</si>
  <si>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</si>
  <si>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</si>
  <si>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</si>
  <si>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</si>
  <si>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</si>
  <si>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</si>
  <si>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</si>
  <si>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</si>
  <si>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</si>
  <si>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</si>
  <si>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</si>
  <si>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</si>
  <si>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</si>
  <si>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</si>
  <si>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</si>
  <si>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</si>
  <si>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</si>
  <si>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</si>
  <si>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</si>
  <si>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</si>
  <si>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</si>
  <si>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</si>
  <si>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</si>
  <si>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</si>
  <si>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</si>
  <si>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</si>
  <si>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</si>
  <si>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</si>
  <si>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</si>
  <si>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</si>
  <si>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</si>
  <si>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</si>
  <si>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</si>
  <si>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</si>
  <si>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</si>
  <si>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</si>
  <si>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</si>
  <si>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</si>
  <si>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</si>
  <si>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</si>
  <si>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</si>
  <si>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</si>
  <si>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</si>
  <si>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</si>
  <si>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</si>
  <si>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</si>
  <si>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</si>
  <si>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</si>
  <si>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</si>
  <si>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</si>
  <si>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</si>
  <si>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</si>
  <si>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</si>
  <si>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</si>
  <si>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</si>
  <si>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</si>
  <si>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</si>
  <si>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</si>
  <si>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</si>
  <si>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</si>
  <si>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</si>
  <si>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</si>
  <si>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</si>
  <si>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</si>
  <si>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</si>
  <si>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</si>
  <si>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</si>
  <si>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</si>
  <si>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</si>
  <si>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</si>
  <si>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</si>
  <si>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</si>
  <si>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</si>
  <si>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</si>
  <si>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</si>
  <si>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</si>
  <si>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</si>
  <si>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</si>
  <si>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</si>
  <si>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</si>
  <si>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</si>
  <si>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</si>
  <si>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</si>
  <si>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</si>
  <si>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</si>
  <si>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</si>
  <si>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</si>
  <si>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</si>
  <si>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</si>
  <si>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</si>
  <si>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</si>
  <si>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</si>
  <si>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</si>
  <si>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</si>
  <si>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</si>
  <si>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</si>
  <si>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</si>
  <si>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</si>
  <si>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</si>
  <si>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</si>
  <si>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</si>
  <si>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</si>
  <si>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</si>
  <si>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</si>
  <si>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</si>
  <si>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</si>
  <si>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</si>
  <si>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</si>
  <si>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</si>
  <si>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</si>
  <si>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</si>
  <si>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</si>
  <si>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</si>
  <si>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</si>
  <si>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</si>
  <si>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</si>
  <si>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</si>
  <si>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</si>
  <si>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</si>
  <si>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</si>
  <si>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</si>
  <si>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</si>
  <si>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</si>
  <si>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</si>
  <si>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</si>
  <si>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</si>
  <si>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</si>
  <si>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</si>
  <si>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</si>
  <si>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</si>
  <si>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</si>
  <si>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</si>
  <si>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</si>
  <si>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</si>
  <si>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</si>
  <si>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</si>
  <si>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</si>
  <si>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</si>
  <si>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</si>
  <si>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</si>
  <si>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</si>
  <si>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</si>
  <si>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</si>
  <si>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</si>
  <si>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</si>
  <si>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</si>
  <si>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</si>
  <si>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</si>
  <si>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</si>
  <si>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</si>
  <si>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</si>
  <si>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</si>
  <si>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</si>
  <si>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</si>
  <si>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</si>
  <si>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</si>
  <si>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</si>
  <si>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</si>
  <si>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</si>
  <si>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</si>
  <si>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</si>
  <si>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</si>
  <si>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</si>
  <si>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</si>
  <si>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</si>
  <si>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</si>
  <si>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</si>
  <si>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</si>
  <si>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</si>
  <si>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</si>
  <si>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</si>
  <si>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</si>
  <si>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</si>
  <si>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</si>
  <si>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</si>
  <si>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</si>
  <si>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</si>
  <si>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</si>
  <si>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</si>
  <si>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</si>
  <si>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</si>
  <si>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</si>
  <si>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</si>
  <si>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</si>
  <si>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</si>
  <si>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</si>
  <si>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</si>
  <si>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</si>
  <si>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</si>
  <si>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</si>
  <si>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</si>
  <si>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</si>
  <si>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</si>
  <si>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</si>
  <si>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</si>
  <si>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</si>
  <si>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</si>
  <si>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</si>
  <si>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</si>
  <si>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</si>
  <si>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</si>
  <si>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</si>
  <si>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</si>
  <si>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</si>
  <si>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</si>
  <si>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</si>
  <si>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</si>
  <si>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</si>
  <si>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</si>
  <si>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</si>
  <si>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</si>
  <si>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</si>
  <si>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</si>
  <si>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</si>
  <si>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</si>
  <si>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</si>
  <si>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</si>
  <si>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</si>
  <si>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</si>
  <si>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</si>
  <si>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</si>
  <si>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</si>
  <si>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</si>
  <si>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</si>
  <si>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</si>
  <si>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</si>
  <si>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</si>
  <si>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</si>
  <si>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</si>
  <si>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</si>
  <si>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</si>
  <si>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</si>
  <si>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</si>
  <si>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</si>
  <si>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</si>
  <si>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</si>
  <si>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</si>
  <si>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</si>
  <si>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</si>
  <si>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</si>
  <si>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</si>
  <si>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</si>
  <si>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</si>
  <si>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</si>
  <si>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</si>
  <si>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</si>
  <si>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</si>
  <si>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</si>
  <si>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</si>
  <si>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</si>
  <si>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</si>
  <si>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</si>
  <si>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</si>
  <si>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</si>
  <si>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</si>
  <si>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</si>
  <si>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</si>
  <si>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</si>
  <si>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</si>
  <si>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</si>
  <si>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</si>
  <si>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</si>
  <si>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</si>
  <si>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</si>
  <si>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</si>
  <si>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</si>
  <si>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</si>
  <si>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</si>
  <si>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</si>
  <si>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</si>
  <si>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</si>
  <si>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</si>
  <si>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</si>
  <si>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</si>
  <si>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</si>
  <si>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</si>
  <si>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</si>
  <si>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</si>
  <si>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</si>
  <si>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</si>
  <si>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</si>
  <si>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</si>
  <si>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</si>
  <si>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</si>
  <si>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</si>
  <si>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</si>
  <si>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</si>
  <si>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</si>
  <si>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</si>
  <si>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</si>
  <si>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</si>
  <si>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</si>
  <si>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</si>
  <si>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</si>
  <si>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</si>
  <si>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</si>
  <si>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</si>
  <si>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</si>
  <si>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</si>
  <si>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</si>
  <si>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</si>
  <si>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</si>
  <si>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</si>
  <si>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</si>
  <si>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</si>
  <si>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</si>
  <si>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</si>
  <si>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</si>
  <si>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</si>
  <si>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</si>
  <si>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</si>
  <si>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</si>
  <si>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</si>
  <si>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</si>
  <si>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</si>
  <si>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</si>
  <si>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</si>
  <si>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</si>
  <si>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</si>
  <si>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</si>
  <si>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</si>
  <si>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</si>
  <si>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</si>
  <si>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</si>
  <si>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</si>
  <si>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</si>
  <si>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</si>
  <si>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</si>
  <si>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</si>
  <si>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</si>
  <si>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</si>
  <si>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</si>
  <si>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</si>
  <si>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</si>
  <si>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</si>
  <si>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</si>
  <si>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</si>
  <si>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</si>
  <si>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</si>
  <si>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</si>
  <si>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</si>
  <si>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</si>
  <si>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</si>
  <si>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</si>
  <si>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</si>
  <si>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</si>
  <si>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</si>
  <si>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</si>
  <si>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</si>
  <si>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</si>
  <si>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</si>
  <si>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</si>
  <si>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</si>
  <si>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</si>
  <si>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</si>
  <si>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</si>
  <si>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</si>
  <si>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</si>
  <si>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</si>
  <si>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</si>
  <si>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</si>
  <si>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</si>
  <si>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</si>
  <si>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</si>
  <si>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</si>
  <si>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</si>
  <si>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</si>
  <si>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</si>
  <si>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</si>
  <si>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</si>
  <si>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</si>
  <si>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</si>
  <si>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</si>
  <si>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</si>
  <si>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</si>
  <si>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</si>
  <si>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</si>
  <si>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</si>
  <si>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</si>
  <si>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</si>
  <si>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</si>
  <si>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</si>
  <si>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</si>
  <si>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</si>
  <si>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</si>
  <si>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</si>
  <si>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</si>
  <si>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</si>
  <si>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</si>
  <si>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</si>
  <si>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</si>
  <si>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</si>
  <si>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</si>
  <si>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</si>
  <si>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</si>
  <si>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</si>
  <si>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</si>
  <si>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</si>
  <si>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</si>
  <si>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</si>
  <si>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</si>
  <si>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</si>
  <si>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</si>
  <si>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</si>
  <si>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</si>
  <si>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</si>
  <si>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</si>
  <si>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</si>
  <si>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</si>
  <si>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</si>
  <si>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</si>
  <si>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</si>
  <si>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</si>
  <si>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</si>
  <si>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</si>
  <si>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</si>
  <si>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</si>
  <si>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</si>
  <si>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</si>
  <si>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</si>
  <si>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</si>
  <si>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</si>
  <si>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</si>
  <si>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</si>
  <si>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</si>
  <si>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</si>
  <si>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</si>
  <si>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</si>
  <si>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</si>
  <si>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</si>
  <si>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</si>
  <si>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</si>
  <si>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</si>
  <si>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</si>
  <si>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</si>
  <si>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</si>
  <si>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</si>
  <si>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</si>
  <si>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</si>
  <si>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</si>
  <si>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</si>
  <si>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</si>
  <si>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</si>
  <si>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</si>
  <si>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</si>
  <si>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</si>
  <si>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</si>
  <si>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</si>
  <si>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</si>
  <si>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</si>
  <si>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</si>
  <si>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</si>
  <si>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</si>
  <si>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</si>
  <si>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</si>
  <si>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</si>
  <si>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</si>
  <si>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</si>
  <si>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</si>
  <si>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</si>
  <si>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</si>
  <si>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</si>
  <si>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</si>
  <si>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</si>
  <si>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</si>
  <si>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</si>
  <si>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</si>
  <si>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</si>
  <si>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</si>
  <si>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</si>
  <si>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</si>
  <si>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</si>
  <si>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</si>
  <si>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</si>
  <si>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</si>
  <si>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</si>
  <si>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</si>
  <si>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</si>
  <si>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</si>
  <si>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</si>
  <si>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</si>
  <si>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</si>
  <si>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</si>
  <si>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</si>
  <si>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</si>
  <si>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</si>
  <si>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</si>
  <si>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</si>
  <si>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</si>
  <si>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</si>
  <si>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</si>
  <si>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</si>
  <si>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</si>
  <si>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</si>
  <si>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</si>
  <si>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</si>
  <si>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</si>
  <si>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</si>
  <si>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</si>
  <si>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</si>
  <si>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</si>
  <si>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</si>
  <si>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</si>
  <si>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</si>
  <si>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</si>
  <si>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</si>
  <si>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</si>
  <si>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</si>
  <si>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</si>
  <si>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</si>
  <si>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</si>
  <si>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</si>
  <si>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</si>
  <si>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</si>
  <si>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</si>
  <si>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</si>
  <si>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</si>
  <si>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</si>
  <si>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</si>
  <si>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</si>
  <si>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</si>
  <si>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</si>
  <si>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</si>
  <si>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</si>
  <si>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</si>
  <si>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</si>
  <si>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</si>
  <si>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</si>
  <si>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</si>
  <si>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</si>
  <si>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</si>
  <si>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</si>
  <si>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</si>
  <si>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</si>
  <si>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</si>
  <si>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</si>
  <si>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</si>
  <si>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</si>
  <si>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</si>
  <si>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</si>
  <si>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</si>
  <si>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</si>
  <si>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</si>
  <si>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</si>
  <si>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</si>
  <si>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</si>
  <si>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</si>
  <si>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</si>
  <si>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</si>
  <si>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</si>
  <si>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</si>
  <si>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</si>
  <si>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</si>
  <si>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</si>
  <si>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</si>
  <si>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</si>
  <si>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</si>
  <si>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</si>
  <si>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</si>
  <si>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</si>
  <si>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</si>
  <si>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</si>
  <si>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</si>
  <si>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</si>
  <si>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</si>
  <si>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</si>
  <si>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</si>
  <si>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</si>
  <si>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</si>
  <si>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</si>
  <si>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</si>
  <si>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</si>
  <si>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</si>
  <si>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</si>
  <si>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</si>
  <si>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</si>
  <si>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</si>
  <si>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</si>
  <si>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</si>
  <si>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</si>
  <si>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</si>
  <si>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</si>
  <si>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</si>
  <si>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</si>
  <si>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</si>
  <si>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</si>
  <si>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</si>
  <si>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</si>
  <si>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</si>
  <si>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</si>
  <si>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</si>
  <si>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</si>
  <si>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</si>
  <si>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</si>
  <si>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</si>
  <si>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</si>
  <si>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</si>
  <si>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</si>
  <si>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</si>
  <si>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</si>
  <si>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</si>
  <si>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</si>
  <si>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</si>
  <si>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</si>
  <si>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</si>
  <si>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</si>
  <si>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</si>
  <si>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</si>
  <si>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</si>
  <si>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</si>
  <si>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</si>
  <si>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</si>
  <si>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</si>
  <si>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</si>
  <si>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</si>
  <si>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</si>
  <si>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</si>
  <si>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</si>
  <si>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</si>
  <si>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</si>
  <si>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</si>
  <si>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</si>
  <si>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</si>
  <si>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</si>
  <si>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</si>
  <si>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</si>
  <si>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</si>
  <si>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</si>
  <si>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</si>
  <si>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</si>
  <si>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</si>
  <si>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</si>
  <si>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</si>
  <si>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</si>
  <si>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</si>
  <si>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</si>
  <si>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</si>
  <si>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</si>
  <si>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</si>
  <si>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</si>
  <si>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</si>
  <si>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</si>
  <si>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</si>
  <si>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</si>
  <si>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</si>
  <si>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</si>
  <si>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</si>
  <si>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</si>
  <si>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</si>
  <si>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</si>
  <si>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</si>
  <si>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</si>
  <si>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</si>
  <si>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</si>
  <si>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</si>
  <si>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</si>
  <si>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</si>
  <si>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</si>
  <si>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</si>
  <si>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</si>
  <si>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</si>
  <si>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</si>
  <si>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</si>
  <si>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</si>
  <si>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</si>
  <si>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</si>
  <si>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</si>
  <si>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</si>
  <si>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</si>
  <si>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</si>
  <si>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</si>
  <si>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</si>
  <si>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</si>
  <si>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</si>
  <si>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</si>
  <si>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</si>
  <si>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</si>
  <si>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</si>
  <si>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</si>
  <si>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</si>
  <si>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</si>
  <si>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</si>
  <si>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</si>
  <si>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</si>
  <si>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</si>
  <si>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</si>
  <si>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</si>
  <si>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</si>
  <si>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</si>
  <si>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</si>
  <si>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</si>
  <si>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</si>
  <si>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</si>
  <si>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</si>
  <si>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</si>
  <si>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</si>
  <si>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</si>
  <si>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</si>
  <si>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</si>
  <si>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</si>
  <si>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</si>
  <si>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</si>
  <si>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</si>
  <si>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</si>
  <si>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</si>
  <si>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</si>
  <si>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</si>
  <si>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</si>
  <si>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</si>
  <si>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</si>
  <si>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</si>
  <si>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</si>
  <si>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</si>
  <si>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</si>
  <si>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</si>
  <si>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</si>
  <si>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</si>
  <si>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</si>
  <si>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</si>
  <si>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</si>
  <si>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</si>
  <si>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</si>
  <si>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</si>
  <si>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</si>
  <si>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</si>
  <si>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</si>
  <si>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</si>
  <si>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</si>
  <si>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</si>
  <si>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</si>
  <si>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</si>
  <si>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</si>
  <si>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</si>
  <si>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</si>
  <si>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</si>
  <si>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</si>
  <si>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</si>
  <si>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</si>
  <si>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</si>
  <si>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</si>
  <si>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</si>
  <si>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</si>
  <si>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</si>
  <si>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</si>
  <si>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</si>
  <si>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</si>
  <si>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</si>
  <si>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</si>
  <si>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</si>
  <si>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</si>
  <si>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</si>
  <si>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</si>
  <si>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</si>
  <si>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</si>
  <si>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</si>
  <si>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</si>
  <si>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</si>
  <si>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</si>
  <si>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</si>
  <si>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</si>
  <si>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</si>
  <si>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</si>
  <si>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</si>
  <si>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</si>
  <si>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</si>
  <si>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</si>
  <si>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</si>
  <si>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</si>
  <si>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</si>
  <si>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</si>
  <si>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</si>
  <si>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</si>
  <si>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</si>
  <si>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</si>
  <si>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</si>
  <si>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</si>
  <si>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</si>
  <si>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</si>
  <si>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</si>
  <si>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</si>
  <si>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</si>
  <si>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</si>
  <si>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</si>
  <si>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</si>
  <si>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</si>
  <si>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</si>
  <si>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</si>
  <si>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</si>
  <si>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</si>
  <si>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</si>
  <si>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</si>
  <si>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</si>
  <si>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</si>
  <si>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</si>
  <si>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</si>
  <si>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</si>
  <si>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</si>
  <si>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</si>
  <si>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</si>
  <si>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</si>
  <si>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</si>
  <si>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</si>
  <si>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</si>
  <si>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</si>
  <si>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</si>
  <si>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</si>
  <si>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</si>
  <si>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</si>
  <si>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</si>
  <si>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</si>
  <si>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</si>
  <si>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</si>
  <si>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</si>
  <si>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</si>
  <si>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</si>
  <si>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</si>
  <si>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</si>
  <si>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</si>
  <si>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</si>
  <si>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</si>
  <si>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</si>
  <si>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</si>
  <si>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</si>
  <si>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</si>
  <si>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</si>
  <si>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</si>
  <si>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</si>
  <si>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</si>
  <si>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</si>
  <si>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</si>
  <si>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</si>
  <si>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</si>
  <si>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</si>
  <si>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</si>
  <si>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</si>
  <si>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</si>
  <si>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</si>
  <si>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</si>
  <si>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</si>
  <si>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</si>
  <si>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</si>
  <si>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</si>
  <si>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</si>
  <si>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</si>
  <si>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</si>
  <si>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</si>
  <si>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</si>
  <si>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</si>
  <si>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</si>
  <si>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</si>
  <si>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</si>
  <si>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</si>
  <si>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</si>
  <si>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</si>
  <si>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</si>
  <si>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</si>
  <si>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</si>
  <si>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</si>
  <si>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</si>
  <si>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</si>
  <si>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</si>
  <si>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</si>
  <si>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</si>
  <si>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</si>
  <si>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</si>
  <si>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</si>
  <si>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</si>
  <si>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</si>
  <si>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</si>
  <si>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</si>
  <si>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</si>
  <si>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</si>
  <si>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</si>
  <si>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</si>
  <si>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</si>
  <si>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</si>
  <si>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</si>
  <si>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</si>
  <si>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</si>
  <si>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</si>
  <si>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</si>
  <si>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</si>
  <si>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</si>
  <si>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</si>
  <si>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</si>
  <si>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</si>
  <si>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</si>
  <si>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</si>
  <si>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</si>
  <si>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</si>
  <si>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</si>
  <si>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</si>
  <si>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</si>
  <si>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</si>
  <si>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</si>
  <si>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</si>
  <si>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</si>
  <si>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</si>
  <si>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</si>
  <si>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</si>
  <si>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</si>
  <si>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</si>
  <si>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</si>
  <si>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</si>
  <si>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</si>
  <si>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</si>
  <si>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</si>
  <si>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</si>
  <si>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</si>
  <si>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</si>
  <si>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</si>
  <si>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</si>
  <si>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</si>
  <si>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</si>
  <si>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</si>
  <si>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</si>
  <si>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</si>
  <si>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</si>
  <si>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</si>
  <si>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</si>
  <si>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</si>
  <si>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</si>
  <si>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</si>
  <si>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</si>
  <si>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</si>
  <si>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</si>
  <si>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</si>
  <si>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</si>
  <si>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</si>
  <si>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</si>
  <si>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</si>
  <si>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</si>
  <si>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</si>
  <si>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</si>
  <si>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</si>
  <si>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</si>
  <si>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</si>
  <si>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</si>
  <si>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</si>
  <si>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</si>
  <si>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</si>
  <si>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</si>
  <si>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</si>
  <si>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</si>
  <si>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</si>
  <si>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</si>
  <si>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</si>
  <si>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</si>
  <si>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</si>
  <si>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</si>
  <si>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</si>
  <si>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</si>
  <si>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</si>
  <si>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</si>
  <si>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</si>
  <si>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</si>
  <si>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</si>
  <si>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</si>
  <si>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</si>
  <si>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</si>
  <si>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</si>
  <si>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</si>
  <si>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</si>
  <si>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</si>
  <si>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</si>
  <si>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</si>
  <si>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</si>
  <si>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</si>
  <si>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</si>
  <si>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</si>
  <si>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</si>
  <si>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</si>
  <si>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</si>
  <si>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</si>
  <si>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</si>
  <si>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</si>
  <si>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</si>
  <si>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</si>
  <si>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</si>
  <si>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</si>
  <si>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</si>
  <si>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</si>
  <si>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</si>
  <si>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</si>
  <si>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</si>
  <si>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</si>
  <si>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</si>
  <si>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</si>
  <si>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</si>
  <si>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</si>
  <si>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</si>
  <si>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</si>
  <si>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</si>
  <si>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</si>
  <si>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</si>
  <si>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</si>
  <si>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</si>
  <si>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</si>
  <si>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</si>
  <si>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</si>
  <si>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</si>
  <si>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</si>
  <si>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</si>
  <si>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</si>
  <si>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</si>
  <si>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</si>
  <si>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</si>
  <si>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</si>
  <si>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</si>
  <si>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</si>
  <si>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</si>
  <si>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</si>
  <si>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</si>
  <si>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</si>
  <si>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</si>
  <si>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</si>
  <si>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</si>
  <si>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</si>
  <si>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</si>
  <si>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</si>
  <si>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</si>
  <si>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</si>
  <si>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</si>
  <si>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</si>
  <si>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</si>
  <si>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</si>
  <si>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</si>
  <si>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</si>
  <si>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</si>
  <si>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</si>
  <si>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</si>
  <si>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</si>
  <si>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</si>
  <si>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</si>
  <si>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</si>
  <si>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</si>
  <si>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</si>
  <si>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</si>
  <si>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</si>
  <si>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</si>
  <si>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</si>
  <si>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</si>
  <si>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</si>
  <si>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</si>
  <si>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</si>
  <si>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</si>
  <si>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</si>
  <si>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</si>
  <si>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</si>
  <si>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</si>
  <si>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</si>
  <si>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</si>
  <si>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</si>
  <si>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</si>
  <si>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</si>
  <si>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</si>
  <si>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</si>
  <si>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</si>
  <si>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</si>
  <si>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</si>
  <si>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</si>
  <si>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</si>
  <si>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</si>
  <si>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</si>
  <si>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</si>
  <si>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</si>
  <si>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</si>
  <si>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</si>
  <si>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</si>
  <si>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</si>
  <si>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</si>
  <si>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</si>
  <si>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</si>
  <si>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</si>
  <si>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</si>
  <si>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</si>
  <si>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</si>
  <si>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</si>
  <si>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</si>
  <si>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</si>
  <si>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</si>
  <si>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</si>
  <si>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</si>
  <si>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</si>
  <si>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</si>
  <si>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</si>
  <si>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</si>
  <si>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</si>
  <si>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</si>
  <si>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</si>
  <si>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</si>
  <si>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</si>
  <si>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</si>
  <si>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</si>
  <si>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</si>
  <si>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</si>
  <si>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</si>
  <si>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</si>
  <si>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</si>
  <si>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</si>
  <si>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</si>
  <si>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</si>
  <si>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</si>
  <si>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</si>
  <si>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</si>
  <si>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</si>
  <si>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</si>
  <si>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</si>
  <si>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</si>
  <si>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</si>
  <si>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</si>
  <si>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</si>
  <si>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</si>
  <si>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</si>
  <si>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</si>
  <si>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</si>
  <si>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</si>
  <si>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</si>
  <si>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</si>
  <si>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</si>
  <si>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</si>
  <si>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</si>
  <si>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</si>
  <si>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</si>
  <si>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</si>
  <si>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</si>
  <si>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</si>
  <si>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</si>
  <si>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</si>
  <si>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</si>
  <si>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</si>
  <si>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</si>
  <si>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</si>
  <si>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</si>
  <si>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</si>
  <si>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</si>
  <si>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</si>
  <si>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</si>
  <si>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</si>
  <si>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</si>
  <si>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</si>
  <si>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</si>
  <si>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</si>
  <si>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</si>
  <si>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</si>
  <si>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</si>
  <si>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</si>
  <si>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</si>
  <si>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</si>
  <si>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</si>
  <si>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</si>
  <si>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</si>
  <si>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</si>
  <si>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</si>
  <si>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</si>
  <si>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</si>
  <si>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</si>
  <si>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</si>
  <si>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</si>
  <si>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</si>
  <si>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</si>
  <si>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</si>
  <si>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</si>
  <si>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</si>
  <si>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</si>
  <si>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</si>
  <si>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</si>
  <si>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</si>
  <si>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</si>
  <si>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</si>
  <si>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</si>
  <si>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</si>
  <si>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</si>
  <si>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</si>
  <si>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</si>
  <si>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</si>
  <si>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</si>
  <si>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</si>
  <si>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</si>
  <si>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</si>
  <si>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</si>
  <si>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</si>
  <si>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</si>
  <si>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</si>
  <si>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</si>
  <si>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</si>
  <si>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</si>
  <si>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</si>
  <si>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</si>
  <si>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</si>
  <si>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</si>
  <si>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</si>
  <si>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</si>
  <si>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</si>
  <si>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</si>
  <si>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</si>
  <si>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</si>
  <si>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</si>
  <si>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</si>
  <si>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</si>
  <si>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</si>
  <si>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</si>
  <si>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</si>
  <si>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</si>
  <si>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</si>
  <si>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</si>
  <si>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</si>
  <si>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</si>
  <si>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</si>
  <si>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</si>
  <si>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</si>
  <si>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</si>
  <si>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</si>
  <si>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</si>
  <si>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</si>
  <si>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</si>
  <si>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</si>
  <si>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</si>
  <si>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</si>
  <si>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</si>
  <si>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</si>
  <si>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</si>
  <si>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</si>
  <si>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</si>
  <si>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</si>
  <si>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</si>
  <si>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</si>
  <si>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</si>
  <si>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</si>
  <si>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</si>
  <si>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</si>
  <si>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</si>
  <si>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</si>
  <si>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</si>
  <si>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</si>
  <si>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</si>
  <si>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</si>
  <si>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</si>
  <si>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</si>
  <si>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</si>
  <si>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</si>
  <si>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</si>
  <si>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</si>
  <si>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</si>
  <si>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</si>
  <si>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</si>
  <si>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</si>
  <si>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</si>
  <si>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</si>
  <si>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</si>
  <si>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</si>
  <si>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</si>
  <si>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</si>
  <si>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</si>
  <si>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</si>
  <si>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</si>
  <si>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</si>
  <si>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</si>
  <si>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</si>
  <si>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</si>
  <si>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</si>
  <si>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</si>
  <si>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</si>
  <si>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</si>
  <si>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</si>
  <si>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</si>
  <si>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</si>
  <si>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</si>
  <si>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</si>
  <si>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</si>
  <si>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</si>
  <si>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</si>
  <si>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</si>
  <si>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</si>
  <si>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</si>
  <si>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</si>
  <si>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</si>
  <si>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</si>
  <si>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</si>
  <si>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</si>
  <si>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</si>
  <si>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</si>
  <si>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</si>
  <si>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</si>
  <si>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</si>
  <si>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</si>
  <si>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</si>
  <si>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</si>
  <si>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</si>
  <si>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</si>
  <si>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</si>
  <si>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</si>
  <si>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</si>
  <si>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</si>
  <si>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</si>
  <si>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</si>
  <si>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</si>
  <si>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</si>
  <si>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</si>
  <si>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</si>
  <si>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</si>
  <si>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</si>
  <si>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</si>
  <si>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</si>
  <si>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</si>
  <si>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</si>
  <si>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</si>
  <si>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</si>
  <si>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</si>
  <si>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</si>
  <si>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</si>
  <si>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</si>
  <si>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</si>
  <si>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</si>
  <si>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</si>
  <si>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</si>
  <si>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</si>
  <si>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</si>
  <si>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</si>
  <si>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</si>
  <si>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</si>
  <si>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</si>
  <si>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</si>
  <si>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</si>
  <si>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</si>
  <si>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</si>
  <si>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</si>
  <si>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</si>
  <si>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</si>
  <si>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</si>
  <si>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</si>
  <si>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</si>
  <si>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</si>
  <si>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</si>
  <si>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</si>
  <si>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</si>
  <si>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</si>
  <si>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</si>
  <si>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</si>
  <si>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</si>
  <si>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</si>
  <si>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</si>
  <si>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</si>
  <si>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</si>
  <si>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</si>
  <si>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</si>
  <si>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</si>
  <si>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</si>
  <si>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</si>
  <si>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</si>
  <si>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</si>
  <si>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</si>
  <si>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</si>
  <si>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</si>
  <si>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</si>
  <si>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</si>
  <si>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</si>
  <si>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</si>
  <si>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</si>
  <si>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</si>
  <si>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</si>
  <si>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</si>
  <si>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</si>
  <si>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</si>
  <si>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</si>
  <si>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</si>
  <si>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</si>
  <si>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</si>
  <si>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</si>
  <si>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</si>
  <si>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</si>
  <si>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</si>
  <si>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</si>
  <si>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</si>
  <si>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</si>
  <si>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</si>
  <si>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</si>
  <si>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</si>
  <si>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</si>
  <si>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</si>
  <si>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</si>
  <si>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</si>
  <si>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</si>
  <si>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</si>
  <si>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</si>
  <si>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</si>
  <si>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</si>
  <si>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</si>
  <si>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</si>
  <si>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</si>
  <si>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</si>
  <si>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</si>
  <si>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</si>
  <si>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</si>
  <si>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</si>
  <si>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</si>
  <si>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</si>
  <si>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</si>
  <si>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</si>
  <si>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</si>
  <si>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</si>
  <si>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</si>
  <si>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</si>
  <si>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</si>
  <si>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</si>
  <si>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</si>
  <si>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</si>
  <si>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</si>
  <si>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</si>
  <si>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</si>
  <si>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</si>
  <si>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</si>
  <si>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</si>
  <si>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</si>
  <si>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</si>
  <si>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</si>
  <si>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</si>
  <si>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</si>
  <si>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</si>
  <si>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</si>
  <si>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</si>
  <si>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</si>
  <si>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</si>
  <si>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</si>
  <si>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</si>
  <si>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</si>
  <si>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</si>
  <si>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</si>
  <si>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</si>
  <si>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</si>
  <si>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</si>
  <si>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</si>
  <si>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</si>
  <si>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</si>
  <si>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</si>
  <si>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</si>
  <si>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</si>
  <si>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</si>
  <si>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</si>
  <si>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</si>
  <si>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</si>
  <si>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</si>
  <si>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</si>
  <si>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</si>
  <si>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</si>
  <si>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</si>
  <si>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</si>
  <si>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</si>
  <si>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</si>
  <si>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</si>
  <si>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</si>
  <si>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</si>
  <si>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</si>
  <si>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</si>
  <si>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</si>
  <si>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</si>
  <si>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</si>
  <si>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</si>
  <si>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</si>
  <si>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</si>
  <si>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</si>
  <si>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</si>
  <si>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</si>
  <si>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</si>
  <si>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</si>
  <si>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</si>
  <si>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</si>
  <si>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</si>
  <si>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</si>
  <si>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</si>
  <si>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</si>
  <si>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</si>
  <si>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</si>
  <si>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</si>
  <si>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</si>
  <si>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</si>
  <si>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</si>
  <si>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</si>
  <si>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</si>
  <si>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</si>
  <si>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</si>
  <si>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</si>
  <si>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</si>
  <si>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</si>
  <si>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</si>
  <si>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</si>
  <si>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</si>
  <si>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</si>
  <si>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</si>
  <si>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</si>
  <si>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</si>
  <si>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</si>
  <si>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</si>
  <si>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</si>
  <si>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</si>
  <si>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</si>
  <si>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</si>
  <si>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</si>
  <si>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</si>
  <si>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</si>
  <si>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</si>
  <si>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</si>
  <si>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</si>
  <si>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</si>
  <si>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</si>
  <si>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</si>
  <si>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</si>
  <si>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</si>
  <si>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</si>
  <si>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</si>
  <si>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</si>
  <si>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</si>
  <si>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</si>
  <si>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</si>
  <si>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</si>
  <si>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</si>
  <si>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</si>
  <si>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</si>
  <si>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</si>
  <si>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</si>
  <si>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</si>
  <si>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</si>
  <si>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</si>
  <si>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</si>
  <si>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</si>
  <si>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</si>
  <si>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</si>
  <si>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</si>
  <si>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</si>
  <si>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</si>
  <si>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</si>
  <si>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</si>
  <si>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</si>
  <si>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</si>
  <si>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</si>
  <si>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</si>
  <si>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</si>
  <si>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</si>
  <si>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</si>
  <si>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</si>
  <si>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</si>
  <si>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</si>
  <si>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</si>
  <si>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</si>
  <si>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</si>
  <si>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</si>
  <si>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</si>
  <si>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</si>
  <si>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</si>
  <si>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</si>
  <si>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</si>
  <si>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</si>
  <si>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</si>
  <si>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</si>
  <si>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</si>
  <si>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</si>
  <si>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</si>
  <si>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</si>
  <si>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</si>
  <si>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</si>
  <si>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</si>
  <si>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</si>
  <si>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</si>
  <si>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</si>
  <si>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</si>
  <si>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</si>
  <si>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</si>
  <si>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</si>
  <si>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</si>
  <si>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</si>
  <si>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</si>
  <si>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</si>
  <si>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</si>
  <si>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</si>
  <si>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</si>
  <si>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</si>
  <si>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</si>
  <si>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</si>
  <si>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</si>
  <si>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</si>
  <si>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</si>
  <si>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</si>
  <si>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</si>
  <si>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</si>
  <si>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</si>
  <si>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</si>
  <si>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</si>
  <si>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</si>
  <si>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</si>
  <si>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</si>
  <si>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</si>
  <si>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</si>
  <si>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</si>
  <si>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</si>
  <si>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</si>
  <si>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</si>
  <si>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</si>
  <si>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</si>
  <si>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</si>
  <si>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</si>
  <si>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</si>
  <si>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</si>
  <si>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</si>
  <si>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</si>
  <si>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</si>
  <si>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</si>
  <si>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</si>
  <si>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</si>
  <si>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</si>
  <si>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</si>
  <si>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</si>
  <si>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</si>
  <si>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</si>
  <si>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</si>
  <si>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</si>
  <si>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</si>
  <si>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</si>
  <si>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</si>
  <si>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</si>
  <si>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</si>
  <si>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</si>
  <si>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</si>
  <si>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</si>
  <si>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</si>
  <si>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</si>
  <si>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</si>
  <si>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</si>
  <si>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</si>
  <si>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</si>
  <si>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</si>
  <si>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</si>
  <si>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</si>
  <si>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</si>
  <si>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</si>
  <si>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</si>
  <si>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</si>
  <si>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</si>
  <si>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</si>
  <si>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</si>
  <si>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</si>
  <si>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</si>
  <si>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</si>
  <si>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</si>
  <si>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</si>
  <si>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</si>
  <si>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</si>
  <si>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</si>
  <si>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</si>
  <si>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</si>
  <si>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</si>
  <si>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</si>
  <si>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</si>
  <si>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</si>
  <si>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</si>
  <si>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</si>
  <si>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</si>
  <si>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</si>
  <si>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</si>
  <si>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</si>
  <si>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</si>
  <si>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</si>
  <si>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</si>
  <si>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</si>
  <si>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</si>
  <si>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</si>
  <si>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</si>
  <si>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</si>
  <si>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</si>
  <si>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</si>
  <si>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</si>
  <si>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</si>
  <si>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</si>
  <si>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</si>
  <si>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</si>
  <si>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</si>
  <si>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</si>
  <si>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</si>
  <si>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</si>
  <si>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</si>
  <si>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</si>
  <si>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</si>
  <si>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</si>
  <si>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</si>
  <si>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</si>
  <si>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</si>
  <si>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</si>
  <si>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</si>
  <si>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</si>
  <si>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</si>
  <si>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</si>
  <si>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</si>
  <si>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</si>
  <si>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</si>
  <si>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</si>
  <si>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</si>
  <si>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</si>
  <si>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</si>
  <si>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</si>
  <si>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</si>
  <si>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</si>
  <si>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</si>
  <si>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</si>
  <si>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</si>
  <si>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</si>
  <si>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</si>
  <si>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</si>
  <si>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</si>
  <si>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</si>
  <si>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</si>
  <si>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</si>
  <si>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</si>
  <si>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</si>
  <si>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</si>
  <si>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</si>
  <si>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</si>
  <si>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</si>
  <si>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</si>
  <si>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</si>
  <si>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</si>
  <si>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</si>
  <si>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</si>
  <si>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</si>
  <si>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</si>
  <si>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</si>
  <si>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</si>
  <si>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</si>
  <si>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</si>
  <si>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</si>
  <si>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</si>
  <si>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</si>
  <si>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</si>
  <si>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</si>
  <si>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</si>
  <si>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</si>
  <si>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</si>
  <si>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</si>
  <si>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</si>
  <si>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</si>
  <si>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</si>
  <si>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</si>
  <si>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</si>
  <si>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</si>
  <si>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</si>
  <si>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</si>
  <si>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</si>
  <si>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</si>
  <si>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</si>
  <si>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</si>
  <si>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</si>
  <si>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</si>
  <si>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</si>
  <si>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</si>
  <si>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</si>
  <si>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</si>
  <si>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</si>
  <si>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</si>
  <si>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</si>
  <si>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</si>
  <si>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</si>
  <si>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</si>
  <si>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</si>
  <si>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</si>
  <si>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</si>
  <si>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</si>
  <si>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</si>
  <si>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</si>
  <si>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</si>
  <si>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</si>
  <si>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</si>
  <si>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</si>
  <si>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</si>
  <si>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</si>
  <si>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</si>
  <si>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</si>
  <si>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</si>
  <si>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</si>
  <si>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</si>
  <si>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</si>
  <si>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</si>
  <si>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</si>
  <si>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</si>
  <si>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Connor Betts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</si>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</sst>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orders" displayName="orders" ref="A5:Z1044" totalsRowShown="0" dataDxfId="43" headerRowCellStyle="Accent5" dataCellStyle="Percent">
  <autoFilter ref="A5:Z1044"/>
  <tableColumns count="26">
    <tableColumn id="1" name="Order No" dataDxfId="42"/>
    <tableColumn id="2" name="Order Date" dataDxfId="41"/>
    <tableColumn id="3" name="Order Year" dataDxfId="40">
      <calculatedColumnFormula>TEXT(B6,"yyyy")</calculatedColumnFormula>
    </tableColumn>
    <tableColumn id="4" name="Customer Name" dataDxfId="39"/>
    <tableColumn id="5" name="Address" dataDxfId="38"/>
    <tableColumn id="6" name="City" dataDxfId="37"/>
    <tableColumn id="7" name="State" dataDxfId="36"/>
    <tableColumn id="8" name="Customer Type" dataDxfId="35"/>
    <tableColumn id="9" name="Emp ID" dataDxfId="34"/>
    <tableColumn id="10" name="Order Priority" dataDxfId="33"/>
    <tableColumn id="11" name="Product Name" dataDxfId="32"/>
    <tableColumn id="12" name="Product Category" dataDxfId="31"/>
    <tableColumn id="13" name="Product Container" dataDxfId="30"/>
    <tableColumn id="14" name="Ship Mode" dataDxfId="29"/>
    <tableColumn id="15" name="Ship Date" dataDxfId="28"/>
    <tableColumn id="16" name="Days to Ship" dataDxfId="27">
      <calculatedColumnFormula>O6-B6</calculatedColumnFormula>
    </tableColumn>
    <tableColumn id="17" name="Cost Price" dataDxfId="26"/>
    <tableColumn id="18" name="Retail Price" dataDxfId="25"/>
    <tableColumn id="19" name="Profit Margin" dataDxfId="24">
      <calculatedColumnFormula>R6-Q6</calculatedColumnFormula>
    </tableColumn>
    <tableColumn id="20" name="Order Quantity" dataDxfId="23"/>
    <tableColumn id="21" name="Sub Total" dataDxfId="22">
      <calculatedColumnFormula>R6*T6</calculatedColumnFormula>
    </tableColumn>
    <tableColumn id="22" name="Discount %" dataDxfId="21" dataCellStyle="Percent"/>
    <tableColumn id="23" name="Discount $" dataDxfId="20" dataCellStyle="Percent">
      <calculatedColumnFormula>U6*V6</calculatedColumnFormula>
    </tableColumn>
    <tableColumn id="24" name="Order Total" dataDxfId="19" dataCellStyle="Percent">
      <calculatedColumnFormula>U6-W6</calculatedColumnFormula>
    </tableColumn>
    <tableColumn id="25" name="Shipping Cost" dataDxfId="18"/>
    <tableColumn id="26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Staff" displayName="Staff" ref="A3:O38" totalsRowShown="0" headerRowDxfId="16" dataDxfId="15" headerRowCellStyle="Accent5">
  <tableColumns count="15">
    <tableColumn id="1" name="Emp ID" dataDxfId="14"/>
    <tableColumn id="2" name="Last" dataDxfId="13"/>
    <tableColumn id="3" name="First" dataDxfId="12"/>
    <tableColumn id="4" name="Full Name" dataDxfId="11">
      <calculatedColumnFormula>PROPER(C4&amp;" "&amp;B4)</calculatedColumnFormula>
    </tableColumn>
    <tableColumn id="5" name="Gender" dataDxfId="10"/>
    <tableColumn id="6" name="Email" dataDxfId="9"/>
    <tableColumn id="7" name="Date of Hire" dataDxfId="8"/>
    <tableColumn id="8" name="Years Service" dataDxfId="7">
      <calculatedColumnFormula>YEARFRAC(G4,TODAY())</calculatedColumnFormula>
    </tableColumn>
    <tableColumn id="9" name="Department" dataDxfId="6"/>
    <tableColumn id="10" name="Location" dataDxfId="5"/>
    <tableColumn id="11" name="Floor" dataDxfId="4">
      <calculatedColumnFormula>LEFT(J4,2)</calculatedColumnFormula>
    </tableColumn>
    <tableColumn id="12" name="Extension" dataDxfId="3">
      <calculatedColumnFormula>RIGHT(J4,4)</calculatedColumnFormula>
    </tableColumn>
    <tableColumn id="13" name="Last Review" dataDxfId="2"/>
    <tableColumn id="14" name="Next Review" dataDxfId="1">
      <calculatedColumnFormula>M4+365</calculatedColumnFormula>
    </tableColumn>
    <tableColumn id="15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44"/>
  <sheetViews>
    <sheetView topLeftCell="G6" zoomScaleNormal="100" workbookViewId="0">
      <selection activeCell="T6" sqref="T6:T1044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11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5.14062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.85546875" style="1" customWidth="1"/>
    <col min="17" max="17" width="12" style="1" customWidth="1"/>
    <col min="18" max="18" width="12.7109375" style="1" customWidth="1"/>
    <col min="19" max="19" width="13.7109375" style="1" customWidth="1"/>
    <col min="20" max="20" width="15.28515625" style="1" customWidth="1"/>
    <col min="21" max="21" width="12.140625" style="1" customWidth="1"/>
    <col min="22" max="22" width="11.85546875" style="1" customWidth="1"/>
    <col min="23" max="23" width="11.42578125" style="1" customWidth="1"/>
    <col min="24" max="24" width="12.5703125" style="1" customWidth="1"/>
    <col min="25" max="25" width="14.42578125" style="1" customWidth="1"/>
    <col min="26" max="26" width="12.42578125" style="1" bestFit="1" customWidth="1"/>
    <col min="27" max="16384" width="8.85546875" style="1"/>
  </cols>
  <sheetData>
    <row r="1" spans="1:26" customFormat="1" ht="33.950000000000003" customHeight="1" x14ac:dyDescent="0.5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25">
      <c r="P2" s="27"/>
    </row>
    <row r="3" spans="1:26" customFormat="1" x14ac:dyDescent="0.25">
      <c r="A3" s="9" t="s">
        <v>1862</v>
      </c>
      <c r="B3" s="12">
        <f>COUNTA(Order_No)</f>
        <v>1039</v>
      </c>
      <c r="N3" s="1"/>
      <c r="O3" s="1"/>
      <c r="Y3" s="9" t="s">
        <v>2152</v>
      </c>
      <c r="Z3" s="46">
        <f>SUM(Total)</f>
        <v>1138806.9295619989</v>
      </c>
    </row>
    <row r="4" spans="1:26" customFormat="1" x14ac:dyDescent="0.25">
      <c r="P4" s="27"/>
    </row>
    <row r="5" spans="1:26" customFormat="1" ht="18" customHeight="1" x14ac:dyDescent="0.25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25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25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25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25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25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25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25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25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25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25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25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25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25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25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25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25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25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25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25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25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25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25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25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25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25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25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25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25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25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25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25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25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25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25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25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25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25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25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25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25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25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25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25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25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25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25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25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25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25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25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25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25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25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25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25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25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25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25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25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25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25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25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25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25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25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25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25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25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25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25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25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25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25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25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25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25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25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25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25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25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25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25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25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25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25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25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25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25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25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25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25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25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25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25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25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25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25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25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25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25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25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25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25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25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25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25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25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25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25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25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25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25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25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25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25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25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25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25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25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25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25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25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25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25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25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25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25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25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25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25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25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25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25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25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25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25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25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25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25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25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25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25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25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25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25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25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25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25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25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25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25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25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25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25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25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25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25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25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25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25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25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25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25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25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25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25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25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25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25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25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25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25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25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25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25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25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25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25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25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25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25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25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25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25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25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25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25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25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25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25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25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25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25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25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25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25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25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25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25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25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25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2151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25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25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25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25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25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25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25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25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25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25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25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25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25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25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25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25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25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25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25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25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25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25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25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25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25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25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25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25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25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25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25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25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25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25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25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25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25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25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25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25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25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25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25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25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25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25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25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25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25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25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25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25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25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25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25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25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25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25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25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25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25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25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25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25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25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25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25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25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25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25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25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25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25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25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25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25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25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25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25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25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25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25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25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25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25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25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25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25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25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25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25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25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25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25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25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25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25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25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25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25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25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25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25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25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25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25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25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25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25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25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25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25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25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25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25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25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25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25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25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25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25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25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25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25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25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25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25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25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25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25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25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25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25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25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25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25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25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25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25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25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25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25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25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25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25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25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25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25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25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25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25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25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25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25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25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25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25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25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25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25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25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25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25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25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25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25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25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25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25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25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25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25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25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25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25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25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25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25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25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25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25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25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25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25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25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25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25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25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25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25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25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25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25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25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25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25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25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25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25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25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25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25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25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25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25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25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25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25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25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25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25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25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25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25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25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25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25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25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25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25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25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25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25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25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25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25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25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25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25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25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25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25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25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25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25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25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25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25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25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25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25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25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25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25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25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25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25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25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25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25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25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25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25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25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25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25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25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25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25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25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25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25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25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25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25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25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25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25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25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25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25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25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25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25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25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25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25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25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25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25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25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25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25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25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25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25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25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25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25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25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25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25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25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25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25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25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25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25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25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25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25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25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25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25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25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25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25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25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25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25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25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25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25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25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25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25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25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25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25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25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25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25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25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25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25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25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25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25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25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25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25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25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25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25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25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25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25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25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25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25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25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25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25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25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25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25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25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25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25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25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25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25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25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25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25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25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25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25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25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25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25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25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25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25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25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25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25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25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25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25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25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25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25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25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25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25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25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25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25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25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25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25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25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25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25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25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25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25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25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25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25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25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25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25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25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25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25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25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25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25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25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25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25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25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25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25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25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25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25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25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25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25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25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25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25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25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25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25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25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25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25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25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25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25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25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25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25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25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25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25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25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25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25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25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25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25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25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25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25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25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25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25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25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25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25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25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25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25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25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25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25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25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25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25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25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25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25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25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25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25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25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25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25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25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25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25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25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25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25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25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25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25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25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25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25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25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25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25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25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25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25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25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25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25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25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25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25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25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25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25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25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25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25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25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25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25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25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25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25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25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25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25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25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25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25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25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25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25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25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25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25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25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25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25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25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25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25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25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25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25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25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25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25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25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25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25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25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25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25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25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25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25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25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25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25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25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25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25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25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25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25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25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25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25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25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25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25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25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25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25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25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25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25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25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25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25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25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25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25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25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25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25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25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25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25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25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25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25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25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25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25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25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25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25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25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25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25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25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25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25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25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25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25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25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25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25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25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25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25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25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25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25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25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25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25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25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25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25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25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25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25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25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25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25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25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25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25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25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25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25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25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25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25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25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25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25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25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25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25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25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25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25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25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25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25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25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25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25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25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25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25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25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25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25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25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25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25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25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25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25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25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25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25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25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25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25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25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25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25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25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25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25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25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25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25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25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25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25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25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25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25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25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25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25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25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25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25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25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25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25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25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25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25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25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25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25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25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25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25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25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25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25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25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25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25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25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25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25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25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25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25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25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25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25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25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25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25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25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25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25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25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25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25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25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25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25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25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25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25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25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25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25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25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25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25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25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25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25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25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25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25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25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25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25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25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25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25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25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25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25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25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25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25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25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25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25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25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25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25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25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25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25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25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25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25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25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25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25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25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25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25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25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25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25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25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25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25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25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25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25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25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25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25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25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25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25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25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25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25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25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25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25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25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25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25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25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25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25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25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25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25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25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25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25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25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25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25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25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25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25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25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25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25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25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25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25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25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25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25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25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25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25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25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25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25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25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25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25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25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25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25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25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25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25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25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25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25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25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25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25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25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25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25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25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25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25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25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25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25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25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25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25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25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25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25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25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25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25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GridLines="0" tabSelected="1" workbookViewId="0">
      <selection activeCell="F10" sqref="F10"/>
    </sheetView>
  </sheetViews>
  <sheetFormatPr defaultRowHeight="15" x14ac:dyDescent="0.25"/>
  <cols>
    <col min="1" max="1" width="12.85546875" customWidth="1"/>
    <col min="2" max="2" width="20.28515625" style="27" customWidth="1"/>
    <col min="3" max="3" width="15.28515625" customWidth="1"/>
    <col min="4" max="7" width="14.85546875" customWidth="1"/>
    <col min="8" max="8" width="21.7109375" style="27" customWidth="1"/>
  </cols>
  <sheetData>
    <row r="1" spans="1:19" ht="33.950000000000003" customHeight="1" x14ac:dyDescent="0.5">
      <c r="A1" s="11" t="s">
        <v>2150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25"/>
    <row r="3" spans="1:19" x14ac:dyDescent="0.25">
      <c r="A3" s="33" t="s">
        <v>1863</v>
      </c>
      <c r="B3" s="33"/>
      <c r="G3" s="42" t="s">
        <v>2159</v>
      </c>
      <c r="H3" s="50">
        <v>7.0000000000000007E-2</v>
      </c>
    </row>
    <row r="4" spans="1:19" x14ac:dyDescent="0.25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2153</v>
      </c>
    </row>
    <row r="5" spans="1:19" x14ac:dyDescent="0.25">
      <c r="A5" s="3" t="s">
        <v>1996</v>
      </c>
      <c r="B5" s="48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29132.394697000003</v>
      </c>
    </row>
    <row r="6" spans="1:19" x14ac:dyDescent="0.25">
      <c r="A6" s="3" t="s">
        <v>2002</v>
      </c>
      <c r="B6" s="3" t="str">
        <f>VLOOKUP(A6,Staff[],4,0)</f>
        <v>Stevie Bacata</v>
      </c>
      <c r="C6" s="31">
        <f t="shared" ref="C6:C19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477.28377199999994</v>
      </c>
    </row>
    <row r="7" spans="1:19" x14ac:dyDescent="0.25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3003.7935589999997</v>
      </c>
    </row>
    <row r="8" spans="1:19" x14ac:dyDescent="0.25">
      <c r="A8" s="3" t="s">
        <v>2022</v>
      </c>
      <c r="B8" s="48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11431.330983</v>
      </c>
    </row>
    <row r="9" spans="1:19" x14ac:dyDescent="0.25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22063.253945</v>
      </c>
    </row>
    <row r="10" spans="1:19" x14ac:dyDescent="0.25">
      <c r="A10" s="3" t="s">
        <v>2038</v>
      </c>
      <c r="B10" s="3" t="str">
        <f>VLOOKUP(A10,Staff[],4,0)</f>
        <v>Tina Carlton</v>
      </c>
      <c r="C10" s="31">
        <f t="shared" si="1"/>
        <v>118852.40846199999</v>
      </c>
      <c r="D10" s="31">
        <f t="shared" ref="D10:F18" si="3">SUMIFS(Total,Account_Manager,$A10,Order_Year,D$4)</f>
        <v>21750.561262000003</v>
      </c>
      <c r="E10" s="31">
        <f t="shared" si="3"/>
        <v>42012.128400000001</v>
      </c>
      <c r="F10" s="31">
        <f t="shared" si="3"/>
        <v>27109.998199999995</v>
      </c>
      <c r="G10" s="31">
        <f t="shared" ref="G10:G18" si="4">SUMIFS(Total,Account_Manager,$A10,Order_Year,G$4)</f>
        <v>27979.720600000004</v>
      </c>
      <c r="H10" s="31">
        <f t="shared" si="2"/>
        <v>29938.301042000006</v>
      </c>
    </row>
    <row r="11" spans="1:19" x14ac:dyDescent="0.25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2912.7671610000002</v>
      </c>
    </row>
    <row r="12" spans="1:19" x14ac:dyDescent="0.25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51149.116481999998</v>
      </c>
    </row>
    <row r="13" spans="1:19" x14ac:dyDescent="0.25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44620.304008999999</v>
      </c>
    </row>
    <row r="14" spans="1:19" x14ac:dyDescent="0.25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28695.568160000003</v>
      </c>
    </row>
    <row r="15" spans="1:19" x14ac:dyDescent="0.25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11340.959104000001</v>
      </c>
    </row>
    <row r="16" spans="1:19" x14ac:dyDescent="0.25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7867.8123990000004</v>
      </c>
    </row>
    <row r="17" spans="1:8" x14ac:dyDescent="0.25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15014.479037999999</v>
      </c>
    </row>
    <row r="18" spans="1:8" x14ac:dyDescent="0.25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33701.540583000002</v>
      </c>
    </row>
    <row r="19" spans="1:8" ht="15.75" thickBot="1" x14ac:dyDescent="0.3">
      <c r="A19" s="34" t="s">
        <v>2139</v>
      </c>
      <c r="B19" s="35"/>
      <c r="C19" s="36">
        <f t="shared" si="1"/>
        <v>1116034.1007619998</v>
      </c>
      <c r="D19" s="36">
        <f>SUM(D5:D18)</f>
        <v>171750.79886200003</v>
      </c>
      <c r="E19" s="36">
        <f>SUM(E5:E18)</f>
        <v>319231.65949999995</v>
      </c>
      <c r="F19" s="36">
        <f>SUM(F5:F18)</f>
        <v>352762.94619999989</v>
      </c>
      <c r="G19" s="36">
        <f>SUM(G5:G18)</f>
        <v>272288.69620000001</v>
      </c>
      <c r="H19" s="36">
        <f>SUM(H17:H18)</f>
        <v>48716.019620999999</v>
      </c>
    </row>
    <row r="20" spans="1:8" ht="15.75" thickTop="1" x14ac:dyDescent="0.25"/>
    <row r="21" spans="1:8" x14ac:dyDescent="0.25">
      <c r="A21" s="37" t="s">
        <v>2141</v>
      </c>
    </row>
    <row r="22" spans="1:8" x14ac:dyDescent="0.25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25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 t="shared" ref="G23:G25" si="7">SUM(C23:F23)</f>
        <v>756843.12776200031</v>
      </c>
      <c r="H23" s="31">
        <f t="shared" ref="H23:H25" si="8">AVERAGE(D23:F23)</f>
        <v>215542.70596666681</v>
      </c>
    </row>
    <row r="24" spans="1:8" x14ac:dyDescent="0.25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si="7"/>
        <v>273195.10519999999</v>
      </c>
      <c r="H24" s="31">
        <f t="shared" si="8"/>
        <v>74470.253366666671</v>
      </c>
    </row>
    <row r="25" spans="1:8" x14ac:dyDescent="0.25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 t="shared" si="7"/>
        <v>85995.867800000007</v>
      </c>
      <c r="H25" s="31">
        <f t="shared" si="8"/>
        <v>24748.141300000003</v>
      </c>
    </row>
    <row r="26" spans="1:8" ht="15.75" thickBot="1" x14ac:dyDescent="0.3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1116034.1007620003</v>
      </c>
      <c r="H26" s="36">
        <f>AVERAGE(C26:G26)</f>
        <v>446816.2403048001</v>
      </c>
    </row>
    <row r="27" spans="1:8" ht="15.75" thickTop="1" x14ac:dyDescent="0.25">
      <c r="A27" s="14"/>
      <c r="B27"/>
    </row>
    <row r="28" spans="1:8" x14ac:dyDescent="0.25">
      <c r="A28" s="40" t="s">
        <v>2144</v>
      </c>
    </row>
    <row r="29" spans="1:8" x14ac:dyDescent="0.25">
      <c r="A29" s="9" t="s">
        <v>2145</v>
      </c>
      <c r="B29" s="47" t="s">
        <v>2147</v>
      </c>
      <c r="C29" s="41" t="str">
        <f>INDEX(Emp_ID,MATCH(B29,Full_Name,0))</f>
        <v>E1232</v>
      </c>
      <c r="G29" s="9"/>
      <c r="H29" s="13" t="s">
        <v>2149</v>
      </c>
    </row>
    <row r="30" spans="1:8" x14ac:dyDescent="0.25">
      <c r="A30" s="14" t="s">
        <v>2146</v>
      </c>
      <c r="B30">
        <f>COUNTIFS(Account_Manager,C29)</f>
        <v>161</v>
      </c>
      <c r="C30" s="42" t="str">
        <f>IF(B30&lt;20,"Poor",IF(B30&lt;50,"Medium",IF(B30&lt;100,Good,"Excellent")))</f>
        <v>Excellent</v>
      </c>
      <c r="G30" s="44" t="s">
        <v>20</v>
      </c>
      <c r="H30" s="18">
        <f>COUNTIFS(Customer_Type,G30,Account_Manager,$C$29)</f>
        <v>33</v>
      </c>
    </row>
    <row r="31" spans="1:8" x14ac:dyDescent="0.25">
      <c r="A31" t="s">
        <v>1939</v>
      </c>
      <c r="B31" s="31">
        <f>INDEX(C5:C18,MATCH(C29,A5:A18,0))</f>
        <v>126287.17390000001</v>
      </c>
      <c r="C31" s="42" t="str">
        <f>IF(B31&gt;=AVERAGE(C5:C18),"Above Average","Below Average")</f>
        <v>Above Average</v>
      </c>
      <c r="G31" s="45" t="s">
        <v>27</v>
      </c>
      <c r="H31" s="51">
        <f>COUNTIFS(Customer_Type,G31,Account_Manager,$C$29)</f>
        <v>28</v>
      </c>
    </row>
    <row r="32" spans="1:8" x14ac:dyDescent="0.25">
      <c r="A32" t="s">
        <v>2148</v>
      </c>
      <c r="B32" s="12">
        <v>2015</v>
      </c>
      <c r="C32" s="31">
        <f>INDEX(D5:G18,MATCH(B29,B5:B18,0),MATCH(B32,C4:G4,0))</f>
        <v>47802.912599999996</v>
      </c>
      <c r="G32" s="38" t="s">
        <v>39</v>
      </c>
      <c r="H32" s="18">
        <f>COUNTIFS(Customer_Type,G32,Account_Manager,$C$29)</f>
        <v>47</v>
      </c>
    </row>
    <row r="33" spans="7:8" x14ac:dyDescent="0.25">
      <c r="G33" s="39" t="s">
        <v>46</v>
      </c>
      <c r="H33" s="18">
        <f>COUNTIFS(Customer_Type,G33,Account_Manager,$C$29)</f>
        <v>53</v>
      </c>
    </row>
    <row r="34" spans="7:8" x14ac:dyDescent="0.25">
      <c r="G34" s="19" t="s">
        <v>839</v>
      </c>
      <c r="H34" s="49">
        <f>SUM(H30:H33)</f>
        <v>161</v>
      </c>
    </row>
  </sheetData>
  <dataValidations count="2">
    <dataValidation type="list" allowBlank="1" showInputMessage="1" showErrorMessage="1" sqref="B29">
      <formula1>$B$5:$B$18</formula1>
    </dataValidation>
    <dataValidation type="list" allowBlank="1" showInputMessage="1" showErrorMessage="1" sqref="B32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130" zoomScaleNormal="130" workbookViewId="0">
      <selection activeCell="E5" sqref="E5"/>
    </sheetView>
  </sheetViews>
  <sheetFormatPr defaultRowHeight="15" x14ac:dyDescent="0.25"/>
  <cols>
    <col min="1" max="1" width="16.42578125" customWidth="1"/>
    <col min="2" max="2" width="12.28515625" bestFit="1" customWidth="1"/>
    <col min="3" max="4" width="15.85546875" bestFit="1" customWidth="1"/>
    <col min="5" max="5" width="17.85546875" customWidth="1"/>
  </cols>
  <sheetData>
    <row r="1" spans="1:15" s="27" customFormat="1" ht="33.950000000000003" customHeight="1" x14ac:dyDescent="0.5">
      <c r="A1" s="11" t="s">
        <v>2154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25">
      <c r="A3" s="37" t="s">
        <v>2154</v>
      </c>
    </row>
    <row r="4" spans="1:15" x14ac:dyDescent="0.25">
      <c r="A4" s="32" t="s">
        <v>2142</v>
      </c>
      <c r="B4" s="32" t="s">
        <v>2156</v>
      </c>
      <c r="C4" s="32" t="s">
        <v>2157</v>
      </c>
      <c r="D4" s="32" t="s">
        <v>2155</v>
      </c>
      <c r="E4" s="32" t="s">
        <v>2158</v>
      </c>
    </row>
    <row r="5" spans="1:15" x14ac:dyDescent="0.25">
      <c r="A5" s="3" t="s">
        <v>35</v>
      </c>
      <c r="B5" s="31">
        <f>'Sales Dash'!F23</f>
        <v>185959.90620000003</v>
      </c>
      <c r="C5" s="31">
        <f>B5*('Sales Dash'!$H$3+1)</f>
        <v>198977.09963400004</v>
      </c>
      <c r="D5" s="31">
        <v>64000</v>
      </c>
      <c r="E5" s="31">
        <f>C5-D5</f>
        <v>134977.09963400004</v>
      </c>
    </row>
    <row r="6" spans="1:15" x14ac:dyDescent="0.25">
      <c r="A6" s="3" t="s">
        <v>19</v>
      </c>
      <c r="B6" s="31">
        <f>'Sales Dash'!F24</f>
        <v>61835.135999999999</v>
      </c>
      <c r="C6" s="31">
        <f>B6*('Sales Dash'!$H$3+1)</f>
        <v>66163.595520000003</v>
      </c>
      <c r="D6" s="31">
        <v>38500</v>
      </c>
      <c r="E6" s="31">
        <f t="shared" ref="E6:E7" si="0">C6-D6</f>
        <v>27663.595520000003</v>
      </c>
    </row>
    <row r="7" spans="1:15" x14ac:dyDescent="0.25">
      <c r="A7" s="3" t="s">
        <v>1866</v>
      </c>
      <c r="B7" s="31">
        <f>'Sales Dash'!F25</f>
        <v>24493.654000000002</v>
      </c>
      <c r="C7" s="31">
        <f>B7*('Sales Dash'!$H$3+1)</f>
        <v>26208.209780000005</v>
      </c>
      <c r="D7" s="31">
        <v>12500</v>
      </c>
      <c r="E7" s="31">
        <f t="shared" si="0"/>
        <v>13708.209780000005</v>
      </c>
    </row>
    <row r="8" spans="1:15" ht="15.75" thickBot="1" x14ac:dyDescent="0.3">
      <c r="A8" s="35" t="s">
        <v>2139</v>
      </c>
      <c r="B8" s="36">
        <f>SUM(B5:B7)</f>
        <v>272288.69620000001</v>
      </c>
      <c r="C8" s="36">
        <f>SUM(C5:C7)</f>
        <v>291348.90493400011</v>
      </c>
      <c r="D8" s="36">
        <f>SUM(D5:D7)</f>
        <v>115000</v>
      </c>
      <c r="E8" s="36">
        <f>SUM(E5:E7)</f>
        <v>176348.90493400005</v>
      </c>
    </row>
    <row r="9" spans="1:1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A4" sqref="A4"/>
    </sheetView>
  </sheetViews>
  <sheetFormatPr defaultColWidth="9.28515625" defaultRowHeight="15" x14ac:dyDescent="0.25"/>
  <cols>
    <col min="1" max="1" width="9.28515625" style="1"/>
    <col min="2" max="2" width="10.85546875" style="1" bestFit="1" customWidth="1"/>
    <col min="3" max="3" width="9" style="1" bestFit="1" customWidth="1"/>
    <col min="4" max="4" width="16.85546875" style="1" bestFit="1" customWidth="1"/>
    <col min="5" max="5" width="9.28515625" style="1" customWidth="1"/>
    <col min="6" max="6" width="29.140625" style="1" bestFit="1" customWidth="1"/>
    <col min="7" max="7" width="13.5703125" style="1" customWidth="1"/>
    <col min="8" max="8" width="14.42578125" style="1" customWidth="1"/>
    <col min="9" max="9" width="15.5703125" style="1" bestFit="1" customWidth="1"/>
    <col min="10" max="10" width="16.5703125" style="1" customWidth="1"/>
    <col min="11" max="11" width="7.28515625" style="1" customWidth="1"/>
    <col min="12" max="12" width="11.42578125" style="1" customWidth="1"/>
    <col min="13" max="13" width="13.28515625" style="1" customWidth="1"/>
    <col min="14" max="14" width="13.85546875" style="1" customWidth="1"/>
    <col min="15" max="15" width="15" style="1" customWidth="1"/>
    <col min="16" max="16384" width="9.28515625" style="1"/>
  </cols>
  <sheetData>
    <row r="1" spans="1:26" s="27" customFormat="1" ht="33.950000000000003" customHeight="1" x14ac:dyDescent="0.5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25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25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16.652777777777779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25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16.580555555555556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25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15.041666666666666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25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13.427777777777777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25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12.197222222222223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25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11.66388888888889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25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11.511111111111111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25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10.9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25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9.4527777777777775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25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9.0833333333333339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25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7.7861111111111114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25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7.625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25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6.5972222222222223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25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6.2694444444444448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25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5.5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25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5.0083333333333337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25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4.9111111111111114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25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4.3861111111111111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25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3.3277777777777779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25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3.0416666666666665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25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3.0138888888888888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25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2.8694444444444445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25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2.7777777777777777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25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2.7416666666666667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25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2.4166666666666665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25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2.1222222222222222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25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2.1194444444444445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25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1.8694444444444445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25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1.8611111111111112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25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1.7333333333333334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25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1.6972222222222222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25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0.85833333333333328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25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0.77500000000000002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25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7.7111111111111112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25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0.3527777777777778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Prashan Karunaratne</cp:lastModifiedBy>
  <dcterms:created xsi:type="dcterms:W3CDTF">2017-05-01T13:03:22Z</dcterms:created>
  <dcterms:modified xsi:type="dcterms:W3CDTF">2017-09-26T02:16:28Z</dcterms:modified>
</cp:coreProperties>
</file>