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8800" windowHeight="16400" tabRatio="723" activeTab="3"/>
  </bookViews>
  <sheets>
    <sheet name="行政综合管理系统报价" sheetId="1" r:id="rId1"/>
    <sheet name="接口标准报价" sheetId="8" r:id="rId2"/>
    <sheet name="公司" sheetId="9" r:id="rId3"/>
    <sheet name="调整" sheetId="13" r:id="rId4"/>
    <sheet name="单位数量" sheetId="17" r:id="rId5"/>
    <sheet name="公司每期报价" sheetId="14" r:id="rId6"/>
    <sheet name="调整每期报价" sheetId="15" r:id="rId7"/>
    <sheet name="报价" sheetId="16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C6" i="16"/>
  <c r="C16" i="16"/>
  <c r="C5" i="16"/>
  <c r="C15" i="16"/>
  <c r="C4" i="16"/>
  <c r="C14" i="16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A14" i="16"/>
  <c r="H16" i="16"/>
  <c r="I16" i="16"/>
  <c r="I15" i="16"/>
  <c r="H15" i="16"/>
  <c r="G14" i="16"/>
  <c r="F16" i="16"/>
  <c r="E15" i="16"/>
  <c r="D14" i="16"/>
  <c r="G17" i="16"/>
  <c r="H17" i="16"/>
  <c r="I17" i="16"/>
  <c r="G18" i="16"/>
  <c r="D17" i="16"/>
  <c r="E17" i="16"/>
  <c r="F17" i="16"/>
  <c r="D18" i="16"/>
  <c r="C18" i="16"/>
  <c r="G4" i="16"/>
  <c r="G7" i="16"/>
  <c r="H5" i="16"/>
  <c r="H6" i="16"/>
  <c r="H7" i="16"/>
  <c r="I5" i="16"/>
  <c r="I6" i="16"/>
  <c r="I7" i="16"/>
  <c r="G8" i="16"/>
  <c r="D4" i="16"/>
  <c r="D7" i="16"/>
  <c r="E5" i="16"/>
  <c r="E7" i="16"/>
  <c r="F6" i="16"/>
  <c r="F7" i="16"/>
  <c r="D8" i="16"/>
  <c r="C8" i="16"/>
  <c r="C5" i="15"/>
  <c r="I5" i="15"/>
  <c r="C4" i="15"/>
  <c r="I4" i="15"/>
  <c r="H5" i="15"/>
  <c r="H4" i="15"/>
  <c r="C3" i="15"/>
  <c r="G3" i="15"/>
  <c r="F5" i="15"/>
  <c r="E4" i="15"/>
  <c r="D3" i="15"/>
  <c r="G6" i="15"/>
  <c r="H6" i="15"/>
  <c r="I6" i="15"/>
  <c r="G7" i="15"/>
  <c r="D6" i="15"/>
  <c r="E6" i="15"/>
  <c r="F6" i="15"/>
  <c r="D7" i="15"/>
  <c r="C7" i="15"/>
  <c r="G7" i="14"/>
  <c r="D7" i="14"/>
  <c r="E6" i="14"/>
  <c r="F6" i="14"/>
  <c r="G6" i="14"/>
  <c r="H6" i="14"/>
  <c r="I6" i="14"/>
  <c r="D6" i="14"/>
  <c r="C4" i="14"/>
  <c r="I4" i="14"/>
  <c r="C5" i="14"/>
  <c r="I5" i="14"/>
  <c r="H5" i="14"/>
  <c r="H4" i="14"/>
  <c r="C3" i="14"/>
  <c r="G3" i="14"/>
  <c r="D3" i="14"/>
  <c r="E4" i="14"/>
  <c r="F5" i="14"/>
  <c r="C7" i="14"/>
  <c r="O3" i="9"/>
  <c r="Q15" i="9"/>
  <c r="Q14" i="9"/>
  <c r="Q13" i="9"/>
  <c r="Q12" i="9"/>
  <c r="Q11" i="9"/>
  <c r="Q10" i="9"/>
  <c r="Q9" i="9"/>
  <c r="Q8" i="9"/>
  <c r="Q7" i="9"/>
  <c r="Q3" i="9"/>
  <c r="Q4" i="9"/>
  <c r="Q5" i="9"/>
  <c r="Q6" i="9"/>
  <c r="Q16" i="9"/>
  <c r="C16" i="13"/>
  <c r="F3" i="13"/>
  <c r="S4" i="13"/>
  <c r="G3" i="13"/>
  <c r="S5" i="13"/>
  <c r="G8" i="13"/>
  <c r="G9" i="13"/>
  <c r="G10" i="13"/>
  <c r="G11" i="13"/>
  <c r="G12" i="13"/>
  <c r="G13" i="13"/>
  <c r="G14" i="13"/>
  <c r="G15" i="13"/>
  <c r="G7" i="13"/>
  <c r="F8" i="13"/>
  <c r="F9" i="13"/>
  <c r="F10" i="13"/>
  <c r="F11" i="13"/>
  <c r="F12" i="13"/>
  <c r="F13" i="13"/>
  <c r="E13" i="13"/>
  <c r="M13" i="13"/>
  <c r="F14" i="13"/>
  <c r="F15" i="13"/>
  <c r="U15" i="13"/>
  <c r="F7" i="13"/>
  <c r="E8" i="13"/>
  <c r="U8" i="13"/>
  <c r="E9" i="13"/>
  <c r="U9" i="13"/>
  <c r="E10" i="13"/>
  <c r="U10" i="13"/>
  <c r="E11" i="13"/>
  <c r="U11" i="13"/>
  <c r="E12" i="13"/>
  <c r="U12" i="13"/>
  <c r="U13" i="13"/>
  <c r="E14" i="13"/>
  <c r="U14" i="13"/>
  <c r="E7" i="13"/>
  <c r="U7" i="13"/>
  <c r="E3" i="13"/>
  <c r="M3" i="13"/>
  <c r="K5" i="13"/>
  <c r="I5" i="13"/>
  <c r="K4" i="13"/>
  <c r="I4" i="13"/>
  <c r="O15" i="9"/>
  <c r="O14" i="9"/>
  <c r="O13" i="9"/>
  <c r="O12" i="9"/>
  <c r="O11" i="9"/>
  <c r="O10" i="9"/>
  <c r="O9" i="9"/>
  <c r="O8" i="9"/>
  <c r="O7" i="9"/>
  <c r="M15" i="9"/>
  <c r="M14" i="9"/>
  <c r="M13" i="9"/>
  <c r="M12" i="9"/>
  <c r="M11" i="9"/>
  <c r="M10" i="9"/>
  <c r="M9" i="9"/>
  <c r="M8" i="9"/>
  <c r="M7" i="9"/>
  <c r="K8" i="9"/>
  <c r="K9" i="9"/>
  <c r="K10" i="9"/>
  <c r="K11" i="9"/>
  <c r="K12" i="9"/>
  <c r="K13" i="9"/>
  <c r="K14" i="9"/>
  <c r="K15" i="9"/>
  <c r="K7" i="9"/>
  <c r="O5" i="9"/>
  <c r="O4" i="9"/>
  <c r="M5" i="9"/>
  <c r="M4" i="9"/>
  <c r="M3" i="9"/>
  <c r="K5" i="9"/>
  <c r="K4" i="9"/>
  <c r="K3" i="9"/>
  <c r="I3" i="9"/>
  <c r="I4" i="9"/>
  <c r="I5" i="9"/>
  <c r="I15" i="9"/>
  <c r="I8" i="9"/>
  <c r="I9" i="9"/>
  <c r="I10" i="9"/>
  <c r="I11" i="9"/>
  <c r="I12" i="9"/>
  <c r="I13" i="9"/>
  <c r="I14" i="9"/>
  <c r="I7" i="9"/>
  <c r="F16" i="9"/>
  <c r="G16" i="9"/>
  <c r="E16" i="9"/>
  <c r="C16" i="9"/>
  <c r="U4" i="13"/>
  <c r="M4" i="13"/>
  <c r="M5" i="13"/>
  <c r="U5" i="13"/>
  <c r="O4" i="13"/>
  <c r="O5" i="13"/>
  <c r="M14" i="13"/>
  <c r="I10" i="13"/>
  <c r="M15" i="13"/>
  <c r="G16" i="13"/>
  <c r="U3" i="13"/>
  <c r="M10" i="13"/>
  <c r="S7" i="13"/>
  <c r="S11" i="13"/>
  <c r="F16" i="13"/>
  <c r="I8" i="13"/>
  <c r="M9" i="13"/>
  <c r="K10" i="13"/>
  <c r="I15" i="13"/>
  <c r="K11" i="13"/>
  <c r="O15" i="13"/>
  <c r="O13" i="13"/>
  <c r="M11" i="13"/>
  <c r="S12" i="13"/>
  <c r="S8" i="13"/>
  <c r="E16" i="13"/>
  <c r="Q7" i="13"/>
  <c r="Q11" i="13"/>
  <c r="Q15" i="13"/>
  <c r="S15" i="13"/>
  <c r="I9" i="13"/>
  <c r="Q5" i="13"/>
  <c r="Q10" i="13"/>
  <c r="Q14" i="13"/>
  <c r="S10" i="13"/>
  <c r="S14" i="13"/>
  <c r="Q4" i="13"/>
  <c r="Q9" i="13"/>
  <c r="Q13" i="13"/>
  <c r="S9" i="13"/>
  <c r="S13" i="13"/>
  <c r="Q3" i="13"/>
  <c r="Q8" i="13"/>
  <c r="Q12" i="13"/>
  <c r="S3" i="13"/>
  <c r="S6" i="13"/>
  <c r="S16" i="13"/>
  <c r="I14" i="13"/>
  <c r="O14" i="13"/>
  <c r="I11" i="13"/>
  <c r="O9" i="13"/>
  <c r="O10" i="13"/>
  <c r="O11" i="13"/>
  <c r="K14" i="13"/>
  <c r="K15" i="13"/>
  <c r="I12" i="13"/>
  <c r="K13" i="13"/>
  <c r="K3" i="13"/>
  <c r="K6" i="13"/>
  <c r="I3" i="13"/>
  <c r="I6" i="13"/>
  <c r="K9" i="13"/>
  <c r="I13" i="13"/>
  <c r="K12" i="13"/>
  <c r="K8" i="13"/>
  <c r="M6" i="13"/>
  <c r="O8" i="13"/>
  <c r="O12" i="13"/>
  <c r="M8" i="13"/>
  <c r="M12" i="13"/>
  <c r="M7" i="13"/>
  <c r="K7" i="13"/>
  <c r="I7" i="13"/>
  <c r="I16" i="13"/>
  <c r="O7" i="13"/>
  <c r="O3" i="13"/>
  <c r="O6" i="13"/>
  <c r="K6" i="9"/>
  <c r="K16" i="9"/>
  <c r="O6" i="9"/>
  <c r="O16" i="9"/>
  <c r="M6" i="9"/>
  <c r="M16" i="9"/>
  <c r="I6" i="9"/>
  <c r="I16" i="9"/>
  <c r="U6" i="13"/>
  <c r="U16" i="13"/>
  <c r="Q6" i="13"/>
  <c r="Q16" i="13"/>
  <c r="K16" i="13"/>
  <c r="M16" i="13"/>
  <c r="O16" i="13"/>
  <c r="B16" i="1"/>
  <c r="J3" i="1"/>
  <c r="M3" i="1"/>
  <c r="N3" i="1"/>
  <c r="M4" i="1"/>
  <c r="N4" i="1"/>
  <c r="M5" i="1"/>
  <c r="N5" i="1"/>
  <c r="M6" i="1"/>
  <c r="N6" i="1"/>
  <c r="J7" i="1"/>
  <c r="K7" i="1"/>
  <c r="L7" i="1"/>
  <c r="M7" i="1"/>
  <c r="N7" i="1"/>
  <c r="M2" i="1"/>
  <c r="N2" i="1"/>
  <c r="E16" i="1"/>
  <c r="E27" i="1"/>
  <c r="E28" i="1"/>
  <c r="E26" i="1"/>
  <c r="E21" i="1"/>
  <c r="E20" i="1"/>
  <c r="E19" i="1"/>
  <c r="E22" i="1"/>
  <c r="E29" i="1"/>
</calcChain>
</file>

<file path=xl/sharedStrings.xml><?xml version="1.0" encoding="utf-8"?>
<sst xmlns="http://schemas.openxmlformats.org/spreadsheetml/2006/main" count="277" uniqueCount="145">
  <si>
    <t>资深顾问服务工日收费标准</t>
    <phoneticPr fontId="4" type="noConversion"/>
  </si>
  <si>
    <t>代码</t>
  </si>
  <si>
    <t>名称</t>
  </si>
  <si>
    <t>软件报价</t>
  </si>
  <si>
    <t>备注</t>
  </si>
  <si>
    <t>报价</t>
    <phoneticPr fontId="4" type="noConversion"/>
  </si>
  <si>
    <t>服务工日标准收费（单位为 人日 )</t>
  </si>
  <si>
    <t>服务工日收费标准</t>
    <phoneticPr fontId="4" type="noConversion"/>
  </si>
  <si>
    <t>典型个性化收费标准（单位为 个 ）</t>
  </si>
  <si>
    <t>名称</t>
    <phoneticPr fontId="4" type="noConversion"/>
  </si>
  <si>
    <t>单价</t>
    <phoneticPr fontId="4" type="noConversion"/>
  </si>
  <si>
    <t>数量</t>
    <phoneticPr fontId="4" type="noConversion"/>
  </si>
  <si>
    <t>一、预算管理</t>
    <phoneticPr fontId="4" type="noConversion"/>
  </si>
  <si>
    <t>二、财务管理</t>
    <phoneticPr fontId="4" type="noConversion"/>
  </si>
  <si>
    <t>三、会计核算</t>
    <phoneticPr fontId="4" type="noConversion"/>
  </si>
  <si>
    <t>五、案款管理</t>
    <phoneticPr fontId="4" type="noConversion"/>
  </si>
  <si>
    <t>六、诉讼费管理</t>
    <phoneticPr fontId="4" type="noConversion"/>
  </si>
  <si>
    <t>七、固定资产管理</t>
    <phoneticPr fontId="4" type="noConversion"/>
  </si>
  <si>
    <t>十、采购管理</t>
    <phoneticPr fontId="4" type="noConversion"/>
  </si>
  <si>
    <t>十一、决算管理</t>
    <phoneticPr fontId="4" type="noConversion"/>
  </si>
  <si>
    <t>十二、APP移动客户端</t>
    <phoneticPr fontId="4" type="noConversion"/>
  </si>
  <si>
    <t>实施部署</t>
    <phoneticPr fontId="4" type="noConversion"/>
  </si>
  <si>
    <t>省高级人民法院</t>
    <phoneticPr fontId="4" type="noConversion"/>
  </si>
  <si>
    <t>省中级人民法院</t>
    <phoneticPr fontId="4" type="noConversion"/>
  </si>
  <si>
    <t>省基层人民法院</t>
    <phoneticPr fontId="4" type="noConversion"/>
  </si>
  <si>
    <t>合计：</t>
    <phoneticPr fontId="1" type="noConversion"/>
  </si>
  <si>
    <t>合计：</t>
    <phoneticPr fontId="1" type="noConversion"/>
  </si>
  <si>
    <t>金额</t>
    <phoneticPr fontId="1" type="noConversion"/>
  </si>
  <si>
    <t>司法行政综合管理系统核心商务方案及报价书</t>
    <phoneticPr fontId="1" type="noConversion"/>
  </si>
  <si>
    <t>接口标准报价</t>
    <phoneticPr fontId="4" type="noConversion"/>
  </si>
  <si>
    <t>中国银行</t>
    <phoneticPr fontId="1" type="noConversion"/>
  </si>
  <si>
    <t>建设银行</t>
    <phoneticPr fontId="1" type="noConversion"/>
  </si>
  <si>
    <t>工商银行</t>
    <phoneticPr fontId="1" type="noConversion"/>
  </si>
  <si>
    <t>农业银行</t>
    <phoneticPr fontId="1" type="noConversion"/>
  </si>
  <si>
    <t>交通银行</t>
    <phoneticPr fontId="1" type="noConversion"/>
  </si>
  <si>
    <t>区域银行</t>
    <phoneticPr fontId="1" type="noConversion"/>
  </si>
  <si>
    <t>省基层人民法院</t>
    <phoneticPr fontId="4" type="noConversion"/>
  </si>
  <si>
    <t>四、装备管理</t>
    <phoneticPr fontId="4" type="noConversion"/>
  </si>
  <si>
    <t>云南省高级人民法院司法行政综合管理系统运维服务费用（次年运维服务）</t>
    <phoneticPr fontId="1" type="noConversion"/>
  </si>
  <si>
    <t>八、物资管理</t>
    <phoneticPr fontId="4" type="noConversion"/>
  </si>
  <si>
    <t>九、车辆管理</t>
    <phoneticPr fontId="4" type="noConversion"/>
  </si>
  <si>
    <t>云南省高级人民法院司法行政综合管理系统实施部署、培训、运维服务费用（含1年运维服务）</t>
    <phoneticPr fontId="1" type="noConversion"/>
  </si>
  <si>
    <t>销售</t>
    <phoneticPr fontId="1" type="noConversion"/>
  </si>
  <si>
    <t>实施</t>
    <phoneticPr fontId="1" type="noConversion"/>
  </si>
  <si>
    <t>技术</t>
    <phoneticPr fontId="1" type="noConversion"/>
  </si>
  <si>
    <t>月</t>
    <phoneticPr fontId="1" type="noConversion"/>
  </si>
  <si>
    <t>售前</t>
    <phoneticPr fontId="1" type="noConversion"/>
  </si>
  <si>
    <t>驻场</t>
    <phoneticPr fontId="1" type="noConversion"/>
  </si>
  <si>
    <t>直接人工</t>
    <phoneticPr fontId="1" type="noConversion"/>
  </si>
  <si>
    <t>交通</t>
    <phoneticPr fontId="1" type="noConversion"/>
  </si>
  <si>
    <t>小计</t>
    <phoneticPr fontId="1" type="noConversion"/>
  </si>
  <si>
    <t>合计</t>
    <phoneticPr fontId="1" type="noConversion"/>
  </si>
  <si>
    <t>运营20%</t>
    <phoneticPr fontId="1" type="noConversion"/>
  </si>
  <si>
    <t>住宿</t>
    <phoneticPr fontId="1" type="noConversion"/>
  </si>
  <si>
    <t>补助</t>
    <phoneticPr fontId="1" type="noConversion"/>
  </si>
  <si>
    <t>基础平台</t>
    <phoneticPr fontId="1" type="noConversion"/>
  </si>
  <si>
    <t>软件价值</t>
    <phoneticPr fontId="1" type="noConversion"/>
  </si>
  <si>
    <t>含200用户</t>
    <phoneticPr fontId="1" type="noConversion"/>
  </si>
  <si>
    <t>用户数</t>
    <phoneticPr fontId="1" type="noConversion"/>
  </si>
  <si>
    <t>五、装备管理</t>
    <phoneticPr fontId="4" type="noConversion"/>
  </si>
  <si>
    <t>八、固定资产管理</t>
    <phoneticPr fontId="4" type="noConversion"/>
  </si>
  <si>
    <t>十二、决算管理</t>
    <phoneticPr fontId="4" type="noConversion"/>
  </si>
  <si>
    <t>十三、APP移动客户端</t>
    <phoneticPr fontId="4" type="noConversion"/>
  </si>
  <si>
    <t>说明</t>
    <phoneticPr fontId="4" type="noConversion"/>
  </si>
  <si>
    <t>一期省本级实施部署1个月，培训1个月，试运行1个月，正式运行3个月后进行全省推广</t>
    <phoneticPr fontId="4" type="noConversion"/>
  </si>
  <si>
    <t>全省推广（中院）</t>
    <phoneticPr fontId="4" type="noConversion"/>
  </si>
  <si>
    <t>全省推广（基层法院）</t>
    <phoneticPr fontId="4" type="noConversion"/>
  </si>
  <si>
    <t>九、物资管理</t>
    <phoneticPr fontId="4" type="noConversion"/>
  </si>
  <si>
    <t>六、车辆管理</t>
    <phoneticPr fontId="4" type="noConversion"/>
  </si>
  <si>
    <t>十、案款管理</t>
    <phoneticPr fontId="4" type="noConversion"/>
  </si>
  <si>
    <t>十一、诉讼费管理</t>
    <phoneticPr fontId="4" type="noConversion"/>
  </si>
  <si>
    <t>七、采购管理</t>
    <phoneticPr fontId="4" type="noConversion"/>
  </si>
  <si>
    <t>一期（资金）</t>
    <phoneticPr fontId="1" type="noConversion"/>
  </si>
  <si>
    <t>二期（物资）</t>
    <phoneticPr fontId="4" type="noConversion"/>
  </si>
  <si>
    <t>三期（业务）</t>
    <phoneticPr fontId="4" type="noConversion"/>
  </si>
  <si>
    <t>一、基础平台</t>
    <phoneticPr fontId="4" type="noConversion"/>
  </si>
  <si>
    <t>二、预算管理</t>
    <phoneticPr fontId="4" type="noConversion"/>
  </si>
  <si>
    <t>三、财务管理</t>
    <phoneticPr fontId="4" type="noConversion"/>
  </si>
  <si>
    <t>四、会计核算</t>
    <phoneticPr fontId="4" type="noConversion"/>
  </si>
  <si>
    <t>云南测算</t>
    <phoneticPr fontId="4" type="noConversion"/>
  </si>
  <si>
    <t>云南单位数</t>
    <phoneticPr fontId="4" type="noConversion"/>
  </si>
  <si>
    <t>合计</t>
    <phoneticPr fontId="4" type="noConversion"/>
  </si>
  <si>
    <t>江苏单位数</t>
    <phoneticPr fontId="4" type="noConversion"/>
  </si>
  <si>
    <t>江苏测算</t>
    <phoneticPr fontId="4" type="noConversion"/>
  </si>
  <si>
    <t>吉林单位数</t>
    <phoneticPr fontId="4" type="noConversion"/>
  </si>
  <si>
    <t>吉林测算</t>
    <phoneticPr fontId="4" type="noConversion"/>
  </si>
  <si>
    <t>四川测算</t>
    <phoneticPr fontId="4" type="noConversion"/>
  </si>
  <si>
    <t>合计</t>
    <phoneticPr fontId="4" type="noConversion"/>
  </si>
  <si>
    <t>软件价格
(赠送)</t>
    <phoneticPr fontId="4" type="noConversion"/>
  </si>
  <si>
    <t>山东测算</t>
    <phoneticPr fontId="4" type="noConversion"/>
  </si>
  <si>
    <t>湖南测算</t>
    <phoneticPr fontId="4" type="noConversion"/>
  </si>
  <si>
    <t>现在报价</t>
    <phoneticPr fontId="1" type="noConversion"/>
  </si>
  <si>
    <t>含二次开发</t>
    <phoneticPr fontId="1" type="noConversion"/>
  </si>
  <si>
    <t>含二次开发</t>
    <phoneticPr fontId="1" type="noConversion"/>
  </si>
  <si>
    <t>部份模块</t>
    <phoneticPr fontId="1" type="noConversion"/>
  </si>
  <si>
    <t>省本级</t>
    <phoneticPr fontId="1" type="noConversion"/>
  </si>
  <si>
    <t>整体</t>
    <phoneticPr fontId="1" type="noConversion"/>
  </si>
  <si>
    <t>-</t>
    <phoneticPr fontId="1" type="noConversion"/>
  </si>
  <si>
    <t>含二次开发和两庭建设无案款诉讼费</t>
    <phoneticPr fontId="1" type="noConversion"/>
  </si>
  <si>
    <t>中级</t>
    <phoneticPr fontId="1" type="noConversion"/>
  </si>
  <si>
    <t>基层</t>
    <phoneticPr fontId="1" type="noConversion"/>
  </si>
  <si>
    <t>调整建议系数</t>
    <phoneticPr fontId="1" type="noConversion"/>
  </si>
  <si>
    <t>一期合计</t>
    <phoneticPr fontId="4" type="noConversion"/>
  </si>
  <si>
    <t>宁夏测算</t>
    <phoneticPr fontId="4" type="noConversion"/>
  </si>
  <si>
    <t>所有报价不包含二次开发</t>
    <phoneticPr fontId="4" type="noConversion"/>
  </si>
  <si>
    <t>宁夏单位数</t>
    <phoneticPr fontId="4" type="noConversion"/>
  </si>
  <si>
    <t>省本级金额</t>
    <phoneticPr fontId="1" type="noConversion"/>
  </si>
  <si>
    <t>一期</t>
    <phoneticPr fontId="1" type="noConversion"/>
  </si>
  <si>
    <t>二期</t>
    <phoneticPr fontId="1" type="noConversion"/>
  </si>
  <si>
    <t>三期</t>
    <phoneticPr fontId="1" type="noConversion"/>
  </si>
  <si>
    <t>省本级</t>
    <phoneticPr fontId="1" type="noConversion"/>
  </si>
  <si>
    <t>市中级</t>
    <phoneticPr fontId="1" type="noConversion"/>
  </si>
  <si>
    <t>单位数</t>
    <phoneticPr fontId="1" type="noConversion"/>
  </si>
  <si>
    <t>方案一</t>
    <phoneticPr fontId="1" type="noConversion"/>
  </si>
  <si>
    <t>方案二</t>
    <phoneticPr fontId="1" type="noConversion"/>
  </si>
  <si>
    <t>省份</t>
    <phoneticPr fontId="1" type="noConversion"/>
  </si>
  <si>
    <t>级别</t>
    <phoneticPr fontId="1" type="noConversion"/>
  </si>
  <si>
    <t>合计</t>
    <phoneticPr fontId="1" type="noConversion"/>
  </si>
  <si>
    <t>四川单位数</t>
    <phoneticPr fontId="4" type="noConversion"/>
  </si>
  <si>
    <t>云南</t>
    <phoneticPr fontId="1" type="noConversion"/>
  </si>
  <si>
    <t>方案一</t>
    <phoneticPr fontId="1" type="noConversion"/>
  </si>
  <si>
    <t>小计</t>
    <phoneticPr fontId="1" type="noConversion"/>
  </si>
  <si>
    <t>全省逐级全模块推广</t>
    <phoneticPr fontId="1" type="noConversion"/>
  </si>
  <si>
    <t>省本级全模块</t>
    <phoneticPr fontId="1" type="noConversion"/>
  </si>
  <si>
    <t>二期</t>
    <phoneticPr fontId="1" type="noConversion"/>
  </si>
  <si>
    <t>市中级核心模块+基层核心模块</t>
    <phoneticPr fontId="1" type="noConversion"/>
  </si>
  <si>
    <t>三期</t>
    <phoneticPr fontId="1" type="noConversion"/>
  </si>
  <si>
    <t>市中级剩余模块+基层剩余模块</t>
    <phoneticPr fontId="1" type="noConversion"/>
  </si>
  <si>
    <t>全三期</t>
    <phoneticPr fontId="1" type="noConversion"/>
  </si>
  <si>
    <t>公司方案</t>
    <phoneticPr fontId="1" type="noConversion"/>
  </si>
  <si>
    <t>调整方案</t>
    <phoneticPr fontId="1" type="noConversion"/>
  </si>
  <si>
    <t>山东单位数</t>
    <phoneticPr fontId="4" type="noConversion"/>
  </si>
  <si>
    <t>湖南单位数</t>
    <phoneticPr fontId="4" type="noConversion"/>
  </si>
  <si>
    <t>山东单位数</t>
    <phoneticPr fontId="4" type="noConversion"/>
  </si>
  <si>
    <t>山东测算</t>
    <phoneticPr fontId="4" type="noConversion"/>
  </si>
  <si>
    <t>省份</t>
    <phoneticPr fontId="1" type="noConversion"/>
  </si>
  <si>
    <t>省级数量</t>
    <phoneticPr fontId="1" type="noConversion"/>
  </si>
  <si>
    <t>市级数量</t>
    <phoneticPr fontId="1" type="noConversion"/>
  </si>
  <si>
    <t>基层数量</t>
    <phoneticPr fontId="1" type="noConversion"/>
  </si>
  <si>
    <t>江苏</t>
    <phoneticPr fontId="1" type="noConversion"/>
  </si>
  <si>
    <t>云南</t>
    <phoneticPr fontId="1" type="noConversion"/>
  </si>
  <si>
    <t>吉林</t>
    <phoneticPr fontId="1" type="noConversion"/>
  </si>
  <si>
    <t>四川</t>
    <phoneticPr fontId="1" type="noConversion"/>
  </si>
  <si>
    <t>宁夏</t>
    <phoneticPr fontId="1" type="noConversion"/>
  </si>
  <si>
    <t>山东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</si>
</sst>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_ ;_ * \-#,##0_ ;_ * &quot;-&quot;_ ;_ @_ "/>
    <numFmt numFmtId="177" formatCode="_ * #,##0.00_ ;_ * \-#,##0.00_ ;_ * &quot;-&quot;??_ ;_ @_ "/>
    <numFmt numFmtId="178" formatCode="_ * #,##0_ ;_ * \-#,##0_ ;_ * &quot;-&quot;??_ ;_ @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14"/>
      <name val="黑体"/>
      <family val="3"/>
      <charset val="134"/>
    </font>
    <font>
      <b/>
      <sz val="12"/>
      <name val="黑体"/>
      <family val="3"/>
      <charset val="134"/>
    </font>
    <font>
      <b/>
      <sz val="10"/>
      <name val="黑体"/>
      <family val="3"/>
      <charset val="134"/>
    </font>
    <font>
      <sz val="11"/>
      <name val="宋体"/>
      <family val="2"/>
      <charset val="134"/>
      <scheme val="minor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黑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>
      <alignment vertical="center"/>
    </xf>
    <xf numFmtId="0" fontId="2" fillId="0" borderId="0"/>
    <xf numFmtId="177" fontId="2" fillId="0" borderId="0" applyFont="0" applyFill="0" applyBorder="0" applyAlignment="0" applyProtection="0">
      <alignment vertical="center"/>
    </xf>
    <xf numFmtId="0" fontId="2" fillId="0" borderId="0"/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3" fillId="0" borderId="1" xfId="1" applyFont="1" applyFill="1" applyBorder="1" applyAlignment="1">
      <alignment vertical="center"/>
    </xf>
    <xf numFmtId="178" fontId="3" fillId="0" borderId="1" xfId="2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6" fillId="0" borderId="0" xfId="1" applyFont="1" applyFill="1" applyAlignment="1">
      <alignment vertical="center"/>
    </xf>
    <xf numFmtId="0" fontId="7" fillId="2" borderId="2" xfId="3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" fillId="3" borderId="6" xfId="3" applyFont="1" applyFill="1" applyBorder="1" applyAlignment="1">
      <alignment horizontal="center" vertical="center"/>
    </xf>
    <xf numFmtId="0" fontId="3" fillId="3" borderId="7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6" fillId="0" borderId="0" xfId="3" applyFont="1" applyFill="1" applyAlignment="1">
      <alignment vertical="center"/>
    </xf>
    <xf numFmtId="0" fontId="3" fillId="0" borderId="1" xfId="3" applyFont="1" applyFill="1" applyBorder="1" applyAlignment="1">
      <alignment horizontal="left" vertical="center" indent="1"/>
    </xf>
    <xf numFmtId="178" fontId="5" fillId="0" borderId="2" xfId="4" applyNumberFormat="1" applyFont="1" applyFill="1" applyBorder="1" applyAlignment="1">
      <alignment horizontal="right" vertical="center"/>
    </xf>
    <xf numFmtId="0" fontId="7" fillId="2" borderId="3" xfId="3" applyFont="1" applyFill="1" applyBorder="1" applyAlignment="1">
      <alignment horizontal="left" vertical="center"/>
    </xf>
    <xf numFmtId="0" fontId="5" fillId="2" borderId="5" xfId="3" applyFont="1" applyFill="1" applyBorder="1" applyAlignment="1">
      <alignment horizontal="left" vertical="center"/>
    </xf>
    <xf numFmtId="178" fontId="7" fillId="2" borderId="3" xfId="3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176" fontId="3" fillId="0" borderId="1" xfId="5" applyNumberFormat="1" applyFont="1" applyBorder="1" applyAlignment="1">
      <alignment horizontal="right" vertical="center"/>
    </xf>
    <xf numFmtId="0" fontId="3" fillId="0" borderId="1" xfId="6" applyFont="1" applyFill="1" applyBorder="1" applyAlignment="1">
      <alignment vertical="center"/>
    </xf>
    <xf numFmtId="0" fontId="3" fillId="0" borderId="3" xfId="3" applyFont="1" applyFill="1" applyBorder="1" applyAlignment="1">
      <alignment horizontal="left" vertical="center" indent="1"/>
    </xf>
    <xf numFmtId="38" fontId="5" fillId="0" borderId="1" xfId="2" applyNumberFormat="1" applyFont="1" applyFill="1" applyBorder="1" applyAlignment="1">
      <alignment horizontal="center" vertical="center"/>
    </xf>
    <xf numFmtId="38" fontId="5" fillId="0" borderId="8" xfId="2" applyNumberFormat="1" applyFont="1" applyFill="1" applyBorder="1" applyAlignment="1">
      <alignment horizontal="center" vertical="center"/>
    </xf>
    <xf numFmtId="0" fontId="3" fillId="3" borderId="8" xfId="3" applyFont="1" applyFill="1" applyBorder="1" applyAlignment="1">
      <alignment horizontal="center" vertical="center"/>
    </xf>
    <xf numFmtId="38" fontId="5" fillId="0" borderId="0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3" fillId="3" borderId="10" xfId="3" applyFont="1" applyFill="1" applyBorder="1" applyAlignment="1">
      <alignment horizontal="center" vertical="center"/>
    </xf>
    <xf numFmtId="178" fontId="5" fillId="0" borderId="11" xfId="4" applyNumberFormat="1" applyFont="1" applyFill="1" applyBorder="1" applyAlignment="1">
      <alignment horizontal="right" vertical="center"/>
    </xf>
    <xf numFmtId="178" fontId="5" fillId="0" borderId="10" xfId="4" applyNumberFormat="1" applyFont="1" applyFill="1" applyBorder="1" applyAlignment="1">
      <alignment horizontal="right" vertical="center"/>
    </xf>
    <xf numFmtId="178" fontId="5" fillId="0" borderId="7" xfId="4" applyNumberFormat="1" applyFont="1" applyFill="1" applyBorder="1" applyAlignment="1">
      <alignment horizontal="right" vertical="center"/>
    </xf>
    <xf numFmtId="178" fontId="5" fillId="0" borderId="1" xfId="4" applyNumberFormat="1" applyFont="1" applyFill="1" applyBorder="1" applyAlignment="1">
      <alignment horizontal="right" vertical="center"/>
    </xf>
    <xf numFmtId="0" fontId="3" fillId="4" borderId="1" xfId="3" applyFont="1" applyFill="1" applyBorder="1" applyAlignment="1">
      <alignment vertical="center"/>
    </xf>
    <xf numFmtId="178" fontId="5" fillId="4" borderId="1" xfId="4" applyNumberFormat="1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left" vertical="center" indent="1"/>
    </xf>
    <xf numFmtId="0" fontId="3" fillId="6" borderId="1" xfId="3" applyFont="1" applyFill="1" applyBorder="1" applyAlignment="1">
      <alignment vertical="center"/>
    </xf>
    <xf numFmtId="178" fontId="5" fillId="6" borderId="1" xfId="4" applyNumberFormat="1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left" vertical="center" indent="1"/>
    </xf>
    <xf numFmtId="0" fontId="11" fillId="5" borderId="1" xfId="3" applyFont="1" applyFill="1" applyBorder="1" applyAlignment="1">
      <alignment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11" fillId="5" borderId="1" xfId="3" applyFont="1" applyFill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0" fillId="0" borderId="1" xfId="0" applyBorder="1">
      <alignment vertical="center"/>
    </xf>
    <xf numFmtId="38" fontId="5" fillId="0" borderId="1" xfId="2" applyNumberFormat="1" applyFont="1" applyFill="1" applyBorder="1" applyAlignment="1">
      <alignment vertical="center"/>
    </xf>
    <xf numFmtId="38" fontId="5" fillId="0" borderId="1" xfId="2" applyNumberFormat="1" applyFont="1" applyFill="1" applyBorder="1" applyAlignment="1">
      <alignment horizontal="right" vertical="center"/>
    </xf>
    <xf numFmtId="0" fontId="3" fillId="3" borderId="1" xfId="3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8" fontId="5" fillId="0" borderId="8" xfId="2" applyNumberFormat="1" applyFont="1" applyFill="1" applyBorder="1" applyAlignment="1">
      <alignment horizontal="right" vertical="center"/>
    </xf>
    <xf numFmtId="0" fontId="3" fillId="0" borderId="2" xfId="3" applyFont="1" applyFill="1" applyBorder="1" applyAlignment="1">
      <alignment vertical="center"/>
    </xf>
    <xf numFmtId="0" fontId="3" fillId="0" borderId="3" xfId="3" applyFont="1" applyFill="1" applyBorder="1" applyAlignment="1">
      <alignment vertical="center"/>
    </xf>
    <xf numFmtId="178" fontId="5" fillId="0" borderId="8" xfId="4" applyNumberFormat="1" applyFont="1" applyFill="1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38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38" fontId="0" fillId="7" borderId="1" xfId="0" applyNumberFormat="1" applyFill="1" applyBorder="1">
      <alignment vertical="center"/>
    </xf>
    <xf numFmtId="38" fontId="5" fillId="0" borderId="1" xfId="2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18" fillId="0" borderId="1" xfId="0" applyFont="1" applyBorder="1">
      <alignment vertical="center"/>
    </xf>
    <xf numFmtId="0" fontId="3" fillId="0" borderId="1" xfId="6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38" fontId="8" fillId="0" borderId="8" xfId="2" applyNumberFormat="1" applyFont="1" applyFill="1" applyBorder="1" applyAlignment="1">
      <alignment horizontal="center" vertical="center"/>
    </xf>
    <xf numFmtId="38" fontId="8" fillId="0" borderId="9" xfId="2" applyNumberFormat="1" applyFont="1" applyFill="1" applyBorder="1" applyAlignment="1">
      <alignment horizontal="center" vertical="center"/>
    </xf>
    <xf numFmtId="38" fontId="8" fillId="0" borderId="6" xfId="2" applyNumberFormat="1" applyFont="1" applyFill="1" applyBorder="1" applyAlignment="1">
      <alignment horizontal="center" vertical="center"/>
    </xf>
    <xf numFmtId="38" fontId="5" fillId="0" borderId="8" xfId="2" applyNumberFormat="1" applyFont="1" applyFill="1" applyBorder="1" applyAlignment="1">
      <alignment horizontal="center" vertical="center"/>
    </xf>
    <xf numFmtId="38" fontId="5" fillId="0" borderId="9" xfId="2" applyNumberFormat="1" applyFont="1" applyFill="1" applyBorder="1" applyAlignment="1">
      <alignment horizontal="center" vertical="center"/>
    </xf>
    <xf numFmtId="38" fontId="5" fillId="0" borderId="6" xfId="2" applyNumberFormat="1" applyFont="1" applyFill="1" applyBorder="1" applyAlignment="1">
      <alignment horizontal="center" vertical="center"/>
    </xf>
    <xf numFmtId="38" fontId="9" fillId="0" borderId="8" xfId="2" applyNumberFormat="1" applyFont="1" applyFill="1" applyBorder="1" applyAlignment="1">
      <alignment horizontal="center" vertical="center"/>
    </xf>
    <xf numFmtId="38" fontId="9" fillId="0" borderId="9" xfId="2" applyNumberFormat="1" applyFont="1" applyFill="1" applyBorder="1" applyAlignment="1">
      <alignment horizontal="center" vertical="center"/>
    </xf>
    <xf numFmtId="38" fontId="9" fillId="0" borderId="6" xfId="2" applyNumberFormat="1" applyFont="1" applyFill="1" applyBorder="1" applyAlignment="1">
      <alignment horizontal="center" vertical="center"/>
    </xf>
    <xf numFmtId="38" fontId="5" fillId="0" borderId="12" xfId="2" applyNumberFormat="1" applyFont="1" applyFill="1" applyBorder="1" applyAlignment="1">
      <alignment horizontal="center" vertical="center"/>
    </xf>
    <xf numFmtId="0" fontId="3" fillId="0" borderId="3" xfId="3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38" fontId="5" fillId="0" borderId="1" xfId="2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1" xfId="3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>
      <alignment vertical="center"/>
    </xf>
    <xf numFmtId="0" fontId="17" fillId="4" borderId="1" xfId="0" applyFont="1" applyFill="1" applyBorder="1" applyAlignment="1">
      <alignment horizontal="left" vertical="center"/>
    </xf>
    <xf numFmtId="0" fontId="19" fillId="0" borderId="1" xfId="3" applyFont="1" applyFill="1" applyBorder="1" applyAlignment="1">
      <alignment vertical="center"/>
    </xf>
  </cellXfs>
  <cellStyles count="30">
    <cellStyle name="常规 2" xfId="7"/>
    <cellStyle name="常规_Sheet1" xfId="3"/>
    <cellStyle name="常规_Sheet1_1" xfId="1"/>
    <cellStyle name="常规_Sheet1_1 2" xfId="6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普通" xfId="0" builtinId="0"/>
    <cellStyle name="千位分隔_Sheet1" xfId="2"/>
    <cellStyle name="千位分隔_Sheet1_1" xfId="4"/>
    <cellStyle name="千位分隔_Sheet1_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E1" zoomScale="150" zoomScaleNormal="150" zoomScalePageLayoutView="150" workbookViewId="0">
      <selection activeCell="M7" sqref="M7"/>
    </sheetView>
  </sheetViews>
  <sheetFormatPr baseColWidth="10" defaultColWidth="8.83203125" defaultRowHeight="14" x14ac:dyDescent="0"/>
  <cols>
    <col min="1" max="1" width="27" customWidth="1"/>
    <col min="2" max="3" width="11.6640625" customWidth="1"/>
    <col min="4" max="4" width="15.1640625" customWidth="1"/>
    <col min="5" max="5" width="49" customWidth="1"/>
    <col min="6" max="6" width="5.6640625" style="118" customWidth="1"/>
    <col min="8" max="8" width="11.33203125" customWidth="1"/>
  </cols>
  <sheetData>
    <row r="1" spans="1:14" s="9" customFormat="1" ht="27.75" customHeight="1">
      <c r="A1" s="71" t="s">
        <v>28</v>
      </c>
      <c r="B1" s="72"/>
      <c r="C1" s="72"/>
      <c r="D1" s="72"/>
      <c r="E1" s="73"/>
      <c r="F1" s="116"/>
      <c r="G1" s="28"/>
      <c r="H1" s="119" t="s">
        <v>45</v>
      </c>
      <c r="I1" s="119" t="s">
        <v>48</v>
      </c>
      <c r="J1" s="119" t="s">
        <v>53</v>
      </c>
      <c r="K1" s="119" t="s">
        <v>54</v>
      </c>
      <c r="L1" s="119" t="s">
        <v>49</v>
      </c>
      <c r="M1" s="119" t="s">
        <v>50</v>
      </c>
      <c r="N1" s="119" t="s">
        <v>52</v>
      </c>
    </row>
    <row r="2" spans="1:14" s="14" customFormat="1" ht="18" customHeight="1">
      <c r="A2" s="10" t="s">
        <v>2</v>
      </c>
      <c r="B2" s="11" t="s">
        <v>3</v>
      </c>
      <c r="C2" s="11"/>
      <c r="D2" s="12" t="s">
        <v>21</v>
      </c>
      <c r="E2" s="12" t="s">
        <v>27</v>
      </c>
      <c r="F2" s="117"/>
      <c r="G2" s="29" t="s">
        <v>42</v>
      </c>
      <c r="H2" s="29">
        <v>4</v>
      </c>
      <c r="I2" s="29">
        <f>H2/$H$7*$I$7</f>
        <v>50000</v>
      </c>
      <c r="J2" s="29">
        <v>21000</v>
      </c>
      <c r="K2" s="29">
        <v>4800</v>
      </c>
      <c r="L2" s="29">
        <v>60000</v>
      </c>
      <c r="M2" s="29">
        <f>SUM(I2:L2)</f>
        <v>135800</v>
      </c>
      <c r="N2" s="29">
        <f>M2*1.2</f>
        <v>162960</v>
      </c>
    </row>
    <row r="3" spans="1:14" s="14" customFormat="1" ht="18" customHeight="1">
      <c r="A3" s="10" t="s">
        <v>55</v>
      </c>
      <c r="B3" s="11">
        <v>350000</v>
      </c>
      <c r="C3" s="30"/>
      <c r="D3" s="26"/>
      <c r="E3" s="26"/>
      <c r="F3" s="117"/>
      <c r="G3" s="29" t="s">
        <v>43</v>
      </c>
      <c r="H3" s="29">
        <v>9</v>
      </c>
      <c r="I3" s="29">
        <f t="shared" ref="I3:I6" si="0">H3/$H$7*$I$7</f>
        <v>112500</v>
      </c>
      <c r="J3" s="29">
        <f>10500*2</f>
        <v>21000</v>
      </c>
      <c r="K3" s="29">
        <v>7200</v>
      </c>
      <c r="L3" s="29">
        <v>25000</v>
      </c>
      <c r="M3" s="29">
        <f t="shared" ref="M3:M7" si="1">SUM(I3:L3)</f>
        <v>165700</v>
      </c>
      <c r="N3" s="29">
        <f t="shared" ref="N3:N7" si="2">M3*1.2</f>
        <v>198840</v>
      </c>
    </row>
    <row r="4" spans="1:14" s="14" customFormat="1" ht="18" customHeight="1">
      <c r="A4" s="15" t="s">
        <v>12</v>
      </c>
      <c r="B4" s="16">
        <v>200000</v>
      </c>
      <c r="C4" s="31"/>
      <c r="D4" s="74"/>
      <c r="E4" s="77">
        <v>650000</v>
      </c>
      <c r="F4" s="27"/>
      <c r="G4" s="29" t="s">
        <v>44</v>
      </c>
      <c r="H4" s="29">
        <v>3</v>
      </c>
      <c r="I4" s="29">
        <f t="shared" si="0"/>
        <v>37500</v>
      </c>
      <c r="J4" s="29">
        <v>31500</v>
      </c>
      <c r="K4" s="29">
        <v>4200</v>
      </c>
      <c r="L4" s="29">
        <v>24000</v>
      </c>
      <c r="M4" s="29">
        <f t="shared" si="1"/>
        <v>97200</v>
      </c>
      <c r="N4" s="29">
        <f t="shared" si="2"/>
        <v>116640</v>
      </c>
    </row>
    <row r="5" spans="1:14" s="14" customFormat="1" ht="18" customHeight="1">
      <c r="A5" s="15" t="s">
        <v>13</v>
      </c>
      <c r="B5" s="16">
        <v>300000</v>
      </c>
      <c r="C5" s="32"/>
      <c r="D5" s="75"/>
      <c r="E5" s="78"/>
      <c r="F5" s="27"/>
      <c r="G5" s="29" t="s">
        <v>46</v>
      </c>
      <c r="H5" s="29">
        <v>1</v>
      </c>
      <c r="I5" s="29">
        <f t="shared" si="0"/>
        <v>12500</v>
      </c>
      <c r="J5" s="29">
        <v>10500</v>
      </c>
      <c r="K5" s="29">
        <v>2400</v>
      </c>
      <c r="L5" s="29">
        <v>4000</v>
      </c>
      <c r="M5" s="29">
        <f t="shared" si="1"/>
        <v>29400</v>
      </c>
      <c r="N5" s="29">
        <f t="shared" si="2"/>
        <v>35280</v>
      </c>
    </row>
    <row r="6" spans="1:14" s="14" customFormat="1" ht="18" customHeight="1">
      <c r="A6" s="15" t="s">
        <v>14</v>
      </c>
      <c r="B6" s="16">
        <v>200000</v>
      </c>
      <c r="C6" s="33"/>
      <c r="D6" s="76"/>
      <c r="E6" s="79"/>
      <c r="F6" s="27"/>
      <c r="G6" s="29" t="s">
        <v>47</v>
      </c>
      <c r="H6" s="29">
        <v>24</v>
      </c>
      <c r="I6" s="29">
        <f t="shared" si="0"/>
        <v>300000</v>
      </c>
      <c r="J6" s="29">
        <v>50000</v>
      </c>
      <c r="K6" s="29">
        <v>4800</v>
      </c>
      <c r="L6" s="29">
        <v>4000</v>
      </c>
      <c r="M6" s="29">
        <f t="shared" si="1"/>
        <v>358800</v>
      </c>
      <c r="N6" s="29">
        <f t="shared" si="2"/>
        <v>430560</v>
      </c>
    </row>
    <row r="7" spans="1:14" s="14" customFormat="1" ht="17.25" customHeight="1">
      <c r="A7" s="15" t="s">
        <v>37</v>
      </c>
      <c r="B7" s="16">
        <v>100000</v>
      </c>
      <c r="C7" s="31"/>
      <c r="D7" s="74"/>
      <c r="E7" s="77">
        <v>400000</v>
      </c>
      <c r="F7" s="27"/>
      <c r="G7" s="29" t="s">
        <v>51</v>
      </c>
      <c r="H7" s="29">
        <v>41</v>
      </c>
      <c r="I7" s="29">
        <v>512500</v>
      </c>
      <c r="J7" s="29">
        <f>SUM(J2:J6)</f>
        <v>134000</v>
      </c>
      <c r="K7" s="29">
        <f t="shared" ref="K7:L7" si="3">SUM(K2:K6)</f>
        <v>23400</v>
      </c>
      <c r="L7" s="29">
        <f t="shared" si="3"/>
        <v>117000</v>
      </c>
      <c r="M7" s="123">
        <f t="shared" si="1"/>
        <v>786900</v>
      </c>
      <c r="N7" s="29">
        <f t="shared" si="2"/>
        <v>944280</v>
      </c>
    </row>
    <row r="8" spans="1:14" s="14" customFormat="1" ht="18" customHeight="1">
      <c r="A8" s="15" t="s">
        <v>15</v>
      </c>
      <c r="B8" s="16">
        <v>150000</v>
      </c>
      <c r="C8" s="32"/>
      <c r="D8" s="75"/>
      <c r="E8" s="78"/>
      <c r="F8" s="27"/>
    </row>
    <row r="9" spans="1:14" s="4" customFormat="1" ht="18" customHeight="1">
      <c r="A9" s="15" t="s">
        <v>16</v>
      </c>
      <c r="B9" s="16">
        <v>150000</v>
      </c>
      <c r="C9" s="32"/>
      <c r="D9" s="75"/>
      <c r="E9" s="78"/>
      <c r="F9" s="27"/>
    </row>
    <row r="10" spans="1:14" s="4" customFormat="1" ht="18" customHeight="1">
      <c r="A10" s="15" t="s">
        <v>17</v>
      </c>
      <c r="B10" s="16">
        <v>200000</v>
      </c>
      <c r="C10" s="33"/>
      <c r="D10" s="76"/>
      <c r="E10" s="79"/>
      <c r="F10" s="27"/>
    </row>
    <row r="11" spans="1:14" s="4" customFormat="1" ht="18" customHeight="1">
      <c r="A11" s="15" t="s">
        <v>39</v>
      </c>
      <c r="B11" s="16">
        <v>100000</v>
      </c>
      <c r="C11" s="31"/>
      <c r="D11" s="80"/>
      <c r="E11" s="77">
        <v>450000</v>
      </c>
      <c r="F11" s="27"/>
    </row>
    <row r="12" spans="1:14" s="14" customFormat="1" ht="18" customHeight="1">
      <c r="A12" s="15" t="s">
        <v>40</v>
      </c>
      <c r="B12" s="16">
        <v>100000</v>
      </c>
      <c r="C12" s="32"/>
      <c r="D12" s="81"/>
      <c r="E12" s="78"/>
      <c r="F12" s="27"/>
    </row>
    <row r="13" spans="1:14" s="14" customFormat="1" ht="18" customHeight="1">
      <c r="A13" s="15" t="s">
        <v>18</v>
      </c>
      <c r="B13" s="16">
        <v>200000</v>
      </c>
      <c r="C13" s="32"/>
      <c r="D13" s="81"/>
      <c r="E13" s="78"/>
      <c r="F13" s="27"/>
    </row>
    <row r="14" spans="1:14" s="14" customFormat="1" ht="18" customHeight="1">
      <c r="A14" s="15" t="s">
        <v>19</v>
      </c>
      <c r="B14" s="16">
        <v>100000</v>
      </c>
      <c r="C14" s="32"/>
      <c r="D14" s="81"/>
      <c r="E14" s="78"/>
      <c r="F14" s="27"/>
    </row>
    <row r="15" spans="1:14" s="14" customFormat="1" ht="18" customHeight="1">
      <c r="A15" s="15" t="s">
        <v>20</v>
      </c>
      <c r="B15" s="16">
        <v>100000</v>
      </c>
      <c r="C15" s="33"/>
      <c r="D15" s="82"/>
      <c r="E15" s="79"/>
      <c r="F15" s="27"/>
    </row>
    <row r="16" spans="1:14" s="14" customFormat="1" ht="35.25" customHeight="1">
      <c r="A16" s="23" t="s">
        <v>25</v>
      </c>
      <c r="B16" s="24">
        <f>SUM(B3:B15)</f>
        <v>2250000</v>
      </c>
      <c r="C16" s="24"/>
      <c r="D16" s="24"/>
      <c r="E16" s="24">
        <f>E4+E7+E11</f>
        <v>1500000</v>
      </c>
      <c r="F16" s="27"/>
    </row>
    <row r="17" spans="1:7" s="14" customFormat="1" ht="39" customHeight="1">
      <c r="A17" s="71" t="s">
        <v>41</v>
      </c>
      <c r="B17" s="72"/>
      <c r="C17" s="72"/>
      <c r="D17" s="72"/>
      <c r="E17" s="73"/>
      <c r="F17" s="116"/>
      <c r="G17" s="9"/>
    </row>
    <row r="18" spans="1:7" s="14" customFormat="1" ht="18" customHeight="1">
      <c r="A18" s="10" t="s">
        <v>9</v>
      </c>
      <c r="B18" s="11" t="s">
        <v>10</v>
      </c>
      <c r="C18" s="11"/>
      <c r="D18" s="12" t="s">
        <v>11</v>
      </c>
      <c r="E18" s="12" t="s">
        <v>27</v>
      </c>
      <c r="F18" s="117"/>
      <c r="G18" s="9"/>
    </row>
    <row r="19" spans="1:7" s="14" customFormat="1" ht="19.5" customHeight="1">
      <c r="A19" s="22" t="s">
        <v>22</v>
      </c>
      <c r="B19" s="24">
        <v>1500000</v>
      </c>
      <c r="C19" s="24"/>
      <c r="D19" s="24">
        <v>1</v>
      </c>
      <c r="E19" s="24">
        <f>B19*D19</f>
        <v>1500000</v>
      </c>
      <c r="F19" s="27"/>
      <c r="G19" s="9"/>
    </row>
    <row r="20" spans="1:7" ht="17.25" customHeight="1">
      <c r="A20" s="22" t="s">
        <v>23</v>
      </c>
      <c r="B20" s="24">
        <v>60000</v>
      </c>
      <c r="C20" s="24"/>
      <c r="D20" s="24">
        <v>17</v>
      </c>
      <c r="E20" s="24">
        <f>B20*D20</f>
        <v>1020000</v>
      </c>
      <c r="F20" s="27"/>
    </row>
    <row r="21" spans="1:7" ht="15">
      <c r="A21" s="22" t="s">
        <v>36</v>
      </c>
      <c r="B21" s="24">
        <v>38000</v>
      </c>
      <c r="C21" s="24"/>
      <c r="D21" s="24">
        <v>131</v>
      </c>
      <c r="E21" s="24">
        <f>B21*D21</f>
        <v>4978000</v>
      </c>
      <c r="F21" s="27"/>
    </row>
    <row r="22" spans="1:7" ht="22.5" customHeight="1">
      <c r="A22" s="70" t="s">
        <v>26</v>
      </c>
      <c r="B22" s="70"/>
      <c r="C22" s="70"/>
      <c r="D22" s="70"/>
      <c r="E22" s="24">
        <f>E19+E20+E21</f>
        <v>7498000</v>
      </c>
      <c r="F22" s="27"/>
    </row>
    <row r="25" spans="1:7" ht="17">
      <c r="A25" s="71" t="s">
        <v>38</v>
      </c>
      <c r="B25" s="72"/>
      <c r="C25" s="72"/>
      <c r="D25" s="72"/>
      <c r="E25" s="73"/>
      <c r="F25" s="116"/>
    </row>
    <row r="26" spans="1:7" s="14" customFormat="1" ht="19.5" customHeight="1">
      <c r="A26" s="22" t="s">
        <v>22</v>
      </c>
      <c r="B26" s="24">
        <v>150000</v>
      </c>
      <c r="C26" s="24"/>
      <c r="D26" s="24">
        <v>1</v>
      </c>
      <c r="E26" s="24">
        <f>B26*D26</f>
        <v>150000</v>
      </c>
      <c r="F26" s="27"/>
      <c r="G26" s="9"/>
    </row>
    <row r="27" spans="1:7" s="14" customFormat="1" ht="19.5" customHeight="1">
      <c r="A27" s="22" t="s">
        <v>23</v>
      </c>
      <c r="B27" s="24">
        <v>30000</v>
      </c>
      <c r="C27" s="24"/>
      <c r="D27" s="24">
        <v>17</v>
      </c>
      <c r="E27" s="24">
        <f t="shared" ref="E27:E28" si="4">B27*D27</f>
        <v>510000</v>
      </c>
      <c r="F27" s="27"/>
      <c r="G27" s="9"/>
    </row>
    <row r="28" spans="1:7" s="14" customFormat="1" ht="19.5" customHeight="1">
      <c r="A28" s="22" t="s">
        <v>24</v>
      </c>
      <c r="B28" s="24">
        <v>14000</v>
      </c>
      <c r="C28" s="24"/>
      <c r="D28" s="24">
        <v>131</v>
      </c>
      <c r="E28" s="24">
        <f t="shared" si="4"/>
        <v>1834000</v>
      </c>
      <c r="F28" s="27"/>
      <c r="G28" s="9"/>
    </row>
    <row r="29" spans="1:7" ht="27.75" customHeight="1">
      <c r="A29" s="70" t="s">
        <v>26</v>
      </c>
      <c r="B29" s="70"/>
      <c r="C29" s="70"/>
      <c r="D29" s="70"/>
      <c r="E29" s="24">
        <f>E26+E27+E28</f>
        <v>2494000</v>
      </c>
      <c r="F29" s="27"/>
    </row>
    <row r="35" spans="1:3">
      <c r="A35" t="s">
        <v>56</v>
      </c>
      <c r="B35">
        <v>190</v>
      </c>
      <c r="C35" t="s">
        <v>57</v>
      </c>
    </row>
  </sheetData>
  <mergeCells count="11">
    <mergeCell ref="A29:D29"/>
    <mergeCell ref="A1:E1"/>
    <mergeCell ref="D4:D6"/>
    <mergeCell ref="E4:E6"/>
    <mergeCell ref="E7:E10"/>
    <mergeCell ref="E11:E15"/>
    <mergeCell ref="D7:D10"/>
    <mergeCell ref="D11:D15"/>
    <mergeCell ref="A22:D22"/>
    <mergeCell ref="A17:E17"/>
    <mergeCell ref="A25:E25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4" sqref="D14"/>
    </sheetView>
  </sheetViews>
  <sheetFormatPr baseColWidth="10" defaultColWidth="8.83203125" defaultRowHeight="14" x14ac:dyDescent="0"/>
  <cols>
    <col min="1" max="1" width="18.5" customWidth="1"/>
    <col min="2" max="2" width="27.33203125" customWidth="1"/>
    <col min="3" max="3" width="13" customWidth="1"/>
    <col min="4" max="4" width="46" customWidth="1"/>
  </cols>
  <sheetData>
    <row r="1" spans="1:4" s="9" customFormat="1" ht="21" customHeight="1">
      <c r="A1" s="5" t="s">
        <v>29</v>
      </c>
      <c r="B1" s="6"/>
      <c r="C1" s="7"/>
      <c r="D1" s="8"/>
    </row>
    <row r="2" spans="1:4" s="13" customFormat="1" ht="18" customHeight="1">
      <c r="A2" s="10" t="s">
        <v>1</v>
      </c>
      <c r="B2" s="10" t="s">
        <v>2</v>
      </c>
      <c r="C2" s="11" t="s">
        <v>5</v>
      </c>
      <c r="D2" s="12" t="s">
        <v>4</v>
      </c>
    </row>
    <row r="3" spans="1:4" s="4" customFormat="1" ht="18" customHeight="1">
      <c r="A3" s="5" t="s">
        <v>6</v>
      </c>
      <c r="B3" s="17"/>
      <c r="C3" s="19"/>
      <c r="D3" s="18"/>
    </row>
    <row r="4" spans="1:4" s="4" customFormat="1" ht="20.25" customHeight="1">
      <c r="A4" s="1"/>
      <c r="B4" s="1" t="s">
        <v>7</v>
      </c>
      <c r="C4" s="2">
        <v>2000</v>
      </c>
      <c r="D4" s="20"/>
    </row>
    <row r="5" spans="1:4" s="4" customFormat="1" ht="15">
      <c r="A5" s="1"/>
      <c r="B5" s="1" t="s">
        <v>0</v>
      </c>
      <c r="C5" s="2">
        <v>4000</v>
      </c>
      <c r="D5" s="3"/>
    </row>
    <row r="6" spans="1:4" s="4" customFormat="1" ht="18" customHeight="1">
      <c r="A6" s="5" t="s">
        <v>8</v>
      </c>
      <c r="B6" s="17"/>
      <c r="C6" s="17"/>
      <c r="D6" s="18"/>
    </row>
    <row r="7" spans="1:4" s="4" customFormat="1" ht="20" customHeight="1">
      <c r="A7" s="1"/>
      <c r="B7" s="1" t="s">
        <v>30</v>
      </c>
      <c r="C7" s="21">
        <v>50000</v>
      </c>
      <c r="D7" s="20"/>
    </row>
    <row r="8" spans="1:4" s="4" customFormat="1" ht="20" customHeight="1">
      <c r="A8" s="1"/>
      <c r="B8" s="1" t="s">
        <v>31</v>
      </c>
      <c r="C8" s="21">
        <v>50000</v>
      </c>
      <c r="D8" s="20"/>
    </row>
    <row r="9" spans="1:4" s="4" customFormat="1" ht="20" customHeight="1">
      <c r="A9" s="1"/>
      <c r="B9" s="1" t="s">
        <v>32</v>
      </c>
      <c r="C9" s="21">
        <v>50000</v>
      </c>
      <c r="D9" s="20"/>
    </row>
    <row r="10" spans="1:4" s="4" customFormat="1" ht="20" customHeight="1">
      <c r="A10" s="1"/>
      <c r="B10" s="1" t="s">
        <v>33</v>
      </c>
      <c r="C10" s="21">
        <v>50000</v>
      </c>
      <c r="D10" s="20"/>
    </row>
    <row r="11" spans="1:4" s="9" customFormat="1" ht="20" customHeight="1">
      <c r="A11" s="1"/>
      <c r="B11" s="1" t="s">
        <v>34</v>
      </c>
      <c r="C11" s="21">
        <v>50000</v>
      </c>
      <c r="D11" s="20"/>
    </row>
    <row r="12" spans="1:4" s="9" customFormat="1" ht="20" customHeight="1">
      <c r="A12" s="1"/>
      <c r="B12" s="1" t="s">
        <v>35</v>
      </c>
      <c r="C12" s="21">
        <v>100000</v>
      </c>
      <c r="D12" s="20"/>
    </row>
    <row r="13" spans="1:4" s="9" customFormat="1" ht="20" customHeight="1">
      <c r="A13" s="1"/>
      <c r="B13" s="1"/>
      <c r="C13" s="21"/>
      <c r="D13" s="20"/>
    </row>
    <row r="14" spans="1:4" s="9" customFormat="1" ht="20" customHeight="1">
      <c r="A14" s="1"/>
      <c r="B14" s="1"/>
      <c r="C14" s="21"/>
      <c r="D14" s="20"/>
    </row>
    <row r="15" spans="1:4" s="9" customFormat="1" ht="20" customHeight="1">
      <c r="A15" s="1"/>
      <c r="B15" s="1"/>
      <c r="C15" s="21"/>
      <c r="D15" s="20"/>
    </row>
    <row r="16" spans="1:4" s="9" customFormat="1" ht="20" customHeight="1">
      <c r="A16" s="1"/>
      <c r="B16" s="1"/>
      <c r="C16" s="21"/>
      <c r="D16" s="20"/>
    </row>
    <row r="17" spans="1:4" s="9" customFormat="1" ht="19.5" customHeight="1">
      <c r="A17" s="1"/>
      <c r="B17" s="1"/>
      <c r="C17" s="21"/>
      <c r="D17" s="20"/>
    </row>
    <row r="18" spans="1:4" s="9" customFormat="1" ht="18.75" customHeight="1">
      <c r="A18" s="1"/>
      <c r="B18" s="1"/>
      <c r="C18" s="21"/>
      <c r="D18" s="20"/>
    </row>
    <row r="19" spans="1:4" s="9" customFormat="1" ht="18.75" customHeight="1">
      <c r="A19" s="1"/>
      <c r="B19" s="1"/>
      <c r="C19" s="21"/>
      <c r="D19" s="20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E17" sqref="E17:O17"/>
    </sheetView>
  </sheetViews>
  <sheetFormatPr baseColWidth="10" defaultColWidth="8.83203125" defaultRowHeight="14" x14ac:dyDescent="0"/>
  <cols>
    <col min="1" max="1" width="14" customWidth="1"/>
    <col min="2" max="2" width="20.33203125" customWidth="1"/>
    <col min="3" max="3" width="12" customWidth="1"/>
    <col min="4" max="4" width="11.33203125" customWidth="1"/>
    <col min="5" max="5" width="11.6640625" customWidth="1"/>
    <col min="6" max="6" width="8.1640625" customWidth="1"/>
    <col min="7" max="7" width="7.5" customWidth="1"/>
    <col min="8" max="8" width="7.33203125" customWidth="1"/>
    <col min="9" max="9" width="11.6640625" bestFit="1" customWidth="1"/>
    <col min="10" max="10" width="9" customWidth="1"/>
    <col min="11" max="11" width="9.6640625" customWidth="1"/>
    <col min="12" max="12" width="8.33203125" customWidth="1"/>
    <col min="13" max="13" width="11.6640625" bestFit="1" customWidth="1"/>
    <col min="14" max="14" width="7.1640625" customWidth="1"/>
    <col min="15" max="15" width="11.6640625" bestFit="1" customWidth="1"/>
    <col min="17" max="17" width="16.1640625" customWidth="1"/>
    <col min="19" max="19" width="11.33203125" customWidth="1"/>
  </cols>
  <sheetData>
    <row r="1" spans="1:19">
      <c r="A1" s="83" t="s">
        <v>28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19" s="51" customFormat="1" ht="60">
      <c r="A2" s="50"/>
      <c r="B2" s="50" t="s">
        <v>2</v>
      </c>
      <c r="C2" s="50" t="s">
        <v>88</v>
      </c>
      <c r="D2" s="50" t="s">
        <v>58</v>
      </c>
      <c r="E2" s="50" t="s">
        <v>106</v>
      </c>
      <c r="F2" s="50" t="s">
        <v>65</v>
      </c>
      <c r="G2" s="50" t="s">
        <v>66</v>
      </c>
      <c r="H2" s="50" t="s">
        <v>80</v>
      </c>
      <c r="I2" s="50" t="s">
        <v>79</v>
      </c>
      <c r="J2" s="50" t="s">
        <v>82</v>
      </c>
      <c r="K2" s="50" t="s">
        <v>83</v>
      </c>
      <c r="L2" s="50" t="s">
        <v>84</v>
      </c>
      <c r="M2" s="50" t="s">
        <v>85</v>
      </c>
      <c r="N2" s="50" t="s">
        <v>118</v>
      </c>
      <c r="O2" s="50" t="s">
        <v>86</v>
      </c>
      <c r="P2" s="50" t="s">
        <v>105</v>
      </c>
      <c r="Q2" s="50" t="s">
        <v>103</v>
      </c>
      <c r="R2" s="50" t="s">
        <v>133</v>
      </c>
      <c r="S2" s="50" t="s">
        <v>134</v>
      </c>
    </row>
    <row r="3" spans="1:19" ht="15">
      <c r="A3" s="87" t="s">
        <v>72</v>
      </c>
      <c r="B3" s="41" t="s">
        <v>75</v>
      </c>
      <c r="C3" s="42">
        <v>350000</v>
      </c>
      <c r="D3" s="43">
        <v>200</v>
      </c>
      <c r="E3" s="86">
        <v>800000</v>
      </c>
      <c r="F3" s="86">
        <v>48000</v>
      </c>
      <c r="G3" s="86">
        <v>25000</v>
      </c>
      <c r="H3" s="24">
        <v>1</v>
      </c>
      <c r="I3" s="49">
        <f>$E$3*H3</f>
        <v>800000</v>
      </c>
      <c r="J3" s="24">
        <v>1</v>
      </c>
      <c r="K3" s="49">
        <f>$E$3*J3</f>
        <v>800000</v>
      </c>
      <c r="L3" s="46">
        <v>1</v>
      </c>
      <c r="M3" s="49">
        <f>$E$3*L3</f>
        <v>800000</v>
      </c>
      <c r="N3" s="45">
        <v>1</v>
      </c>
      <c r="O3" s="49">
        <f>$E$3*N3</f>
        <v>800000</v>
      </c>
      <c r="P3" s="45">
        <v>1</v>
      </c>
      <c r="Q3" s="49">
        <f>$E$3*P3</f>
        <v>800000</v>
      </c>
      <c r="R3" s="68">
        <v>1</v>
      </c>
      <c r="S3" s="67">
        <f>$E$3*R3</f>
        <v>800000</v>
      </c>
    </row>
    <row r="4" spans="1:19" ht="15">
      <c r="A4" s="87"/>
      <c r="B4" s="41" t="s">
        <v>76</v>
      </c>
      <c r="C4" s="42">
        <v>200000</v>
      </c>
      <c r="D4" s="43">
        <v>200</v>
      </c>
      <c r="E4" s="86"/>
      <c r="F4" s="86"/>
      <c r="G4" s="86"/>
      <c r="H4" s="24">
        <v>17</v>
      </c>
      <c r="I4" s="49">
        <f>$F$3*H4</f>
        <v>816000</v>
      </c>
      <c r="J4" s="24">
        <v>13</v>
      </c>
      <c r="K4" s="49">
        <f>$F$3*J4</f>
        <v>624000</v>
      </c>
      <c r="L4" s="46">
        <v>12</v>
      </c>
      <c r="M4" s="49">
        <f>$F$3*L4</f>
        <v>576000</v>
      </c>
      <c r="N4" s="45">
        <v>22</v>
      </c>
      <c r="O4" s="49">
        <f>$F$3*N4</f>
        <v>1056000</v>
      </c>
      <c r="P4" s="45">
        <v>5</v>
      </c>
      <c r="Q4" s="49">
        <f>$F$3*P4</f>
        <v>240000</v>
      </c>
      <c r="R4" s="68">
        <v>21</v>
      </c>
      <c r="S4" s="67">
        <f>$F$3*R4</f>
        <v>1008000</v>
      </c>
    </row>
    <row r="5" spans="1:19" ht="15">
      <c r="A5" s="87"/>
      <c r="B5" s="41" t="s">
        <v>77</v>
      </c>
      <c r="C5" s="42">
        <v>300000</v>
      </c>
      <c r="D5" s="43">
        <v>200</v>
      </c>
      <c r="E5" s="86"/>
      <c r="F5" s="86"/>
      <c r="G5" s="86"/>
      <c r="H5" s="24">
        <v>131</v>
      </c>
      <c r="I5" s="49">
        <f>$G$3*H5</f>
        <v>3275000</v>
      </c>
      <c r="J5" s="24">
        <v>107</v>
      </c>
      <c r="K5" s="49">
        <f>$G$3*J5</f>
        <v>2675000</v>
      </c>
      <c r="L5" s="46">
        <v>80</v>
      </c>
      <c r="M5" s="49">
        <f>$G$3*L5</f>
        <v>2000000</v>
      </c>
      <c r="N5" s="45">
        <v>188</v>
      </c>
      <c r="O5" s="49">
        <f>$G$3*N5</f>
        <v>4700000</v>
      </c>
      <c r="P5" s="45">
        <v>23</v>
      </c>
      <c r="Q5" s="49">
        <f>$G$3*P5</f>
        <v>575000</v>
      </c>
      <c r="R5" s="68">
        <v>142</v>
      </c>
      <c r="S5" s="67">
        <f>$G$3*R5</f>
        <v>3550000</v>
      </c>
    </row>
    <row r="6" spans="1:19" ht="15">
      <c r="A6" s="87"/>
      <c r="B6" s="41" t="s">
        <v>78</v>
      </c>
      <c r="C6" s="42">
        <v>200000</v>
      </c>
      <c r="D6" s="43">
        <v>200</v>
      </c>
      <c r="E6" s="86"/>
      <c r="F6" s="86"/>
      <c r="G6" s="86"/>
      <c r="H6" s="24" t="s">
        <v>87</v>
      </c>
      <c r="I6" s="49">
        <f>I3+I4+I5</f>
        <v>4891000</v>
      </c>
      <c r="J6" s="24" t="s">
        <v>87</v>
      </c>
      <c r="K6" s="49">
        <f>K3+K4+K5</f>
        <v>4099000</v>
      </c>
      <c r="L6" s="24" t="s">
        <v>87</v>
      </c>
      <c r="M6" s="49">
        <f>M3+M4+M5</f>
        <v>3376000</v>
      </c>
      <c r="N6" s="24" t="s">
        <v>81</v>
      </c>
      <c r="O6" s="49">
        <f>O3+O4+O5</f>
        <v>6556000</v>
      </c>
      <c r="P6" s="24" t="s">
        <v>102</v>
      </c>
      <c r="Q6" s="49">
        <f>Q3+Q4+Q5</f>
        <v>1615000</v>
      </c>
      <c r="R6" s="24" t="s">
        <v>102</v>
      </c>
      <c r="S6" s="67">
        <f>S3+S4+S5</f>
        <v>5358000</v>
      </c>
    </row>
    <row r="7" spans="1:19" ht="15">
      <c r="A7" s="88" t="s">
        <v>73</v>
      </c>
      <c r="B7" s="35" t="s">
        <v>59</v>
      </c>
      <c r="C7" s="36">
        <v>100000</v>
      </c>
      <c r="D7" s="37">
        <v>200</v>
      </c>
      <c r="E7" s="48">
        <v>68000</v>
      </c>
      <c r="F7" s="49">
        <v>5000</v>
      </c>
      <c r="G7" s="49">
        <v>2500</v>
      </c>
      <c r="H7" s="49"/>
      <c r="I7" s="49">
        <f>E7*$H$3+F7*$H$4+G7*$H$5</f>
        <v>480500</v>
      </c>
      <c r="J7" s="49"/>
      <c r="K7" s="49">
        <f>$E7*J$3+$F7*J$4+$G7*J$5</f>
        <v>400500</v>
      </c>
      <c r="L7" s="49"/>
      <c r="M7" s="49">
        <f>$E7*L$3+$F7*L$4+$G7*L$5</f>
        <v>328000</v>
      </c>
      <c r="N7" s="49"/>
      <c r="O7" s="49">
        <f>$E7*N$3+$F7*N$4+$G7*N$5</f>
        <v>648000</v>
      </c>
      <c r="P7" s="49"/>
      <c r="Q7" s="49">
        <f>$E7*P$3+$F7*P$4+$G7*P$5</f>
        <v>150500</v>
      </c>
      <c r="R7" s="67"/>
      <c r="S7" s="67">
        <f>$E7*R$3+$F7*R$4+$G7*R$5</f>
        <v>528000</v>
      </c>
    </row>
    <row r="8" spans="1:19" ht="15">
      <c r="A8" s="88"/>
      <c r="B8" s="35" t="s">
        <v>68</v>
      </c>
      <c r="C8" s="36">
        <v>100000</v>
      </c>
      <c r="D8" s="37">
        <v>200</v>
      </c>
      <c r="E8" s="48">
        <v>68000</v>
      </c>
      <c r="F8" s="49">
        <v>5000</v>
      </c>
      <c r="G8" s="49">
        <v>2500</v>
      </c>
      <c r="H8" s="49"/>
      <c r="I8" s="49">
        <f t="shared" ref="I8:I15" si="0">E8*$H$3+F8*$H$4+G8*$H$5</f>
        <v>480500</v>
      </c>
      <c r="J8" s="49"/>
      <c r="K8" s="49">
        <f t="shared" ref="K8:M15" si="1">$E8*J$3+$F8*J$4+$G8*J$5</f>
        <v>400500</v>
      </c>
      <c r="L8" s="49"/>
      <c r="M8" s="49">
        <f t="shared" si="1"/>
        <v>328000</v>
      </c>
      <c r="N8" s="49"/>
      <c r="O8" s="49">
        <f t="shared" ref="O8:Q8" si="2">$E8*N$3+$F8*N$4+$G8*N$5</f>
        <v>648000</v>
      </c>
      <c r="P8" s="49"/>
      <c r="Q8" s="49">
        <f t="shared" si="2"/>
        <v>150500</v>
      </c>
      <c r="R8" s="67"/>
      <c r="S8" s="67">
        <f t="shared" ref="S8:S15" si="3">$E8*R$3+$F8*R$4+$G8*R$5</f>
        <v>528000</v>
      </c>
    </row>
    <row r="9" spans="1:19" ht="15">
      <c r="A9" s="88"/>
      <c r="B9" s="35" t="s">
        <v>71</v>
      </c>
      <c r="C9" s="36">
        <v>100000</v>
      </c>
      <c r="D9" s="37">
        <v>200</v>
      </c>
      <c r="E9" s="48">
        <v>68000</v>
      </c>
      <c r="F9" s="49">
        <v>5000</v>
      </c>
      <c r="G9" s="49">
        <v>2500</v>
      </c>
      <c r="H9" s="49"/>
      <c r="I9" s="49">
        <f t="shared" si="0"/>
        <v>480500</v>
      </c>
      <c r="J9" s="49"/>
      <c r="K9" s="49">
        <f t="shared" si="1"/>
        <v>400500</v>
      </c>
      <c r="L9" s="49"/>
      <c r="M9" s="49">
        <f t="shared" si="1"/>
        <v>328000</v>
      </c>
      <c r="N9" s="49"/>
      <c r="O9" s="49">
        <f t="shared" ref="O9:Q9" si="4">$E9*N$3+$F9*N$4+$G9*N$5</f>
        <v>648000</v>
      </c>
      <c r="P9" s="49"/>
      <c r="Q9" s="49">
        <f t="shared" si="4"/>
        <v>150500</v>
      </c>
      <c r="R9" s="67"/>
      <c r="S9" s="67">
        <f t="shared" si="3"/>
        <v>528000</v>
      </c>
    </row>
    <row r="10" spans="1:19" ht="15">
      <c r="A10" s="88"/>
      <c r="B10" s="35" t="s">
        <v>60</v>
      </c>
      <c r="C10" s="36">
        <v>200000</v>
      </c>
      <c r="D10" s="37">
        <v>200</v>
      </c>
      <c r="E10" s="48">
        <v>135000</v>
      </c>
      <c r="F10" s="49">
        <v>10000</v>
      </c>
      <c r="G10" s="49">
        <v>5000</v>
      </c>
      <c r="H10" s="49"/>
      <c r="I10" s="49">
        <f t="shared" si="0"/>
        <v>960000</v>
      </c>
      <c r="J10" s="49"/>
      <c r="K10" s="49">
        <f t="shared" si="1"/>
        <v>800000</v>
      </c>
      <c r="L10" s="49"/>
      <c r="M10" s="49">
        <f t="shared" si="1"/>
        <v>655000</v>
      </c>
      <c r="N10" s="49"/>
      <c r="O10" s="49">
        <f t="shared" ref="O10:Q10" si="5">$E10*N$3+$F10*N$4+$G10*N$5</f>
        <v>1295000</v>
      </c>
      <c r="P10" s="49"/>
      <c r="Q10" s="49">
        <f t="shared" si="5"/>
        <v>300000</v>
      </c>
      <c r="R10" s="67"/>
      <c r="S10" s="67">
        <f t="shared" si="3"/>
        <v>1055000</v>
      </c>
    </row>
    <row r="11" spans="1:19" ht="15">
      <c r="A11" s="88"/>
      <c r="B11" s="35" t="s">
        <v>67</v>
      </c>
      <c r="C11" s="36">
        <v>100000</v>
      </c>
      <c r="D11" s="37">
        <v>200</v>
      </c>
      <c r="E11" s="48">
        <v>68000</v>
      </c>
      <c r="F11" s="49">
        <v>5000</v>
      </c>
      <c r="G11" s="49">
        <v>2500</v>
      </c>
      <c r="H11" s="49"/>
      <c r="I11" s="49">
        <f t="shared" si="0"/>
        <v>480500</v>
      </c>
      <c r="J11" s="49"/>
      <c r="K11" s="49">
        <f t="shared" si="1"/>
        <v>400500</v>
      </c>
      <c r="L11" s="49"/>
      <c r="M11" s="49">
        <f t="shared" si="1"/>
        <v>328000</v>
      </c>
      <c r="N11" s="49"/>
      <c r="O11" s="49">
        <f t="shared" ref="O11:Q11" si="6">$E11*N$3+$F11*N$4+$G11*N$5</f>
        <v>648000</v>
      </c>
      <c r="P11" s="49"/>
      <c r="Q11" s="49">
        <f t="shared" si="6"/>
        <v>150500</v>
      </c>
      <c r="R11" s="67"/>
      <c r="S11" s="67">
        <f t="shared" si="3"/>
        <v>528000</v>
      </c>
    </row>
    <row r="12" spans="1:19" ht="15">
      <c r="A12" s="89" t="s">
        <v>74</v>
      </c>
      <c r="B12" s="38" t="s">
        <v>69</v>
      </c>
      <c r="C12" s="39">
        <v>200000</v>
      </c>
      <c r="D12" s="40">
        <v>200</v>
      </c>
      <c r="E12" s="48">
        <v>135000</v>
      </c>
      <c r="F12" s="49">
        <v>10000</v>
      </c>
      <c r="G12" s="49">
        <v>5000</v>
      </c>
      <c r="H12" s="49"/>
      <c r="I12" s="49">
        <f t="shared" si="0"/>
        <v>960000</v>
      </c>
      <c r="J12" s="49"/>
      <c r="K12" s="49">
        <f t="shared" si="1"/>
        <v>800000</v>
      </c>
      <c r="L12" s="49"/>
      <c r="M12" s="49">
        <f t="shared" si="1"/>
        <v>655000</v>
      </c>
      <c r="N12" s="49"/>
      <c r="O12" s="49">
        <f t="shared" ref="O12:Q12" si="7">$E12*N$3+$F12*N$4+$G12*N$5</f>
        <v>1295000</v>
      </c>
      <c r="P12" s="49"/>
      <c r="Q12" s="49">
        <f t="shared" si="7"/>
        <v>300000</v>
      </c>
      <c r="R12" s="67"/>
      <c r="S12" s="67">
        <f t="shared" si="3"/>
        <v>1055000</v>
      </c>
    </row>
    <row r="13" spans="1:19" ht="15">
      <c r="A13" s="89"/>
      <c r="B13" s="38" t="s">
        <v>70</v>
      </c>
      <c r="C13" s="39">
        <v>200000</v>
      </c>
      <c r="D13" s="40">
        <v>200</v>
      </c>
      <c r="E13" s="48">
        <v>135000</v>
      </c>
      <c r="F13" s="49">
        <v>10000</v>
      </c>
      <c r="G13" s="49">
        <v>5000</v>
      </c>
      <c r="H13" s="49"/>
      <c r="I13" s="49">
        <f t="shared" si="0"/>
        <v>960000</v>
      </c>
      <c r="J13" s="49"/>
      <c r="K13" s="49">
        <f t="shared" si="1"/>
        <v>800000</v>
      </c>
      <c r="L13" s="49"/>
      <c r="M13" s="49">
        <f t="shared" si="1"/>
        <v>655000</v>
      </c>
      <c r="N13" s="49"/>
      <c r="O13" s="49">
        <f t="shared" ref="O13:Q13" si="8">$E13*N$3+$F13*N$4+$G13*N$5</f>
        <v>1295000</v>
      </c>
      <c r="P13" s="49"/>
      <c r="Q13" s="49">
        <f t="shared" si="8"/>
        <v>300000</v>
      </c>
      <c r="R13" s="67"/>
      <c r="S13" s="67">
        <f t="shared" si="3"/>
        <v>1055000</v>
      </c>
    </row>
    <row r="14" spans="1:19" ht="15">
      <c r="A14" s="89"/>
      <c r="B14" s="38" t="s">
        <v>61</v>
      </c>
      <c r="C14" s="39">
        <v>100000</v>
      </c>
      <c r="D14" s="40">
        <v>200</v>
      </c>
      <c r="E14" s="48">
        <v>68000</v>
      </c>
      <c r="F14" s="49">
        <v>5000</v>
      </c>
      <c r="G14" s="49">
        <v>2500</v>
      </c>
      <c r="H14" s="49"/>
      <c r="I14" s="49">
        <f t="shared" si="0"/>
        <v>480500</v>
      </c>
      <c r="J14" s="49"/>
      <c r="K14" s="49">
        <f t="shared" si="1"/>
        <v>400500</v>
      </c>
      <c r="L14" s="49"/>
      <c r="M14" s="49">
        <f t="shared" si="1"/>
        <v>328000</v>
      </c>
      <c r="N14" s="49"/>
      <c r="O14" s="49">
        <f t="shared" ref="O14:Q14" si="9">$E14*N$3+$F14*N$4+$G14*N$5</f>
        <v>648000</v>
      </c>
      <c r="P14" s="49"/>
      <c r="Q14" s="49">
        <f t="shared" si="9"/>
        <v>150500</v>
      </c>
      <c r="R14" s="67"/>
      <c r="S14" s="67">
        <f t="shared" si="3"/>
        <v>528000</v>
      </c>
    </row>
    <row r="15" spans="1:19" ht="15">
      <c r="A15" s="89"/>
      <c r="B15" s="38" t="s">
        <v>62</v>
      </c>
      <c r="C15" s="39">
        <v>100000</v>
      </c>
      <c r="D15" s="40">
        <v>200</v>
      </c>
      <c r="E15" s="48">
        <v>68000</v>
      </c>
      <c r="F15" s="49">
        <v>5000</v>
      </c>
      <c r="G15" s="49">
        <v>2500</v>
      </c>
      <c r="H15" s="49"/>
      <c r="I15" s="49">
        <f t="shared" si="0"/>
        <v>480500</v>
      </c>
      <c r="J15" s="49"/>
      <c r="K15" s="49">
        <f t="shared" si="1"/>
        <v>400500</v>
      </c>
      <c r="L15" s="49"/>
      <c r="M15" s="49">
        <f t="shared" si="1"/>
        <v>328000</v>
      </c>
      <c r="N15" s="49"/>
      <c r="O15" s="49">
        <f t="shared" ref="O15:Q15" si="10">$E15*N$3+$F15*N$4+$G15*N$5</f>
        <v>648000</v>
      </c>
      <c r="P15" s="49"/>
      <c r="Q15" s="49">
        <f t="shared" si="10"/>
        <v>150500</v>
      </c>
      <c r="R15" s="67"/>
      <c r="S15" s="67">
        <f t="shared" si="3"/>
        <v>528000</v>
      </c>
    </row>
    <row r="16" spans="1:19" ht="32.25" customHeight="1">
      <c r="A16" s="90" t="s">
        <v>25</v>
      </c>
      <c r="B16" s="91"/>
      <c r="C16" s="24">
        <f>SUM(C3:C15)</f>
        <v>2250000</v>
      </c>
      <c r="D16" s="34"/>
      <c r="E16" s="49">
        <f>SUM(E3:E15)</f>
        <v>1613000</v>
      </c>
      <c r="F16" s="49">
        <f t="shared" ref="F16:G16" si="11">SUM(F3:F15)</f>
        <v>108000</v>
      </c>
      <c r="G16" s="49">
        <f t="shared" si="11"/>
        <v>55000</v>
      </c>
      <c r="H16" s="49"/>
      <c r="I16" s="49">
        <f>SUM(I6:I15)</f>
        <v>10654000</v>
      </c>
      <c r="J16" s="49"/>
      <c r="K16" s="49">
        <f>SUM(K6:K15)</f>
        <v>8902000</v>
      </c>
      <c r="L16" s="49"/>
      <c r="M16" s="49">
        <f>SUM(M6:M15)</f>
        <v>7309000</v>
      </c>
      <c r="N16" s="49"/>
      <c r="O16" s="49">
        <f>SUM(O6:O15)</f>
        <v>14329000</v>
      </c>
      <c r="P16" s="49"/>
      <c r="Q16" s="49">
        <f>SUM(Q6:Q15)</f>
        <v>3418000</v>
      </c>
      <c r="R16" s="67"/>
      <c r="S16" s="67">
        <f>SUM(S6:S15)</f>
        <v>11691000</v>
      </c>
    </row>
    <row r="17" spans="1:15" ht="24.75" customHeight="1">
      <c r="A17" s="45" t="s">
        <v>63</v>
      </c>
      <c r="B17" s="53" t="s">
        <v>64</v>
      </c>
      <c r="C17" s="54"/>
      <c r="D17" s="54"/>
      <c r="E17" s="84" t="s">
        <v>104</v>
      </c>
      <c r="F17" s="84"/>
      <c r="G17" s="84"/>
      <c r="H17" s="84"/>
      <c r="I17" s="84"/>
      <c r="J17" s="84"/>
      <c r="K17" s="84"/>
      <c r="L17" s="84"/>
      <c r="M17" s="84"/>
      <c r="N17" s="84"/>
      <c r="O17" s="85"/>
    </row>
    <row r="18" spans="1:15" ht="27" customHeight="1"/>
  </sheetData>
  <mergeCells count="9">
    <mergeCell ref="A1:Q1"/>
    <mergeCell ref="E17:O17"/>
    <mergeCell ref="G3:G6"/>
    <mergeCell ref="A3:A6"/>
    <mergeCell ref="E3:E6"/>
    <mergeCell ref="F3:F6"/>
    <mergeCell ref="A7:A11"/>
    <mergeCell ref="A12:A15"/>
    <mergeCell ref="A16:B16"/>
  </mergeCells>
  <phoneticPr fontId="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M22" sqref="M22"/>
    </sheetView>
  </sheetViews>
  <sheetFormatPr baseColWidth="10" defaultColWidth="8.83203125" defaultRowHeight="14" x14ac:dyDescent="0"/>
  <cols>
    <col min="1" max="1" width="12.6640625" customWidth="1"/>
    <col min="2" max="2" width="17.1640625" customWidth="1"/>
    <col min="3" max="3" width="10.1640625" bestFit="1" customWidth="1"/>
    <col min="4" max="4" width="8.83203125" customWidth="1"/>
    <col min="5" max="5" width="16.1640625" customWidth="1"/>
    <col min="9" max="9" width="11.1640625" bestFit="1" customWidth="1"/>
    <col min="10" max="10" width="10.83203125" customWidth="1"/>
    <col min="11" max="11" width="10.1640625" bestFit="1" customWidth="1"/>
    <col min="13" max="13" width="10.1640625" bestFit="1" customWidth="1"/>
    <col min="15" max="15" width="11.1640625" bestFit="1" customWidth="1"/>
    <col min="17" max="17" width="10.1640625" bestFit="1" customWidth="1"/>
    <col min="19" max="19" width="10.1640625" bestFit="1" customWidth="1"/>
    <col min="21" max="21" width="13.33203125" customWidth="1"/>
  </cols>
  <sheetData>
    <row r="1" spans="1:21">
      <c r="B1" s="52" t="s">
        <v>28</v>
      </c>
      <c r="C1" s="52"/>
      <c r="D1" s="52"/>
      <c r="E1" s="52"/>
    </row>
    <row r="2" spans="1:21" s="51" customFormat="1" ht="45">
      <c r="A2" s="50"/>
      <c r="B2" s="50" t="s">
        <v>2</v>
      </c>
      <c r="C2" s="50" t="s">
        <v>88</v>
      </c>
      <c r="D2" s="50" t="s">
        <v>58</v>
      </c>
      <c r="E2" s="50" t="s">
        <v>27</v>
      </c>
      <c r="F2" s="50" t="s">
        <v>65</v>
      </c>
      <c r="G2" s="50" t="s">
        <v>66</v>
      </c>
      <c r="H2" s="50" t="s">
        <v>80</v>
      </c>
      <c r="I2" s="50" t="s">
        <v>79</v>
      </c>
      <c r="J2" s="50" t="s">
        <v>82</v>
      </c>
      <c r="K2" s="50" t="s">
        <v>83</v>
      </c>
      <c r="L2" s="50" t="s">
        <v>84</v>
      </c>
      <c r="M2" s="50" t="s">
        <v>85</v>
      </c>
      <c r="N2" s="50" t="s">
        <v>118</v>
      </c>
      <c r="O2" s="50" t="s">
        <v>86</v>
      </c>
      <c r="P2" s="50" t="s">
        <v>131</v>
      </c>
      <c r="Q2" s="50" t="s">
        <v>89</v>
      </c>
      <c r="R2" s="50" t="s">
        <v>132</v>
      </c>
      <c r="S2" s="50" t="s">
        <v>90</v>
      </c>
      <c r="T2" s="50" t="s">
        <v>105</v>
      </c>
      <c r="U2" s="50" t="s">
        <v>103</v>
      </c>
    </row>
    <row r="3" spans="1:21" ht="15">
      <c r="A3" s="87" t="s">
        <v>72</v>
      </c>
      <c r="B3" s="41" t="s">
        <v>75</v>
      </c>
      <c r="C3" s="42">
        <v>350000</v>
      </c>
      <c r="D3" s="43">
        <v>200</v>
      </c>
      <c r="E3" s="86">
        <f>公司!E3:E6*A23</f>
        <v>376000</v>
      </c>
      <c r="F3" s="86">
        <f>公司!F3:F6*B23</f>
        <v>26400.000000000004</v>
      </c>
      <c r="G3" s="86">
        <f>公司!G3:G6*C23</f>
        <v>16250</v>
      </c>
      <c r="H3" s="24">
        <v>1</v>
      </c>
      <c r="I3" s="49">
        <f>$E$3*H3</f>
        <v>376000</v>
      </c>
      <c r="J3" s="24">
        <v>1</v>
      </c>
      <c r="K3" s="49">
        <f>$E$3*J3</f>
        <v>376000</v>
      </c>
      <c r="L3" s="46">
        <v>1</v>
      </c>
      <c r="M3" s="49">
        <f>$E$3*L3</f>
        <v>376000</v>
      </c>
      <c r="N3" s="45">
        <v>1</v>
      </c>
      <c r="O3" s="49">
        <f>$E$3*N3</f>
        <v>376000</v>
      </c>
      <c r="P3" s="45">
        <v>1</v>
      </c>
      <c r="Q3" s="49">
        <f>$E$3*P3</f>
        <v>376000</v>
      </c>
      <c r="R3" s="45">
        <v>1</v>
      </c>
      <c r="S3" s="49">
        <f>$E$3*R3</f>
        <v>376000</v>
      </c>
      <c r="T3" s="45">
        <v>1</v>
      </c>
      <c r="U3" s="49">
        <f>$E$3*T3</f>
        <v>376000</v>
      </c>
    </row>
    <row r="4" spans="1:21" ht="15">
      <c r="A4" s="87"/>
      <c r="B4" s="41" t="s">
        <v>76</v>
      </c>
      <c r="C4" s="42">
        <v>200000</v>
      </c>
      <c r="D4" s="43">
        <v>200</v>
      </c>
      <c r="E4" s="86"/>
      <c r="F4" s="86"/>
      <c r="G4" s="86"/>
      <c r="H4" s="24">
        <v>17</v>
      </c>
      <c r="I4" s="49">
        <f>$F$3*H4</f>
        <v>448800.00000000006</v>
      </c>
      <c r="J4" s="24">
        <v>13</v>
      </c>
      <c r="K4" s="49">
        <f>$F$3*J4</f>
        <v>343200.00000000006</v>
      </c>
      <c r="L4" s="46">
        <v>12</v>
      </c>
      <c r="M4" s="49">
        <f>$F$3*L4</f>
        <v>316800.00000000006</v>
      </c>
      <c r="N4" s="45">
        <v>22</v>
      </c>
      <c r="O4" s="49">
        <f>$F$3*N4</f>
        <v>580800.00000000012</v>
      </c>
      <c r="P4" s="45">
        <v>21</v>
      </c>
      <c r="Q4" s="49">
        <f>$F$3*P4</f>
        <v>554400.00000000012</v>
      </c>
      <c r="R4" s="45">
        <v>13</v>
      </c>
      <c r="S4" s="49">
        <f>$F$3*R4</f>
        <v>343200.00000000006</v>
      </c>
      <c r="T4" s="45">
        <v>5</v>
      </c>
      <c r="U4" s="49">
        <f>$F$3*T4</f>
        <v>132000.00000000003</v>
      </c>
    </row>
    <row r="5" spans="1:21" ht="15">
      <c r="A5" s="87"/>
      <c r="B5" s="41" t="s">
        <v>77</v>
      </c>
      <c r="C5" s="42">
        <v>300000</v>
      </c>
      <c r="D5" s="43">
        <v>200</v>
      </c>
      <c r="E5" s="86"/>
      <c r="F5" s="86"/>
      <c r="G5" s="86"/>
      <c r="H5" s="24">
        <v>131</v>
      </c>
      <c r="I5" s="49">
        <f>$G$3*H5</f>
        <v>2128750</v>
      </c>
      <c r="J5" s="24">
        <v>107</v>
      </c>
      <c r="K5" s="49">
        <f>$G$3*J5</f>
        <v>1738750</v>
      </c>
      <c r="L5" s="46">
        <v>80</v>
      </c>
      <c r="M5" s="49">
        <f>$G$3*L5</f>
        <v>1300000</v>
      </c>
      <c r="N5" s="45">
        <v>188</v>
      </c>
      <c r="O5" s="49">
        <f>$G$3*N5</f>
        <v>3055000</v>
      </c>
      <c r="P5" s="45">
        <v>142</v>
      </c>
      <c r="Q5" s="49">
        <f>$G$3*P5</f>
        <v>2307500</v>
      </c>
      <c r="R5" s="45">
        <v>123</v>
      </c>
      <c r="S5" s="49">
        <f>$G$3*R5</f>
        <v>1998750</v>
      </c>
      <c r="T5" s="45">
        <v>23</v>
      </c>
      <c r="U5" s="49">
        <f>$G$3*T5</f>
        <v>373750</v>
      </c>
    </row>
    <row r="6" spans="1:21" ht="15">
      <c r="A6" s="87"/>
      <c r="B6" s="41" t="s">
        <v>78</v>
      </c>
      <c r="C6" s="42">
        <v>200000</v>
      </c>
      <c r="D6" s="43">
        <v>200</v>
      </c>
      <c r="E6" s="86"/>
      <c r="F6" s="86"/>
      <c r="G6" s="86"/>
      <c r="H6" s="24" t="s">
        <v>102</v>
      </c>
      <c r="I6" s="49">
        <f>I3+I4+I5</f>
        <v>2953550</v>
      </c>
      <c r="J6" s="24" t="s">
        <v>102</v>
      </c>
      <c r="K6" s="49">
        <f>K3+K4+K5</f>
        <v>2457950</v>
      </c>
      <c r="L6" s="24" t="s">
        <v>102</v>
      </c>
      <c r="M6" s="49">
        <f>M3+M4+M5</f>
        <v>1992800</v>
      </c>
      <c r="N6" s="24" t="s">
        <v>102</v>
      </c>
      <c r="O6" s="49">
        <f>O3+O4+O5</f>
        <v>4011800</v>
      </c>
      <c r="P6" s="24" t="s">
        <v>102</v>
      </c>
      <c r="Q6" s="49">
        <f>Q3+Q4+Q5</f>
        <v>3237900</v>
      </c>
      <c r="R6" s="24" t="s">
        <v>102</v>
      </c>
      <c r="S6" s="49">
        <f>S3+S4+S5</f>
        <v>2717950</v>
      </c>
      <c r="T6" s="24" t="s">
        <v>102</v>
      </c>
      <c r="U6" s="49">
        <f>U3+U4+U5</f>
        <v>881750</v>
      </c>
    </row>
    <row r="7" spans="1:21" ht="15">
      <c r="A7" s="88" t="s">
        <v>73</v>
      </c>
      <c r="B7" s="35" t="s">
        <v>59</v>
      </c>
      <c r="C7" s="36">
        <v>100000</v>
      </c>
      <c r="D7" s="37">
        <v>200</v>
      </c>
      <c r="E7" s="48">
        <f>公司!E7*$A$23</f>
        <v>31960</v>
      </c>
      <c r="F7" s="48">
        <f>公司!F7*$B$23</f>
        <v>2750</v>
      </c>
      <c r="G7" s="48">
        <f>公司!G7*$C$23</f>
        <v>1625</v>
      </c>
      <c r="H7" s="49"/>
      <c r="I7" s="49">
        <f>E7*$H$3+F7*$H$4+G7*$H$5</f>
        <v>291585</v>
      </c>
      <c r="J7" s="49"/>
      <c r="K7" s="49">
        <f>$E7*J$3+$F7*J$4+$G7*J$5</f>
        <v>241585</v>
      </c>
      <c r="L7" s="49"/>
      <c r="M7" s="49">
        <f>$E7*L$3+$F7*L$4+$G7*L$5</f>
        <v>194960</v>
      </c>
      <c r="N7" s="49"/>
      <c r="O7" s="49">
        <f>$E7*N$3+$F7*N$4+$G7*N$5</f>
        <v>397960</v>
      </c>
      <c r="P7" s="45"/>
      <c r="Q7" s="49">
        <f>$E7*P$3+$F7*P$4+$G7*P$5</f>
        <v>320460</v>
      </c>
      <c r="R7" s="45"/>
      <c r="S7" s="49">
        <f>$E7*R$3+$F7*R$4+$G7*R$5</f>
        <v>267585</v>
      </c>
      <c r="T7" s="45"/>
      <c r="U7" s="49">
        <f>$E7*T$3+$F7*T$4+$G7*T$5</f>
        <v>83085</v>
      </c>
    </row>
    <row r="8" spans="1:21" ht="15">
      <c r="A8" s="88"/>
      <c r="B8" s="35" t="s">
        <v>68</v>
      </c>
      <c r="C8" s="36">
        <v>100000</v>
      </c>
      <c r="D8" s="37">
        <v>200</v>
      </c>
      <c r="E8" s="48">
        <f>公司!E8*$A$23</f>
        <v>31960</v>
      </c>
      <c r="F8" s="48">
        <f>公司!F8*$B$23</f>
        <v>2750</v>
      </c>
      <c r="G8" s="48">
        <f>公司!G8*$C$23</f>
        <v>1625</v>
      </c>
      <c r="H8" s="49"/>
      <c r="I8" s="49">
        <f t="shared" ref="I8:I15" si="0">E8*$H$3+F8*$H$4+G8*$H$5</f>
        <v>291585</v>
      </c>
      <c r="J8" s="49"/>
      <c r="K8" s="49">
        <f t="shared" ref="K8:M15" si="1">$E8*J$3+$F8*J$4+$G8*J$5</f>
        <v>241585</v>
      </c>
      <c r="L8" s="49"/>
      <c r="M8" s="49">
        <f t="shared" si="1"/>
        <v>194960</v>
      </c>
      <c r="N8" s="49"/>
      <c r="O8" s="49">
        <f t="shared" ref="O8:Q15" si="2">$E8*N$3+$F8*N$4+$G8*N$5</f>
        <v>397960</v>
      </c>
      <c r="P8" s="45"/>
      <c r="Q8" s="49">
        <f t="shared" si="2"/>
        <v>320460</v>
      </c>
      <c r="R8" s="45"/>
      <c r="S8" s="49">
        <f t="shared" ref="S8:U8" si="3">$E8*R$3+$F8*R$4+$G8*R$5</f>
        <v>267585</v>
      </c>
      <c r="T8" s="45"/>
      <c r="U8" s="49">
        <f t="shared" si="3"/>
        <v>83085</v>
      </c>
    </row>
    <row r="9" spans="1:21" ht="15">
      <c r="A9" s="88"/>
      <c r="B9" s="35" t="s">
        <v>71</v>
      </c>
      <c r="C9" s="36">
        <v>100000</v>
      </c>
      <c r="D9" s="37">
        <v>200</v>
      </c>
      <c r="E9" s="48">
        <f>公司!E9*$A$23</f>
        <v>31960</v>
      </c>
      <c r="F9" s="48">
        <f>公司!F9*$B$23</f>
        <v>2750</v>
      </c>
      <c r="G9" s="48">
        <f>公司!G9*$C$23</f>
        <v>1625</v>
      </c>
      <c r="H9" s="49"/>
      <c r="I9" s="49">
        <f t="shared" si="0"/>
        <v>291585</v>
      </c>
      <c r="J9" s="49"/>
      <c r="K9" s="49">
        <f t="shared" si="1"/>
        <v>241585</v>
      </c>
      <c r="L9" s="49"/>
      <c r="M9" s="49">
        <f t="shared" si="1"/>
        <v>194960</v>
      </c>
      <c r="N9" s="49"/>
      <c r="O9" s="49">
        <f t="shared" si="2"/>
        <v>397960</v>
      </c>
      <c r="P9" s="45"/>
      <c r="Q9" s="49">
        <f t="shared" si="2"/>
        <v>320460</v>
      </c>
      <c r="R9" s="45"/>
      <c r="S9" s="49">
        <f t="shared" ref="S9:U9" si="4">$E9*R$3+$F9*R$4+$G9*R$5</f>
        <v>267585</v>
      </c>
      <c r="T9" s="45"/>
      <c r="U9" s="49">
        <f t="shared" si="4"/>
        <v>83085</v>
      </c>
    </row>
    <row r="10" spans="1:21" ht="15">
      <c r="A10" s="88"/>
      <c r="B10" s="35" t="s">
        <v>60</v>
      </c>
      <c r="C10" s="36">
        <v>200000</v>
      </c>
      <c r="D10" s="37">
        <v>200</v>
      </c>
      <c r="E10" s="48">
        <f>公司!E10*$A$23</f>
        <v>63450</v>
      </c>
      <c r="F10" s="48">
        <f>公司!F10*$B$23</f>
        <v>5500</v>
      </c>
      <c r="G10" s="48">
        <f>公司!G10*$C$23</f>
        <v>3250</v>
      </c>
      <c r="H10" s="49"/>
      <c r="I10" s="49">
        <f t="shared" si="0"/>
        <v>582700</v>
      </c>
      <c r="J10" s="49"/>
      <c r="K10" s="49">
        <f t="shared" si="1"/>
        <v>482700</v>
      </c>
      <c r="L10" s="49"/>
      <c r="M10" s="49">
        <f t="shared" si="1"/>
        <v>389450</v>
      </c>
      <c r="N10" s="49"/>
      <c r="O10" s="49">
        <f t="shared" si="2"/>
        <v>795450</v>
      </c>
      <c r="P10" s="45"/>
      <c r="Q10" s="49">
        <f t="shared" si="2"/>
        <v>640450</v>
      </c>
      <c r="R10" s="45"/>
      <c r="S10" s="49">
        <f t="shared" ref="S10:U10" si="5">$E10*R$3+$F10*R$4+$G10*R$5</f>
        <v>534700</v>
      </c>
      <c r="T10" s="45"/>
      <c r="U10" s="49">
        <f t="shared" si="5"/>
        <v>165700</v>
      </c>
    </row>
    <row r="11" spans="1:21" ht="15">
      <c r="A11" s="88"/>
      <c r="B11" s="35" t="s">
        <v>67</v>
      </c>
      <c r="C11" s="36">
        <v>100000</v>
      </c>
      <c r="D11" s="37">
        <v>200</v>
      </c>
      <c r="E11" s="48">
        <f>公司!E11*$A$23</f>
        <v>31960</v>
      </c>
      <c r="F11" s="48">
        <f>公司!F11*$B$23</f>
        <v>2750</v>
      </c>
      <c r="G11" s="48">
        <f>公司!G11*$C$23</f>
        <v>1625</v>
      </c>
      <c r="H11" s="49"/>
      <c r="I11" s="49">
        <f t="shared" si="0"/>
        <v>291585</v>
      </c>
      <c r="J11" s="49"/>
      <c r="K11" s="49">
        <f t="shared" si="1"/>
        <v>241585</v>
      </c>
      <c r="L11" s="49"/>
      <c r="M11" s="49">
        <f t="shared" si="1"/>
        <v>194960</v>
      </c>
      <c r="N11" s="49"/>
      <c r="O11" s="49">
        <f t="shared" si="2"/>
        <v>397960</v>
      </c>
      <c r="P11" s="45"/>
      <c r="Q11" s="49">
        <f t="shared" si="2"/>
        <v>320460</v>
      </c>
      <c r="R11" s="45"/>
      <c r="S11" s="49">
        <f t="shared" ref="S11:U11" si="6">$E11*R$3+$F11*R$4+$G11*R$5</f>
        <v>267585</v>
      </c>
      <c r="T11" s="45"/>
      <c r="U11" s="49">
        <f t="shared" si="6"/>
        <v>83085</v>
      </c>
    </row>
    <row r="12" spans="1:21" ht="15">
      <c r="A12" s="89" t="s">
        <v>74</v>
      </c>
      <c r="B12" s="38" t="s">
        <v>69</v>
      </c>
      <c r="C12" s="39">
        <v>200000</v>
      </c>
      <c r="D12" s="40">
        <v>200</v>
      </c>
      <c r="E12" s="48">
        <f>公司!E12*$A$23</f>
        <v>63450</v>
      </c>
      <c r="F12" s="48">
        <f>公司!F12*$B$23</f>
        <v>5500</v>
      </c>
      <c r="G12" s="48">
        <f>公司!G12*$C$23</f>
        <v>3250</v>
      </c>
      <c r="H12" s="49"/>
      <c r="I12" s="49">
        <f t="shared" si="0"/>
        <v>582700</v>
      </c>
      <c r="J12" s="49"/>
      <c r="K12" s="49">
        <f t="shared" si="1"/>
        <v>482700</v>
      </c>
      <c r="L12" s="49"/>
      <c r="M12" s="49">
        <f t="shared" si="1"/>
        <v>389450</v>
      </c>
      <c r="N12" s="49"/>
      <c r="O12" s="49">
        <f t="shared" si="2"/>
        <v>795450</v>
      </c>
      <c r="P12" s="45"/>
      <c r="Q12" s="49">
        <f t="shared" si="2"/>
        <v>640450</v>
      </c>
      <c r="R12" s="45"/>
      <c r="S12" s="49">
        <f t="shared" ref="S12:U12" si="7">$E12*R$3+$F12*R$4+$G12*R$5</f>
        <v>534700</v>
      </c>
      <c r="T12" s="45"/>
      <c r="U12" s="49">
        <f t="shared" si="7"/>
        <v>165700</v>
      </c>
    </row>
    <row r="13" spans="1:21" ht="15">
      <c r="A13" s="89"/>
      <c r="B13" s="38" t="s">
        <v>70</v>
      </c>
      <c r="C13" s="39">
        <v>200000</v>
      </c>
      <c r="D13" s="40">
        <v>200</v>
      </c>
      <c r="E13" s="48">
        <f>公司!E13*$A$23</f>
        <v>63450</v>
      </c>
      <c r="F13" s="48">
        <f>公司!F13*$B$23</f>
        <v>5500</v>
      </c>
      <c r="G13" s="48">
        <f>公司!G13*$C$23</f>
        <v>3250</v>
      </c>
      <c r="H13" s="49"/>
      <c r="I13" s="49">
        <f t="shared" si="0"/>
        <v>582700</v>
      </c>
      <c r="J13" s="49"/>
      <c r="K13" s="49">
        <f t="shared" si="1"/>
        <v>482700</v>
      </c>
      <c r="L13" s="49"/>
      <c r="M13" s="49">
        <f t="shared" si="1"/>
        <v>389450</v>
      </c>
      <c r="N13" s="49"/>
      <c r="O13" s="49">
        <f t="shared" si="2"/>
        <v>795450</v>
      </c>
      <c r="P13" s="45"/>
      <c r="Q13" s="49">
        <f t="shared" si="2"/>
        <v>640450</v>
      </c>
      <c r="R13" s="45"/>
      <c r="S13" s="49">
        <f t="shared" ref="S13:U13" si="8">$E13*R$3+$F13*R$4+$G13*R$5</f>
        <v>534700</v>
      </c>
      <c r="T13" s="45"/>
      <c r="U13" s="49">
        <f t="shared" si="8"/>
        <v>165700</v>
      </c>
    </row>
    <row r="14" spans="1:21" ht="15">
      <c r="A14" s="89"/>
      <c r="B14" s="38" t="s">
        <v>61</v>
      </c>
      <c r="C14" s="39">
        <v>100000</v>
      </c>
      <c r="D14" s="40">
        <v>200</v>
      </c>
      <c r="E14" s="48">
        <f>公司!E14*$A$23</f>
        <v>31960</v>
      </c>
      <c r="F14" s="48">
        <f>公司!F14*$B$23</f>
        <v>2750</v>
      </c>
      <c r="G14" s="48">
        <f>公司!G14*$C$23</f>
        <v>1625</v>
      </c>
      <c r="H14" s="49"/>
      <c r="I14" s="49">
        <f t="shared" si="0"/>
        <v>291585</v>
      </c>
      <c r="J14" s="49"/>
      <c r="K14" s="49">
        <f t="shared" si="1"/>
        <v>241585</v>
      </c>
      <c r="L14" s="49"/>
      <c r="M14" s="49">
        <f t="shared" si="1"/>
        <v>194960</v>
      </c>
      <c r="N14" s="49"/>
      <c r="O14" s="49">
        <f t="shared" si="2"/>
        <v>397960</v>
      </c>
      <c r="P14" s="45"/>
      <c r="Q14" s="49">
        <f t="shared" si="2"/>
        <v>320460</v>
      </c>
      <c r="R14" s="45"/>
      <c r="S14" s="49">
        <f t="shared" ref="S14:U14" si="9">$E14*R$3+$F14*R$4+$G14*R$5</f>
        <v>267585</v>
      </c>
      <c r="T14" s="45"/>
      <c r="U14" s="49">
        <f t="shared" si="9"/>
        <v>83085</v>
      </c>
    </row>
    <row r="15" spans="1:21" ht="15">
      <c r="A15" s="89"/>
      <c r="B15" s="38" t="s">
        <v>62</v>
      </c>
      <c r="C15" s="39">
        <v>100000</v>
      </c>
      <c r="D15" s="40">
        <v>200</v>
      </c>
      <c r="E15" s="48">
        <v>68000</v>
      </c>
      <c r="F15" s="48">
        <f>公司!F15*$B$23</f>
        <v>2750</v>
      </c>
      <c r="G15" s="48">
        <f>公司!G15*$C$23</f>
        <v>1625</v>
      </c>
      <c r="H15" s="49"/>
      <c r="I15" s="49">
        <f t="shared" si="0"/>
        <v>327625</v>
      </c>
      <c r="J15" s="49"/>
      <c r="K15" s="49">
        <f t="shared" si="1"/>
        <v>277625</v>
      </c>
      <c r="L15" s="49"/>
      <c r="M15" s="49">
        <f t="shared" si="1"/>
        <v>231000</v>
      </c>
      <c r="N15" s="49"/>
      <c r="O15" s="49">
        <f t="shared" si="2"/>
        <v>434000</v>
      </c>
      <c r="P15" s="45"/>
      <c r="Q15" s="49">
        <f t="shared" si="2"/>
        <v>356500</v>
      </c>
      <c r="R15" s="45"/>
      <c r="S15" s="49">
        <f t="shared" ref="S15:U15" si="10">$E15*R$3+$F15*R$4+$G15*R$5</f>
        <v>303625</v>
      </c>
      <c r="T15" s="45"/>
      <c r="U15" s="49">
        <f t="shared" si="10"/>
        <v>119125</v>
      </c>
    </row>
    <row r="16" spans="1:21" ht="32.25" customHeight="1">
      <c r="A16" s="53" t="s">
        <v>25</v>
      </c>
      <c r="B16" s="60"/>
      <c r="C16" s="25">
        <f>SUM(C3:C15)</f>
        <v>2250000</v>
      </c>
      <c r="D16" s="55"/>
      <c r="E16" s="52">
        <f>SUM(E3:E15)</f>
        <v>794150</v>
      </c>
      <c r="F16" s="52">
        <f t="shared" ref="F16:G16" si="11">SUM(F3:F15)</f>
        <v>59400</v>
      </c>
      <c r="G16" s="52">
        <f t="shared" si="11"/>
        <v>35750</v>
      </c>
      <c r="H16" s="52"/>
      <c r="I16" s="52">
        <f>SUM(I6:I15)</f>
        <v>6487200</v>
      </c>
      <c r="J16" s="52"/>
      <c r="K16" s="52">
        <f>SUM(K6:K15)</f>
        <v>5391600</v>
      </c>
      <c r="L16" s="52"/>
      <c r="M16" s="52">
        <f>SUM(M6:M15)</f>
        <v>4366950</v>
      </c>
      <c r="N16" s="52"/>
      <c r="O16" s="52">
        <f>SUM(O6:O15)</f>
        <v>8821950</v>
      </c>
      <c r="P16" s="56"/>
      <c r="Q16" s="52">
        <f>SUM(Q6:Q15)</f>
        <v>7118050</v>
      </c>
      <c r="R16" s="56"/>
      <c r="S16" s="52">
        <f>SUM(S6:S15)</f>
        <v>5963600</v>
      </c>
      <c r="T16" s="56"/>
      <c r="U16" s="52">
        <f>SUM(U6:U15)</f>
        <v>1913400</v>
      </c>
    </row>
    <row r="17" spans="1:21" ht="38.25" customHeight="1">
      <c r="A17" s="92" t="s">
        <v>91</v>
      </c>
      <c r="B17" s="92" t="s">
        <v>95</v>
      </c>
      <c r="C17" s="92"/>
      <c r="D17" s="61"/>
      <c r="E17" s="61"/>
      <c r="F17" s="61"/>
      <c r="G17" s="61"/>
      <c r="H17" s="52"/>
      <c r="I17" s="25" t="s">
        <v>97</v>
      </c>
      <c r="J17" s="62" t="s">
        <v>98</v>
      </c>
      <c r="K17" s="52">
        <v>740000</v>
      </c>
      <c r="L17" s="49" t="s">
        <v>94</v>
      </c>
      <c r="M17" s="52">
        <v>2300000</v>
      </c>
      <c r="N17" s="52"/>
      <c r="O17" s="52"/>
      <c r="P17" s="56"/>
      <c r="Q17" s="49">
        <v>4400000</v>
      </c>
      <c r="R17" s="45"/>
      <c r="S17" s="49"/>
      <c r="T17" s="45"/>
      <c r="U17" s="49"/>
    </row>
    <row r="18" spans="1:21" s="45" customFormat="1" ht="32.25" customHeight="1">
      <c r="A18" s="92"/>
      <c r="B18" s="92" t="s">
        <v>96</v>
      </c>
      <c r="C18" s="92"/>
      <c r="D18" s="61"/>
      <c r="E18" s="61"/>
      <c r="F18" s="61"/>
      <c r="G18" s="61"/>
      <c r="H18" s="49"/>
      <c r="I18" s="24" t="s">
        <v>97</v>
      </c>
      <c r="J18" s="59" t="s">
        <v>92</v>
      </c>
      <c r="K18" s="49">
        <v>5150000</v>
      </c>
      <c r="L18" s="49"/>
      <c r="M18" s="49">
        <v>4140000</v>
      </c>
      <c r="N18" s="49"/>
      <c r="O18" s="49"/>
      <c r="Q18" s="49">
        <v>6560000</v>
      </c>
      <c r="R18" s="59" t="s">
        <v>93</v>
      </c>
      <c r="S18" s="49">
        <v>6870000</v>
      </c>
      <c r="T18" s="59"/>
      <c r="U18" s="49"/>
    </row>
    <row r="19" spans="1:21" ht="24.75" customHeight="1">
      <c r="A19" s="57" t="s">
        <v>63</v>
      </c>
      <c r="B19" s="93" t="s">
        <v>64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  <c r="P19" s="57"/>
      <c r="Q19" s="45"/>
      <c r="R19" s="45"/>
      <c r="S19" s="45"/>
      <c r="T19" s="45"/>
      <c r="U19" s="45"/>
    </row>
    <row r="20" spans="1:21" ht="30" customHeight="1"/>
    <row r="21" spans="1:21">
      <c r="A21" s="96" t="s">
        <v>101</v>
      </c>
      <c r="B21" s="96"/>
      <c r="C21" s="96"/>
    </row>
    <row r="22" spans="1:21">
      <c r="A22" s="44" t="s">
        <v>95</v>
      </c>
      <c r="B22" s="44" t="s">
        <v>99</v>
      </c>
      <c r="C22" s="44" t="s">
        <v>100</v>
      </c>
    </row>
    <row r="23" spans="1:21">
      <c r="A23" s="63">
        <v>0.47</v>
      </c>
      <c r="B23" s="63">
        <v>0.55000000000000004</v>
      </c>
      <c r="C23" s="63">
        <v>0.65</v>
      </c>
    </row>
  </sheetData>
  <mergeCells count="11">
    <mergeCell ref="A17:A18"/>
    <mergeCell ref="B17:C17"/>
    <mergeCell ref="B18:C18"/>
    <mergeCell ref="B19:O19"/>
    <mergeCell ref="A21:C21"/>
    <mergeCell ref="A12:A15"/>
    <mergeCell ref="A3:A6"/>
    <mergeCell ref="E3:E6"/>
    <mergeCell ref="F3:F6"/>
    <mergeCell ref="G3:G6"/>
    <mergeCell ref="A7:A1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31" sqref="I31"/>
    </sheetView>
  </sheetViews>
  <sheetFormatPr baseColWidth="10" defaultRowHeight="14" x14ac:dyDescent="0"/>
  <sheetData>
    <row r="1" spans="1:4" ht="17">
      <c r="A1" s="69" t="s">
        <v>135</v>
      </c>
      <c r="B1" s="69" t="s">
        <v>136</v>
      </c>
      <c r="C1" s="69" t="s">
        <v>137</v>
      </c>
      <c r="D1" s="69" t="s">
        <v>138</v>
      </c>
    </row>
    <row r="2" spans="1:4">
      <c r="A2" t="s">
        <v>139</v>
      </c>
      <c r="B2">
        <v>1</v>
      </c>
      <c r="C2">
        <v>13</v>
      </c>
      <c r="D2">
        <v>107</v>
      </c>
    </row>
    <row r="3" spans="1:4">
      <c r="A3" t="s">
        <v>140</v>
      </c>
      <c r="B3">
        <v>1</v>
      </c>
      <c r="C3">
        <v>17</v>
      </c>
      <c r="D3">
        <v>131</v>
      </c>
    </row>
    <row r="4" spans="1:4">
      <c r="A4" t="s">
        <v>141</v>
      </c>
      <c r="B4">
        <v>1</v>
      </c>
      <c r="C4">
        <v>12</v>
      </c>
      <c r="D4">
        <v>80</v>
      </c>
    </row>
    <row r="5" spans="1:4">
      <c r="A5" t="s">
        <v>142</v>
      </c>
      <c r="B5">
        <v>1</v>
      </c>
      <c r="C5">
        <v>22</v>
      </c>
      <c r="D5">
        <v>188</v>
      </c>
    </row>
    <row r="6" spans="1:4">
      <c r="A6" t="s">
        <v>143</v>
      </c>
      <c r="B6">
        <v>1</v>
      </c>
      <c r="C6">
        <v>5</v>
      </c>
      <c r="D6">
        <v>23</v>
      </c>
    </row>
    <row r="7" spans="1:4">
      <c r="A7" t="s">
        <v>144</v>
      </c>
      <c r="B7">
        <v>1</v>
      </c>
      <c r="C7">
        <v>21</v>
      </c>
      <c r="D7">
        <v>142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" sqref="C3"/>
    </sheetView>
  </sheetViews>
  <sheetFormatPr baseColWidth="10" defaultRowHeight="14" x14ac:dyDescent="0"/>
  <cols>
    <col min="2" max="2" width="12.6640625" bestFit="1" customWidth="1"/>
  </cols>
  <sheetData>
    <row r="1" spans="1:9">
      <c r="A1" s="104" t="s">
        <v>115</v>
      </c>
      <c r="B1" s="104" t="s">
        <v>116</v>
      </c>
      <c r="C1" s="104" t="s">
        <v>112</v>
      </c>
      <c r="D1" s="98" t="s">
        <v>113</v>
      </c>
      <c r="E1" s="99"/>
      <c r="F1" s="100"/>
      <c r="G1" s="101" t="s">
        <v>114</v>
      </c>
      <c r="H1" s="102"/>
      <c r="I1" s="103"/>
    </row>
    <row r="2" spans="1:9">
      <c r="A2" s="105"/>
      <c r="B2" s="105"/>
      <c r="C2" s="105"/>
      <c r="D2" s="65" t="s">
        <v>107</v>
      </c>
      <c r="E2" s="65" t="s">
        <v>108</v>
      </c>
      <c r="F2" s="65" t="s">
        <v>109</v>
      </c>
      <c r="G2" s="65" t="s">
        <v>107</v>
      </c>
      <c r="H2" s="65" t="s">
        <v>108</v>
      </c>
      <c r="I2" s="65" t="s">
        <v>109</v>
      </c>
    </row>
    <row r="3" spans="1:9">
      <c r="A3" s="107" t="s">
        <v>119</v>
      </c>
      <c r="B3" s="47" t="s">
        <v>110</v>
      </c>
      <c r="C3" s="24">
        <f>HLOOKUP(A3&amp;"单位数",公司!A2:Q16,2,FALSE)</f>
        <v>1</v>
      </c>
      <c r="D3" s="47">
        <f>C3*公司!E16</f>
        <v>1613000</v>
      </c>
      <c r="E3" s="47"/>
      <c r="F3" s="47"/>
      <c r="G3" s="47">
        <f>C3*公司!E16</f>
        <v>1613000</v>
      </c>
      <c r="H3" s="47"/>
      <c r="I3" s="47"/>
    </row>
    <row r="4" spans="1:9">
      <c r="A4" s="108"/>
      <c r="B4" s="47" t="s">
        <v>111</v>
      </c>
      <c r="C4" s="24">
        <f>HLOOKUP(A3&amp;"单位数",公司!A2:Q16,3,FALSE)</f>
        <v>17</v>
      </c>
      <c r="D4" s="47"/>
      <c r="E4" s="47">
        <f>C4*公司!F16</f>
        <v>1836000</v>
      </c>
      <c r="F4" s="47"/>
      <c r="G4" s="47"/>
      <c r="H4" s="64">
        <f>C4*公司!F3</f>
        <v>816000</v>
      </c>
      <c r="I4" s="47">
        <f>C4*(公司!F16-公司!F3)</f>
        <v>1020000</v>
      </c>
    </row>
    <row r="5" spans="1:9">
      <c r="A5" s="109"/>
      <c r="B5" s="47" t="s">
        <v>100</v>
      </c>
      <c r="C5" s="24">
        <f>HLOOKUP(A3&amp;"单位数",公司!A2:Q16,4,FALSE)</f>
        <v>131</v>
      </c>
      <c r="D5" s="47"/>
      <c r="E5" s="47"/>
      <c r="F5" s="47">
        <f>C5*公司!G16</f>
        <v>7205000</v>
      </c>
      <c r="G5" s="47"/>
      <c r="H5" s="47">
        <f>C5*公司!G3</f>
        <v>3275000</v>
      </c>
      <c r="I5" s="47">
        <f>C5*(公司!G16-公司!G3)</f>
        <v>3930000</v>
      </c>
    </row>
    <row r="6" spans="1:9">
      <c r="A6" s="110" t="s">
        <v>121</v>
      </c>
      <c r="B6" s="111"/>
      <c r="C6" s="24"/>
      <c r="D6" s="47">
        <f>SUM(D3:D5)</f>
        <v>1613000</v>
      </c>
      <c r="E6" s="47">
        <f t="shared" ref="E6:I6" si="0">SUM(E3:E5)</f>
        <v>1836000</v>
      </c>
      <c r="F6" s="47">
        <f t="shared" si="0"/>
        <v>7205000</v>
      </c>
      <c r="G6" s="47">
        <f t="shared" si="0"/>
        <v>1613000</v>
      </c>
      <c r="H6" s="47">
        <f t="shared" si="0"/>
        <v>4091000</v>
      </c>
      <c r="I6" s="47">
        <f t="shared" si="0"/>
        <v>4950000</v>
      </c>
    </row>
    <row r="7" spans="1:9">
      <c r="A7" s="106" t="s">
        <v>117</v>
      </c>
      <c r="B7" s="106"/>
      <c r="C7" s="66">
        <f>SUM(C3:C5)</f>
        <v>149</v>
      </c>
      <c r="D7" s="106">
        <f>SUM(D6:F6)</f>
        <v>10654000</v>
      </c>
      <c r="E7" s="106"/>
      <c r="F7" s="106"/>
      <c r="G7" s="106">
        <f>SUM(G6:I6)</f>
        <v>10654000</v>
      </c>
      <c r="H7" s="106"/>
      <c r="I7" s="106"/>
    </row>
    <row r="9" spans="1:9">
      <c r="A9" s="58" t="s">
        <v>120</v>
      </c>
      <c r="B9" s="47" t="s">
        <v>128</v>
      </c>
      <c r="C9" s="97" t="s">
        <v>122</v>
      </c>
      <c r="D9" s="97"/>
      <c r="E9" s="97"/>
      <c r="F9" s="97"/>
      <c r="G9" s="97"/>
      <c r="H9" s="97"/>
      <c r="I9" s="97"/>
    </row>
    <row r="10" spans="1:9">
      <c r="A10" s="92" t="s">
        <v>114</v>
      </c>
      <c r="B10" s="47" t="s">
        <v>107</v>
      </c>
      <c r="C10" s="97" t="s">
        <v>123</v>
      </c>
      <c r="D10" s="97"/>
      <c r="E10" s="97"/>
      <c r="F10" s="97"/>
      <c r="G10" s="97"/>
      <c r="H10" s="97"/>
      <c r="I10" s="97"/>
    </row>
    <row r="11" spans="1:9">
      <c r="A11" s="92"/>
      <c r="B11" s="47" t="s">
        <v>124</v>
      </c>
      <c r="C11" s="97" t="s">
        <v>125</v>
      </c>
      <c r="D11" s="97"/>
      <c r="E11" s="97"/>
      <c r="F11" s="97"/>
      <c r="G11" s="97"/>
      <c r="H11" s="97"/>
      <c r="I11" s="97"/>
    </row>
    <row r="12" spans="1:9">
      <c r="A12" s="92"/>
      <c r="B12" s="47" t="s">
        <v>126</v>
      </c>
      <c r="C12" s="97" t="s">
        <v>127</v>
      </c>
      <c r="D12" s="97"/>
      <c r="E12" s="97"/>
      <c r="F12" s="97"/>
      <c r="G12" s="97"/>
      <c r="H12" s="97"/>
      <c r="I12" s="97"/>
    </row>
  </sheetData>
  <mergeCells count="15">
    <mergeCell ref="A7:B7"/>
    <mergeCell ref="D7:F7"/>
    <mergeCell ref="G7:I7"/>
    <mergeCell ref="A3:A5"/>
    <mergeCell ref="A6:B6"/>
    <mergeCell ref="D1:F1"/>
    <mergeCell ref="G1:I1"/>
    <mergeCell ref="A1:A2"/>
    <mergeCell ref="C1:C2"/>
    <mergeCell ref="B1:B2"/>
    <mergeCell ref="C10:I10"/>
    <mergeCell ref="C11:I11"/>
    <mergeCell ref="A10:A12"/>
    <mergeCell ref="C12:I12"/>
    <mergeCell ref="C9:I9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7" sqref="A1:I7"/>
    </sheetView>
  </sheetViews>
  <sheetFormatPr baseColWidth="10" defaultRowHeight="14" x14ac:dyDescent="0"/>
  <cols>
    <col min="2" max="2" width="12.6640625" bestFit="1" customWidth="1"/>
  </cols>
  <sheetData>
    <row r="1" spans="1:9">
      <c r="A1" s="104" t="s">
        <v>115</v>
      </c>
      <c r="B1" s="104" t="s">
        <v>116</v>
      </c>
      <c r="C1" s="104" t="s">
        <v>112</v>
      </c>
      <c r="D1" s="98" t="s">
        <v>113</v>
      </c>
      <c r="E1" s="99"/>
      <c r="F1" s="100"/>
      <c r="G1" s="101" t="s">
        <v>114</v>
      </c>
      <c r="H1" s="102"/>
      <c r="I1" s="103"/>
    </row>
    <row r="2" spans="1:9">
      <c r="A2" s="105"/>
      <c r="B2" s="105"/>
      <c r="C2" s="105"/>
      <c r="D2" s="65" t="s">
        <v>107</v>
      </c>
      <c r="E2" s="65" t="s">
        <v>108</v>
      </c>
      <c r="F2" s="65" t="s">
        <v>109</v>
      </c>
      <c r="G2" s="65" t="s">
        <v>107</v>
      </c>
      <c r="H2" s="65" t="s">
        <v>108</v>
      </c>
      <c r="I2" s="65" t="s">
        <v>109</v>
      </c>
    </row>
    <row r="3" spans="1:9">
      <c r="A3" s="107" t="s">
        <v>119</v>
      </c>
      <c r="B3" s="47" t="s">
        <v>110</v>
      </c>
      <c r="C3" s="24">
        <f>HLOOKUP(A3&amp;"单位数",调整!A2:Q16,2,FALSE)</f>
        <v>1</v>
      </c>
      <c r="D3" s="47">
        <f>C3*调整!E16</f>
        <v>794150</v>
      </c>
      <c r="E3" s="47"/>
      <c r="F3" s="47"/>
      <c r="G3" s="47">
        <f>C3*调整!E16</f>
        <v>794150</v>
      </c>
      <c r="H3" s="47"/>
      <c r="I3" s="47"/>
    </row>
    <row r="4" spans="1:9">
      <c r="A4" s="108"/>
      <c r="B4" s="47" t="s">
        <v>111</v>
      </c>
      <c r="C4" s="24">
        <f>HLOOKUP(A3&amp;"单位数",调整!A2:Q16,3,FALSE)</f>
        <v>17</v>
      </c>
      <c r="D4" s="47"/>
      <c r="E4" s="47">
        <f>C4*调整!F16</f>
        <v>1009800</v>
      </c>
      <c r="F4" s="47"/>
      <c r="G4" s="47"/>
      <c r="H4" s="64">
        <f>C4*调整!F3</f>
        <v>448800.00000000006</v>
      </c>
      <c r="I4" s="47">
        <f>C4*(调整!F16-调整!F3)</f>
        <v>561000</v>
      </c>
    </row>
    <row r="5" spans="1:9">
      <c r="A5" s="109"/>
      <c r="B5" s="47" t="s">
        <v>100</v>
      </c>
      <c r="C5" s="24">
        <f>HLOOKUP(A3&amp;"单位数",调整!A2:Q16,4,FALSE)</f>
        <v>131</v>
      </c>
      <c r="D5" s="47"/>
      <c r="E5" s="47"/>
      <c r="F5" s="47">
        <f>C5*调整!G16</f>
        <v>4683250</v>
      </c>
      <c r="G5" s="47"/>
      <c r="H5" s="47">
        <f>C5*调整!G3</f>
        <v>2128750</v>
      </c>
      <c r="I5" s="47">
        <f>C5*(调整!G16-调整!G3)</f>
        <v>2554500</v>
      </c>
    </row>
    <row r="6" spans="1:9">
      <c r="A6" s="110" t="s">
        <v>121</v>
      </c>
      <c r="B6" s="111"/>
      <c r="C6" s="24"/>
      <c r="D6" s="47">
        <f>SUM(D3:D5)</f>
        <v>794150</v>
      </c>
      <c r="E6" s="47">
        <f t="shared" ref="E6:I6" si="0">SUM(E3:E5)</f>
        <v>1009800</v>
      </c>
      <c r="F6" s="47">
        <f t="shared" si="0"/>
        <v>4683250</v>
      </c>
      <c r="G6" s="47">
        <f t="shared" si="0"/>
        <v>794150</v>
      </c>
      <c r="H6" s="47">
        <f t="shared" si="0"/>
        <v>2577550</v>
      </c>
      <c r="I6" s="47">
        <f t="shared" si="0"/>
        <v>3115500</v>
      </c>
    </row>
    <row r="7" spans="1:9">
      <c r="A7" s="106" t="s">
        <v>117</v>
      </c>
      <c r="B7" s="106"/>
      <c r="C7" s="66">
        <f>SUM(C3:C5)</f>
        <v>149</v>
      </c>
      <c r="D7" s="106">
        <f>SUM(D6:F6)</f>
        <v>6487200</v>
      </c>
      <c r="E7" s="106"/>
      <c r="F7" s="106"/>
      <c r="G7" s="106">
        <f>SUM(G6:I6)</f>
        <v>6487200</v>
      </c>
      <c r="H7" s="106"/>
      <c r="I7" s="106"/>
    </row>
    <row r="9" spans="1:9">
      <c r="A9" s="58" t="s">
        <v>120</v>
      </c>
      <c r="B9" s="47" t="s">
        <v>128</v>
      </c>
      <c r="C9" s="97" t="s">
        <v>122</v>
      </c>
      <c r="D9" s="97"/>
      <c r="E9" s="97"/>
      <c r="F9" s="97"/>
      <c r="G9" s="97"/>
      <c r="H9" s="97"/>
      <c r="I9" s="97"/>
    </row>
    <row r="10" spans="1:9">
      <c r="A10" s="92" t="s">
        <v>114</v>
      </c>
      <c r="B10" s="47" t="s">
        <v>107</v>
      </c>
      <c r="C10" s="97" t="s">
        <v>123</v>
      </c>
      <c r="D10" s="97"/>
      <c r="E10" s="97"/>
      <c r="F10" s="97"/>
      <c r="G10" s="97"/>
      <c r="H10" s="97"/>
      <c r="I10" s="97"/>
    </row>
    <row r="11" spans="1:9">
      <c r="A11" s="92"/>
      <c r="B11" s="47" t="s">
        <v>124</v>
      </c>
      <c r="C11" s="97" t="s">
        <v>125</v>
      </c>
      <c r="D11" s="97"/>
      <c r="E11" s="97"/>
      <c r="F11" s="97"/>
      <c r="G11" s="97"/>
      <c r="H11" s="97"/>
      <c r="I11" s="97"/>
    </row>
    <row r="12" spans="1:9">
      <c r="A12" s="92"/>
      <c r="B12" s="47" t="s">
        <v>126</v>
      </c>
      <c r="C12" s="97" t="s">
        <v>127</v>
      </c>
      <c r="D12" s="97"/>
      <c r="E12" s="97"/>
      <c r="F12" s="97"/>
      <c r="G12" s="97"/>
      <c r="H12" s="97"/>
      <c r="I12" s="97"/>
    </row>
  </sheetData>
  <mergeCells count="15">
    <mergeCell ref="A10:A12"/>
    <mergeCell ref="C10:I10"/>
    <mergeCell ref="C11:I11"/>
    <mergeCell ref="C12:I12"/>
    <mergeCell ref="A1:A2"/>
    <mergeCell ref="B1:B2"/>
    <mergeCell ref="C1:C2"/>
    <mergeCell ref="D1:F1"/>
    <mergeCell ref="G1:I1"/>
    <mergeCell ref="A3:A5"/>
    <mergeCell ref="A6:B6"/>
    <mergeCell ref="A7:B7"/>
    <mergeCell ref="D7:F7"/>
    <mergeCell ref="G7:I7"/>
    <mergeCell ref="C9:I9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50" zoomScaleNormal="150" zoomScalePageLayoutView="150" workbookViewId="0">
      <selection activeCell="B25" sqref="B24:I25"/>
    </sheetView>
  </sheetViews>
  <sheetFormatPr baseColWidth="10" defaultRowHeight="14" x14ac:dyDescent="0"/>
  <sheetData>
    <row r="1" spans="1:9">
      <c r="A1" s="112" t="s">
        <v>129</v>
      </c>
      <c r="B1" s="112"/>
      <c r="C1" s="112"/>
      <c r="D1" s="112"/>
      <c r="E1" s="112"/>
      <c r="F1" s="112"/>
      <c r="G1" s="112"/>
      <c r="H1" s="112"/>
      <c r="I1" s="112"/>
    </row>
    <row r="2" spans="1:9">
      <c r="A2" s="104" t="s">
        <v>115</v>
      </c>
      <c r="B2" s="104" t="s">
        <v>116</v>
      </c>
      <c r="C2" s="104" t="s">
        <v>112</v>
      </c>
      <c r="D2" s="98" t="s">
        <v>113</v>
      </c>
      <c r="E2" s="99"/>
      <c r="F2" s="100"/>
      <c r="G2" s="101" t="s">
        <v>114</v>
      </c>
      <c r="H2" s="102"/>
      <c r="I2" s="103"/>
    </row>
    <row r="3" spans="1:9">
      <c r="A3" s="105"/>
      <c r="B3" s="105"/>
      <c r="C3" s="105"/>
      <c r="D3" s="65" t="s">
        <v>107</v>
      </c>
      <c r="E3" s="65" t="s">
        <v>108</v>
      </c>
      <c r="F3" s="65" t="s">
        <v>109</v>
      </c>
      <c r="G3" s="65" t="s">
        <v>107</v>
      </c>
      <c r="H3" s="65" t="s">
        <v>108</v>
      </c>
      <c r="I3" s="65" t="s">
        <v>109</v>
      </c>
    </row>
    <row r="4" spans="1:9">
      <c r="A4" s="113" t="s">
        <v>141</v>
      </c>
      <c r="B4" s="47" t="s">
        <v>110</v>
      </c>
      <c r="C4" s="24">
        <f>VLOOKUP(A4,单位数量!A:D,2,FALSE)</f>
        <v>1</v>
      </c>
      <c r="D4" s="47">
        <f>C4*公司!E16</f>
        <v>1613000</v>
      </c>
      <c r="E4" s="47"/>
      <c r="F4" s="47"/>
      <c r="G4" s="47">
        <f>C4*公司!E16</f>
        <v>1613000</v>
      </c>
      <c r="H4" s="47"/>
      <c r="I4" s="47"/>
    </row>
    <row r="5" spans="1:9">
      <c r="A5" s="114"/>
      <c r="B5" s="47" t="s">
        <v>111</v>
      </c>
      <c r="C5" s="24">
        <f>VLOOKUP(A4,单位数量!A:D,3,FALSE)</f>
        <v>12</v>
      </c>
      <c r="D5" s="47"/>
      <c r="E5" s="47">
        <f>C5*公司!F16</f>
        <v>1296000</v>
      </c>
      <c r="F5" s="47"/>
      <c r="G5" s="47"/>
      <c r="H5" s="64">
        <f>C5*公司!F3</f>
        <v>576000</v>
      </c>
      <c r="I5" s="47">
        <f>C5*(公司!F16-公司!F3)</f>
        <v>720000</v>
      </c>
    </row>
    <row r="6" spans="1:9">
      <c r="A6" s="115"/>
      <c r="B6" s="47" t="s">
        <v>100</v>
      </c>
      <c r="C6" s="24">
        <f>VLOOKUP(A4,单位数量!A:D,4,FALSE)</f>
        <v>80</v>
      </c>
      <c r="D6" s="47"/>
      <c r="E6" s="47"/>
      <c r="F6" s="47">
        <f>C6*公司!G16</f>
        <v>4400000</v>
      </c>
      <c r="G6" s="47"/>
      <c r="H6" s="47">
        <f>C6*公司!G3</f>
        <v>2000000</v>
      </c>
      <c r="I6" s="47">
        <f>C6*(公司!G16-公司!G3)</f>
        <v>2400000</v>
      </c>
    </row>
    <row r="7" spans="1:9">
      <c r="A7" s="110" t="s">
        <v>121</v>
      </c>
      <c r="B7" s="111"/>
      <c r="C7" s="24"/>
      <c r="D7" s="47">
        <f>SUM(D4:D6)</f>
        <v>1613000</v>
      </c>
      <c r="E7" s="47">
        <f t="shared" ref="E7:I7" si="0">SUM(E4:E6)</f>
        <v>1296000</v>
      </c>
      <c r="F7" s="47">
        <f t="shared" si="0"/>
        <v>4400000</v>
      </c>
      <c r="G7" s="47">
        <f t="shared" si="0"/>
        <v>1613000</v>
      </c>
      <c r="H7" s="47">
        <f t="shared" si="0"/>
        <v>2576000</v>
      </c>
      <c r="I7" s="47">
        <f t="shared" si="0"/>
        <v>3120000</v>
      </c>
    </row>
    <row r="8" spans="1:9">
      <c r="A8" s="106" t="s">
        <v>117</v>
      </c>
      <c r="B8" s="106"/>
      <c r="C8" s="66">
        <f>SUM(C4:C6)</f>
        <v>93</v>
      </c>
      <c r="D8" s="106">
        <f>SUM(D7:F7)</f>
        <v>7309000</v>
      </c>
      <c r="E8" s="106"/>
      <c r="F8" s="106"/>
      <c r="G8" s="106">
        <f>SUM(G7:I7)</f>
        <v>7309000</v>
      </c>
      <c r="H8" s="106"/>
      <c r="I8" s="106"/>
    </row>
    <row r="11" spans="1:9">
      <c r="A11" s="112" t="s">
        <v>130</v>
      </c>
      <c r="B11" s="112"/>
      <c r="C11" s="112"/>
      <c r="D11" s="112"/>
      <c r="E11" s="112"/>
      <c r="F11" s="112"/>
      <c r="G11" s="112"/>
      <c r="H11" s="112"/>
      <c r="I11" s="112"/>
    </row>
    <row r="12" spans="1:9">
      <c r="A12" s="104" t="s">
        <v>115</v>
      </c>
      <c r="B12" s="104" t="s">
        <v>116</v>
      </c>
      <c r="C12" s="104" t="s">
        <v>112</v>
      </c>
      <c r="D12" s="98" t="s">
        <v>113</v>
      </c>
      <c r="E12" s="99"/>
      <c r="F12" s="100"/>
      <c r="G12" s="101" t="s">
        <v>114</v>
      </c>
      <c r="H12" s="102"/>
      <c r="I12" s="103"/>
    </row>
    <row r="13" spans="1:9">
      <c r="A13" s="105"/>
      <c r="B13" s="105"/>
      <c r="C13" s="105"/>
      <c r="D13" s="65" t="s">
        <v>107</v>
      </c>
      <c r="E13" s="65" t="s">
        <v>108</v>
      </c>
      <c r="F13" s="65" t="s">
        <v>109</v>
      </c>
      <c r="G13" s="65" t="s">
        <v>107</v>
      </c>
      <c r="H13" s="65" t="s">
        <v>108</v>
      </c>
      <c r="I13" s="65" t="s">
        <v>109</v>
      </c>
    </row>
    <row r="14" spans="1:9">
      <c r="A14" s="107" t="str">
        <f>A4</f>
        <v>吉林</v>
      </c>
      <c r="B14" s="47" t="s">
        <v>110</v>
      </c>
      <c r="C14" s="24">
        <f>C4</f>
        <v>1</v>
      </c>
      <c r="D14" s="47">
        <f>C14*调整!E16</f>
        <v>794150</v>
      </c>
      <c r="E14" s="47"/>
      <c r="F14" s="47"/>
      <c r="G14" s="47">
        <f>C14*调整!E16</f>
        <v>794150</v>
      </c>
      <c r="H14" s="47"/>
      <c r="I14" s="47"/>
    </row>
    <row r="15" spans="1:9">
      <c r="A15" s="108"/>
      <c r="B15" s="47" t="s">
        <v>111</v>
      </c>
      <c r="C15" s="24">
        <f>C5</f>
        <v>12</v>
      </c>
      <c r="D15" s="47"/>
      <c r="E15" s="47">
        <f>C15*调整!F16</f>
        <v>712800</v>
      </c>
      <c r="F15" s="47"/>
      <c r="G15" s="47"/>
      <c r="H15" s="64">
        <f>C15*调整!F3</f>
        <v>316800.00000000006</v>
      </c>
      <c r="I15" s="47">
        <f>C15*(调整!F16-调整!F3)</f>
        <v>396000</v>
      </c>
    </row>
    <row r="16" spans="1:9">
      <c r="A16" s="109"/>
      <c r="B16" s="47" t="s">
        <v>100</v>
      </c>
      <c r="C16" s="24">
        <f>C6</f>
        <v>80</v>
      </c>
      <c r="D16" s="47"/>
      <c r="E16" s="47"/>
      <c r="F16" s="47">
        <f>C16*调整!G16</f>
        <v>2860000</v>
      </c>
      <c r="G16" s="47"/>
      <c r="H16" s="47">
        <f>C16*调整!G3</f>
        <v>1300000</v>
      </c>
      <c r="I16" s="47">
        <f>C16*(调整!G16-调整!G3)</f>
        <v>1560000</v>
      </c>
    </row>
    <row r="17" spans="1:9">
      <c r="A17" s="110" t="s">
        <v>121</v>
      </c>
      <c r="B17" s="111"/>
      <c r="C17" s="24"/>
      <c r="D17" s="47">
        <f>SUM(D14:D16)</f>
        <v>794150</v>
      </c>
      <c r="E17" s="47">
        <f t="shared" ref="E17:I17" si="1">SUM(E14:E16)</f>
        <v>712800</v>
      </c>
      <c r="F17" s="47">
        <f t="shared" si="1"/>
        <v>2860000</v>
      </c>
      <c r="G17" s="47">
        <f t="shared" si="1"/>
        <v>794150</v>
      </c>
      <c r="H17" s="47">
        <f t="shared" si="1"/>
        <v>1616800</v>
      </c>
      <c r="I17" s="47">
        <f t="shared" si="1"/>
        <v>1956000</v>
      </c>
    </row>
    <row r="18" spans="1:9">
      <c r="A18" s="106" t="s">
        <v>117</v>
      </c>
      <c r="B18" s="106"/>
      <c r="C18" s="66">
        <f>SUM(C14:C16)</f>
        <v>93</v>
      </c>
      <c r="D18" s="106">
        <f>SUM(D17:F17)</f>
        <v>4366950</v>
      </c>
      <c r="E18" s="106"/>
      <c r="F18" s="106"/>
      <c r="G18" s="106">
        <f>SUM(G17:I17)</f>
        <v>4366950</v>
      </c>
      <c r="H18" s="106"/>
      <c r="I18" s="106"/>
    </row>
    <row r="21" spans="1:9">
      <c r="A21" s="58" t="s">
        <v>120</v>
      </c>
      <c r="B21" s="47" t="s">
        <v>128</v>
      </c>
      <c r="C21" s="97" t="s">
        <v>122</v>
      </c>
      <c r="D21" s="97"/>
      <c r="E21" s="97"/>
      <c r="F21" s="97"/>
      <c r="G21" s="97"/>
      <c r="H21" s="97"/>
      <c r="I21" s="97"/>
    </row>
    <row r="22" spans="1:9">
      <c r="A22" s="120" t="s">
        <v>114</v>
      </c>
      <c r="B22" s="121" t="s">
        <v>107</v>
      </c>
      <c r="C22" s="122" t="s">
        <v>123</v>
      </c>
      <c r="D22" s="122"/>
      <c r="E22" s="122"/>
      <c r="F22" s="122"/>
      <c r="G22" s="122"/>
      <c r="H22" s="122"/>
      <c r="I22" s="122"/>
    </row>
    <row r="23" spans="1:9">
      <c r="A23" s="120"/>
      <c r="B23" s="121" t="s">
        <v>124</v>
      </c>
      <c r="C23" s="122" t="s">
        <v>125</v>
      </c>
      <c r="D23" s="122"/>
      <c r="E23" s="122"/>
      <c r="F23" s="122"/>
      <c r="G23" s="122"/>
      <c r="H23" s="122"/>
      <c r="I23" s="122"/>
    </row>
    <row r="24" spans="1:9">
      <c r="A24" s="120"/>
      <c r="B24" s="121" t="s">
        <v>126</v>
      </c>
      <c r="C24" s="122" t="s">
        <v>127</v>
      </c>
      <c r="D24" s="122"/>
      <c r="E24" s="122"/>
      <c r="F24" s="122"/>
      <c r="G24" s="122"/>
      <c r="H24" s="122"/>
      <c r="I24" s="122"/>
    </row>
  </sheetData>
  <mergeCells count="27">
    <mergeCell ref="A12:A13"/>
    <mergeCell ref="B12:B13"/>
    <mergeCell ref="C12:C13"/>
    <mergeCell ref="D12:F12"/>
    <mergeCell ref="G12:I12"/>
    <mergeCell ref="A1:I1"/>
    <mergeCell ref="A11:I11"/>
    <mergeCell ref="A7:B7"/>
    <mergeCell ref="A8:B8"/>
    <mergeCell ref="D8:F8"/>
    <mergeCell ref="G8:I8"/>
    <mergeCell ref="A2:A3"/>
    <mergeCell ref="B2:B3"/>
    <mergeCell ref="C2:C3"/>
    <mergeCell ref="D2:F2"/>
    <mergeCell ref="G2:I2"/>
    <mergeCell ref="A4:A6"/>
    <mergeCell ref="A14:A16"/>
    <mergeCell ref="A17:B17"/>
    <mergeCell ref="A18:B18"/>
    <mergeCell ref="D18:F18"/>
    <mergeCell ref="G18:I18"/>
    <mergeCell ref="C21:I21"/>
    <mergeCell ref="A22:A24"/>
    <mergeCell ref="C22:I22"/>
    <mergeCell ref="C23:I23"/>
    <mergeCell ref="C24:I24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行政综合管理系统报价</vt:lpstr>
      <vt:lpstr>接口标准报价</vt:lpstr>
      <vt:lpstr>公司</vt:lpstr>
      <vt:lpstr>调整</vt:lpstr>
      <vt:lpstr>单位数量</vt:lpstr>
      <vt:lpstr>公司每期报价</vt:lpstr>
      <vt:lpstr>调整每期报价</vt:lpstr>
      <vt:lpstr>报价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宗元 梁</cp:lastModifiedBy>
  <dcterms:created xsi:type="dcterms:W3CDTF">2014-02-12T02:59:14Z</dcterms:created>
  <dcterms:modified xsi:type="dcterms:W3CDTF">2017-10-09T10:34:42Z</dcterms:modified>
</cp:coreProperties>
</file>