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ple/Documents/work/同步文件/办公室同步/系统/法院系统/"/>
    </mc:Choice>
  </mc:AlternateContent>
  <bookViews>
    <workbookView xWindow="1020" yWindow="880" windowWidth="27400" windowHeight="15200"/>
  </bookViews>
  <sheets>
    <sheet name="报价函" sheetId="1" r:id="rId1"/>
    <sheet name="计算用" sheetId="5" r:id="rId2"/>
    <sheet name="各模块详细工作量测算" sheetId="4" r:id="rId3"/>
    <sheet name="各省单位数" sheetId="7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F129" i="4"/>
  <c r="F119" i="4"/>
  <c r="F109" i="4"/>
  <c r="F99" i="4"/>
  <c r="F89" i="4"/>
  <c r="F79" i="4"/>
  <c r="F69" i="4"/>
  <c r="F59" i="4"/>
  <c r="F49" i="4"/>
  <c r="F39" i="4"/>
  <c r="F29" i="4"/>
  <c r="F19" i="4"/>
  <c r="A1" i="1"/>
  <c r="D3" i="1"/>
  <c r="H3" i="1"/>
  <c r="E3" i="1"/>
  <c r="H4" i="1"/>
  <c r="F3" i="1"/>
  <c r="H5" i="1"/>
  <c r="H6" i="1"/>
  <c r="D7" i="1"/>
  <c r="E7" i="1"/>
  <c r="F7" i="1"/>
  <c r="H7" i="1"/>
  <c r="D10" i="1"/>
  <c r="E10" i="1"/>
  <c r="F10" i="1"/>
  <c r="H10" i="1"/>
  <c r="D14" i="1"/>
  <c r="E14" i="1"/>
  <c r="F14" i="1"/>
  <c r="H14" i="1"/>
  <c r="H16" i="1"/>
  <c r="I3" i="5"/>
  <c r="B3" i="5"/>
  <c r="C3" i="5"/>
  <c r="D3" i="5"/>
  <c r="E3" i="5"/>
  <c r="F3" i="5"/>
  <c r="G3" i="5"/>
  <c r="A2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L16" i="1"/>
  <c r="B17" i="5"/>
  <c r="B124" i="4"/>
  <c r="C17" i="5"/>
  <c r="B125" i="4"/>
  <c r="D17" i="5"/>
  <c r="B126" i="4"/>
  <c r="E17" i="5"/>
  <c r="B127" i="4"/>
  <c r="F17" i="5"/>
  <c r="B128" i="4"/>
  <c r="B129" i="4"/>
  <c r="L129" i="4"/>
  <c r="B16" i="5"/>
  <c r="B114" i="4"/>
  <c r="C16" i="5"/>
  <c r="B115" i="4"/>
  <c r="D16" i="5"/>
  <c r="B116" i="4"/>
  <c r="E16" i="5"/>
  <c r="B117" i="4"/>
  <c r="F16" i="5"/>
  <c r="B118" i="4"/>
  <c r="B119" i="4"/>
  <c r="L119" i="4"/>
  <c r="B15" i="5"/>
  <c r="B104" i="4"/>
  <c r="C15" i="5"/>
  <c r="B105" i="4"/>
  <c r="D15" i="5"/>
  <c r="B106" i="4"/>
  <c r="E15" i="5"/>
  <c r="B107" i="4"/>
  <c r="F15" i="5"/>
  <c r="B108" i="4"/>
  <c r="B109" i="4"/>
  <c r="L109" i="4"/>
  <c r="B14" i="5"/>
  <c r="B94" i="4"/>
  <c r="C14" i="5"/>
  <c r="B95" i="4"/>
  <c r="D14" i="5"/>
  <c r="B96" i="4"/>
  <c r="E14" i="5"/>
  <c r="B97" i="4"/>
  <c r="F14" i="5"/>
  <c r="B98" i="4"/>
  <c r="B99" i="4"/>
  <c r="L99" i="4"/>
  <c r="B13" i="5"/>
  <c r="B84" i="4"/>
  <c r="C13" i="5"/>
  <c r="B85" i="4"/>
  <c r="D13" i="5"/>
  <c r="B86" i="4"/>
  <c r="E13" i="5"/>
  <c r="B87" i="4"/>
  <c r="F13" i="5"/>
  <c r="B88" i="4"/>
  <c r="B89" i="4"/>
  <c r="L89" i="4"/>
  <c r="B12" i="5"/>
  <c r="B74" i="4"/>
  <c r="C12" i="5"/>
  <c r="B75" i="4"/>
  <c r="D12" i="5"/>
  <c r="B76" i="4"/>
  <c r="E12" i="5"/>
  <c r="B77" i="4"/>
  <c r="F12" i="5"/>
  <c r="B78" i="4"/>
  <c r="B79" i="4"/>
  <c r="L79" i="4"/>
  <c r="B11" i="5"/>
  <c r="B64" i="4"/>
  <c r="C11" i="5"/>
  <c r="B65" i="4"/>
  <c r="D11" i="5"/>
  <c r="B66" i="4"/>
  <c r="E11" i="5"/>
  <c r="B67" i="4"/>
  <c r="F11" i="5"/>
  <c r="B68" i="4"/>
  <c r="B69" i="4"/>
  <c r="L69" i="4"/>
  <c r="B10" i="5"/>
  <c r="B54" i="4"/>
  <c r="C10" i="5"/>
  <c r="B55" i="4"/>
  <c r="D10" i="5"/>
  <c r="B56" i="4"/>
  <c r="E10" i="5"/>
  <c r="B57" i="4"/>
  <c r="F10" i="5"/>
  <c r="B58" i="4"/>
  <c r="B59" i="4"/>
  <c r="L59" i="4"/>
  <c r="B9" i="5"/>
  <c r="B44" i="4"/>
  <c r="C9" i="5"/>
  <c r="B45" i="4"/>
  <c r="D9" i="5"/>
  <c r="B46" i="4"/>
  <c r="E9" i="5"/>
  <c r="B47" i="4"/>
  <c r="F9" i="5"/>
  <c r="B48" i="4"/>
  <c r="B49" i="4"/>
  <c r="L49" i="4"/>
  <c r="B8" i="5"/>
  <c r="B34" i="4"/>
  <c r="C8" i="5"/>
  <c r="B35" i="4"/>
  <c r="D8" i="5"/>
  <c r="B36" i="4"/>
  <c r="E8" i="5"/>
  <c r="B37" i="4"/>
  <c r="F8" i="5"/>
  <c r="B38" i="4"/>
  <c r="B39" i="4"/>
  <c r="L39" i="4"/>
  <c r="B7" i="5"/>
  <c r="B24" i="4"/>
  <c r="C7" i="5"/>
  <c r="B25" i="4"/>
  <c r="D7" i="5"/>
  <c r="B26" i="4"/>
  <c r="E7" i="5"/>
  <c r="B27" i="4"/>
  <c r="F7" i="5"/>
  <c r="B28" i="4"/>
  <c r="B29" i="4"/>
  <c r="L29" i="4"/>
  <c r="B6" i="5"/>
  <c r="B14" i="4"/>
  <c r="C6" i="5"/>
  <c r="B15" i="4"/>
  <c r="D6" i="5"/>
  <c r="B16" i="4"/>
  <c r="E6" i="5"/>
  <c r="B17" i="4"/>
  <c r="F6" i="5"/>
  <c r="B18" i="4"/>
  <c r="B19" i="4"/>
  <c r="L19" i="4"/>
  <c r="B5" i="5"/>
  <c r="B4" i="4"/>
  <c r="C5" i="5"/>
  <c r="B5" i="4"/>
  <c r="D5" i="5"/>
  <c r="B6" i="4"/>
  <c r="E5" i="5"/>
  <c r="B7" i="4"/>
  <c r="F5" i="5"/>
  <c r="B8" i="4"/>
  <c r="B9" i="4"/>
  <c r="F9" i="4"/>
  <c r="L9" i="4"/>
  <c r="L130" i="4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M17" i="1"/>
  <c r="M18" i="1"/>
  <c r="H20" i="1"/>
  <c r="H21" i="1"/>
  <c r="H23" i="1"/>
  <c r="M23" i="1"/>
  <c r="M24" i="1"/>
  <c r="M21" i="1"/>
  <c r="M20" i="1"/>
  <c r="G6" i="4"/>
  <c r="G4" i="5"/>
  <c r="C2" i="4"/>
  <c r="C12" i="4"/>
  <c r="C122" i="4"/>
  <c r="C112" i="4"/>
  <c r="C102" i="4"/>
  <c r="C92" i="4"/>
  <c r="C82" i="4"/>
  <c r="C72" i="4"/>
  <c r="C62" i="4"/>
  <c r="C52" i="4"/>
  <c r="C42" i="4"/>
  <c r="C32" i="4"/>
  <c r="C22" i="4"/>
  <c r="M130" i="4"/>
  <c r="G7" i="4"/>
  <c r="H128" i="4"/>
  <c r="G128" i="4"/>
  <c r="H127" i="4"/>
  <c r="G127" i="4"/>
  <c r="H126" i="4"/>
  <c r="G126" i="4"/>
  <c r="H125" i="4"/>
  <c r="G125" i="4"/>
  <c r="H124" i="4"/>
  <c r="G124" i="4"/>
  <c r="H118" i="4"/>
  <c r="G118" i="4"/>
  <c r="H117" i="4"/>
  <c r="G117" i="4"/>
  <c r="H116" i="4"/>
  <c r="G116" i="4"/>
  <c r="H115" i="4"/>
  <c r="G115" i="4"/>
  <c r="H114" i="4"/>
  <c r="G114" i="4"/>
  <c r="H108" i="4"/>
  <c r="G108" i="4"/>
  <c r="H107" i="4"/>
  <c r="G107" i="4"/>
  <c r="H106" i="4"/>
  <c r="G106" i="4"/>
  <c r="H105" i="4"/>
  <c r="G105" i="4"/>
  <c r="H104" i="4"/>
  <c r="G104" i="4"/>
  <c r="H98" i="4"/>
  <c r="G98" i="4"/>
  <c r="H97" i="4"/>
  <c r="G97" i="4"/>
  <c r="H96" i="4"/>
  <c r="G96" i="4"/>
  <c r="H95" i="4"/>
  <c r="G95" i="4"/>
  <c r="H94" i="4"/>
  <c r="G94" i="4"/>
  <c r="H88" i="4"/>
  <c r="G88" i="4"/>
  <c r="H87" i="4"/>
  <c r="G87" i="4"/>
  <c r="H86" i="4"/>
  <c r="G86" i="4"/>
  <c r="H85" i="4"/>
  <c r="G85" i="4"/>
  <c r="H84" i="4"/>
  <c r="G84" i="4"/>
  <c r="H78" i="4"/>
  <c r="G78" i="4"/>
  <c r="H77" i="4"/>
  <c r="G77" i="4"/>
  <c r="H76" i="4"/>
  <c r="G76" i="4"/>
  <c r="H75" i="4"/>
  <c r="G75" i="4"/>
  <c r="H74" i="4"/>
  <c r="G74" i="4"/>
  <c r="H68" i="4"/>
  <c r="G68" i="4"/>
  <c r="H67" i="4"/>
  <c r="G67" i="4"/>
  <c r="H66" i="4"/>
  <c r="G66" i="4"/>
  <c r="H65" i="4"/>
  <c r="G65" i="4"/>
  <c r="H64" i="4"/>
  <c r="G64" i="4"/>
  <c r="H58" i="4"/>
  <c r="G58" i="4"/>
  <c r="H57" i="4"/>
  <c r="G57" i="4"/>
  <c r="H56" i="4"/>
  <c r="G56" i="4"/>
  <c r="H55" i="4"/>
  <c r="G55" i="4"/>
  <c r="H54" i="4"/>
  <c r="G54" i="4"/>
  <c r="H48" i="4"/>
  <c r="G48" i="4"/>
  <c r="H47" i="4"/>
  <c r="G47" i="4"/>
  <c r="H46" i="4"/>
  <c r="G46" i="4"/>
  <c r="H45" i="4"/>
  <c r="G45" i="4"/>
  <c r="H44" i="4"/>
  <c r="G44" i="4"/>
  <c r="H38" i="4"/>
  <c r="G38" i="4"/>
  <c r="H37" i="4"/>
  <c r="G37" i="4"/>
  <c r="H36" i="4"/>
  <c r="G36" i="4"/>
  <c r="H35" i="4"/>
  <c r="G35" i="4"/>
  <c r="H34" i="4"/>
  <c r="G34" i="4"/>
  <c r="H28" i="4"/>
  <c r="G28" i="4"/>
  <c r="H27" i="4"/>
  <c r="G27" i="4"/>
  <c r="H26" i="4"/>
  <c r="G26" i="4"/>
  <c r="H25" i="4"/>
  <c r="G25" i="4"/>
  <c r="H24" i="4"/>
  <c r="G24" i="4"/>
  <c r="H18" i="4"/>
  <c r="G18" i="4"/>
  <c r="H17" i="4"/>
  <c r="G17" i="4"/>
  <c r="H16" i="4"/>
  <c r="G16" i="4"/>
  <c r="H15" i="4"/>
  <c r="G15" i="4"/>
  <c r="H14" i="4"/>
  <c r="G14" i="4"/>
  <c r="H8" i="4"/>
  <c r="H5" i="4"/>
  <c r="H6" i="4"/>
  <c r="H7" i="4"/>
  <c r="G5" i="4"/>
  <c r="G8" i="4"/>
  <c r="G4" i="4"/>
  <c r="I128" i="4"/>
  <c r="K128" i="4"/>
  <c r="I4" i="4"/>
  <c r="K4" i="4"/>
  <c r="J128" i="4"/>
  <c r="I127" i="4"/>
  <c r="K127" i="4"/>
  <c r="J127" i="4"/>
  <c r="I126" i="4"/>
  <c r="K126" i="4"/>
  <c r="J126" i="4"/>
  <c r="I125" i="4"/>
  <c r="K125" i="4"/>
  <c r="J125" i="4"/>
  <c r="I124" i="4"/>
  <c r="K124" i="4"/>
  <c r="J124" i="4"/>
  <c r="I118" i="4"/>
  <c r="K118" i="4"/>
  <c r="J118" i="4"/>
  <c r="I117" i="4"/>
  <c r="K117" i="4"/>
  <c r="J117" i="4"/>
  <c r="I116" i="4"/>
  <c r="K116" i="4"/>
  <c r="J116" i="4"/>
  <c r="I115" i="4"/>
  <c r="K115" i="4"/>
  <c r="J115" i="4"/>
  <c r="I114" i="4"/>
  <c r="K114" i="4"/>
  <c r="J114" i="4"/>
  <c r="I108" i="4"/>
  <c r="K108" i="4"/>
  <c r="J108" i="4"/>
  <c r="I107" i="4"/>
  <c r="K107" i="4"/>
  <c r="J107" i="4"/>
  <c r="I106" i="4"/>
  <c r="K106" i="4"/>
  <c r="J106" i="4"/>
  <c r="I105" i="4"/>
  <c r="K105" i="4"/>
  <c r="J105" i="4"/>
  <c r="I104" i="4"/>
  <c r="K104" i="4"/>
  <c r="J104" i="4"/>
  <c r="I98" i="4"/>
  <c r="K98" i="4"/>
  <c r="J98" i="4"/>
  <c r="I97" i="4"/>
  <c r="K97" i="4"/>
  <c r="J97" i="4"/>
  <c r="I96" i="4"/>
  <c r="K96" i="4"/>
  <c r="J96" i="4"/>
  <c r="I95" i="4"/>
  <c r="K95" i="4"/>
  <c r="J95" i="4"/>
  <c r="I94" i="4"/>
  <c r="K94" i="4"/>
  <c r="J94" i="4"/>
  <c r="I88" i="4"/>
  <c r="K88" i="4"/>
  <c r="J88" i="4"/>
  <c r="I87" i="4"/>
  <c r="K87" i="4"/>
  <c r="J87" i="4"/>
  <c r="I86" i="4"/>
  <c r="K86" i="4"/>
  <c r="J86" i="4"/>
  <c r="I85" i="4"/>
  <c r="K85" i="4"/>
  <c r="J85" i="4"/>
  <c r="I84" i="4"/>
  <c r="K84" i="4"/>
  <c r="J84" i="4"/>
  <c r="I78" i="4"/>
  <c r="K78" i="4"/>
  <c r="J78" i="4"/>
  <c r="I77" i="4"/>
  <c r="K77" i="4"/>
  <c r="J77" i="4"/>
  <c r="I76" i="4"/>
  <c r="K76" i="4"/>
  <c r="J76" i="4"/>
  <c r="I75" i="4"/>
  <c r="K75" i="4"/>
  <c r="J75" i="4"/>
  <c r="I74" i="4"/>
  <c r="K74" i="4"/>
  <c r="J74" i="4"/>
  <c r="I68" i="4"/>
  <c r="K68" i="4"/>
  <c r="J68" i="4"/>
  <c r="I67" i="4"/>
  <c r="K67" i="4"/>
  <c r="J67" i="4"/>
  <c r="I66" i="4"/>
  <c r="K66" i="4"/>
  <c r="J66" i="4"/>
  <c r="I65" i="4"/>
  <c r="K65" i="4"/>
  <c r="J65" i="4"/>
  <c r="I64" i="4"/>
  <c r="K64" i="4"/>
  <c r="J64" i="4"/>
  <c r="I58" i="4"/>
  <c r="K58" i="4"/>
  <c r="J58" i="4"/>
  <c r="I57" i="4"/>
  <c r="K57" i="4"/>
  <c r="J57" i="4"/>
  <c r="I56" i="4"/>
  <c r="K56" i="4"/>
  <c r="J56" i="4"/>
  <c r="I55" i="4"/>
  <c r="K55" i="4"/>
  <c r="J55" i="4"/>
  <c r="I54" i="4"/>
  <c r="K54" i="4"/>
  <c r="J54" i="4"/>
  <c r="I48" i="4"/>
  <c r="K48" i="4"/>
  <c r="J48" i="4"/>
  <c r="I47" i="4"/>
  <c r="K47" i="4"/>
  <c r="J47" i="4"/>
  <c r="I46" i="4"/>
  <c r="K46" i="4"/>
  <c r="J46" i="4"/>
  <c r="I45" i="4"/>
  <c r="K45" i="4"/>
  <c r="J45" i="4"/>
  <c r="I44" i="4"/>
  <c r="K44" i="4"/>
  <c r="J44" i="4"/>
  <c r="I38" i="4"/>
  <c r="K38" i="4"/>
  <c r="J38" i="4"/>
  <c r="I37" i="4"/>
  <c r="K37" i="4"/>
  <c r="J37" i="4"/>
  <c r="I36" i="4"/>
  <c r="K36" i="4"/>
  <c r="J36" i="4"/>
  <c r="I35" i="4"/>
  <c r="K35" i="4"/>
  <c r="J35" i="4"/>
  <c r="I34" i="4"/>
  <c r="K34" i="4"/>
  <c r="J34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18" i="4"/>
  <c r="K18" i="4"/>
  <c r="J18" i="4"/>
  <c r="I17" i="4"/>
  <c r="K17" i="4"/>
  <c r="J17" i="4"/>
  <c r="I16" i="4"/>
  <c r="K16" i="4"/>
  <c r="J16" i="4"/>
  <c r="I15" i="4"/>
  <c r="K15" i="4"/>
  <c r="J15" i="4"/>
  <c r="I14" i="4"/>
  <c r="K14" i="4"/>
  <c r="J14" i="4"/>
  <c r="I8" i="4"/>
  <c r="K8" i="4"/>
  <c r="I7" i="4"/>
  <c r="K7" i="4"/>
  <c r="I6" i="4"/>
  <c r="K6" i="4"/>
  <c r="I5" i="4"/>
  <c r="K5" i="4"/>
  <c r="H18" i="1"/>
  <c r="C18" i="1"/>
  <c r="H24" i="1"/>
  <c r="F18" i="1"/>
  <c r="E18" i="1"/>
  <c r="D18" i="1"/>
  <c r="H4" i="4"/>
  <c r="J8" i="4"/>
  <c r="J7" i="4"/>
  <c r="J6" i="4"/>
  <c r="J5" i="4"/>
  <c r="J4" i="4"/>
</calcChain>
</file>

<file path=xl/sharedStrings.xml><?xml version="1.0" encoding="utf-8"?>
<sst xmlns="http://schemas.openxmlformats.org/spreadsheetml/2006/main" count="369" uniqueCount="118">
  <si>
    <t>项目分期</t>
    <phoneticPr fontId="4" type="noConversion"/>
  </si>
  <si>
    <t>名称</t>
  </si>
  <si>
    <t>软件价格
(赠送)</t>
    <phoneticPr fontId="6" type="noConversion"/>
  </si>
  <si>
    <t>金额（省本级）</t>
    <phoneticPr fontId="4" type="noConversion"/>
  </si>
  <si>
    <t>全省推广（中院）</t>
    <phoneticPr fontId="6" type="noConversion"/>
  </si>
  <si>
    <t>全省推广（基层法院）</t>
    <phoneticPr fontId="6" type="noConversion"/>
  </si>
  <si>
    <t>一期（资金）</t>
    <phoneticPr fontId="4" type="noConversion"/>
  </si>
  <si>
    <t>一、基础平台</t>
    <phoneticPr fontId="6" type="noConversion"/>
  </si>
  <si>
    <t>二、预算管理</t>
    <phoneticPr fontId="6" type="noConversion"/>
  </si>
  <si>
    <t>三、财务管理</t>
    <phoneticPr fontId="6" type="noConversion"/>
  </si>
  <si>
    <t>四、会计核算</t>
    <phoneticPr fontId="6" type="noConversion"/>
  </si>
  <si>
    <t>一期小计</t>
    <phoneticPr fontId="6" type="noConversion"/>
  </si>
  <si>
    <t>二期（物资）</t>
    <phoneticPr fontId="6" type="noConversion"/>
  </si>
  <si>
    <t>五、物资管理</t>
    <phoneticPr fontId="6" type="noConversion"/>
  </si>
  <si>
    <t>二期小计</t>
    <phoneticPr fontId="4" type="noConversion"/>
  </si>
  <si>
    <t>六、固定资产管理</t>
    <phoneticPr fontId="6" type="noConversion"/>
  </si>
  <si>
    <t>七、采购管理</t>
    <phoneticPr fontId="6" type="noConversion"/>
  </si>
  <si>
    <t>三期（物资）</t>
    <phoneticPr fontId="4" type="noConversion"/>
  </si>
  <si>
    <t>八、装备管理</t>
    <phoneticPr fontId="6" type="noConversion"/>
  </si>
  <si>
    <t>三期小计</t>
    <phoneticPr fontId="4" type="noConversion"/>
  </si>
  <si>
    <t>九、车辆管理</t>
    <phoneticPr fontId="6" type="noConversion"/>
  </si>
  <si>
    <t>四期（业务）</t>
    <phoneticPr fontId="6" type="noConversion"/>
  </si>
  <si>
    <t>四期小计</t>
    <phoneticPr fontId="4" type="noConversion"/>
  </si>
  <si>
    <t>十三、APP移动客户端</t>
    <phoneticPr fontId="6" type="noConversion"/>
  </si>
  <si>
    <t>合计：</t>
    <phoneticPr fontId="4" type="noConversion"/>
  </si>
  <si>
    <t>接口对接</t>
    <phoneticPr fontId="4" type="noConversion"/>
  </si>
  <si>
    <t>内容</t>
    <phoneticPr fontId="4" type="noConversion"/>
  </si>
  <si>
    <t>单价</t>
    <phoneticPr fontId="4" type="noConversion"/>
  </si>
  <si>
    <t>备注</t>
    <phoneticPr fontId="4" type="noConversion"/>
  </si>
  <si>
    <t>数量</t>
    <phoneticPr fontId="4" type="noConversion"/>
  </si>
  <si>
    <t>六大银行（中，工，建，交，农，邮）</t>
    <phoneticPr fontId="4" type="noConversion"/>
  </si>
  <si>
    <t>其它银行及金融机构</t>
    <phoneticPr fontId="4" type="noConversion"/>
  </si>
  <si>
    <t xml:space="preserve">其它软件系统 </t>
    <phoneticPr fontId="4" type="noConversion"/>
  </si>
  <si>
    <t>根据工作量评估后报价</t>
    <phoneticPr fontId="4" type="noConversion"/>
  </si>
  <si>
    <t>小计：</t>
    <phoneticPr fontId="4" type="noConversion"/>
  </si>
  <si>
    <t>总计</t>
    <phoneticPr fontId="4" type="noConversion"/>
  </si>
  <si>
    <t>十、案款管理</t>
    <phoneticPr fontId="6" type="noConversion"/>
  </si>
  <si>
    <t>十一、诉讼费管理</t>
    <rPh sb="1" eb="2">
      <t>yi</t>
    </rPh>
    <phoneticPr fontId="6" type="noConversion"/>
  </si>
  <si>
    <t>十二、决算管理</t>
    <rPh sb="1" eb="2">
      <t>er</t>
    </rPh>
    <phoneticPr fontId="6" type="noConversion"/>
  </si>
  <si>
    <t>系统二次开发</t>
    <rPh sb="0" eb="1">
      <t>x't</t>
    </rPh>
    <rPh sb="2" eb="3">
      <t>er'ci</t>
    </rPh>
    <rPh sb="4" eb="5">
      <t>kai'fa</t>
    </rPh>
    <phoneticPr fontId="4" type="noConversion"/>
  </si>
  <si>
    <t>系统全模块</t>
    <rPh sb="0" eb="1">
      <t>x't</t>
    </rPh>
    <rPh sb="2" eb="3">
      <t>quan</t>
    </rPh>
    <rPh sb="3" eb="4">
      <t>mo'k</t>
    </rPh>
    <phoneticPr fontId="4" type="noConversion"/>
  </si>
  <si>
    <t>137家</t>
    <rPh sb="3" eb="4">
      <t>jia</t>
    </rPh>
    <phoneticPr fontId="4" type="noConversion"/>
  </si>
  <si>
    <t>初始化</t>
    <rPh sb="0" eb="1">
      <t>chu'shi'h</t>
    </rPh>
    <phoneticPr fontId="4" type="noConversion"/>
  </si>
  <si>
    <t>需求调研</t>
    <rPh sb="0" eb="1">
      <t>xu'qiu</t>
    </rPh>
    <rPh sb="2" eb="3">
      <t>diao'y</t>
    </rPh>
    <phoneticPr fontId="4" type="noConversion"/>
  </si>
  <si>
    <t>培训</t>
    <rPh sb="0" eb="1">
      <t>pei'xun</t>
    </rPh>
    <phoneticPr fontId="4" type="noConversion"/>
  </si>
  <si>
    <t>运维</t>
    <rPh sb="0" eb="1">
      <t>yun'wei</t>
    </rPh>
    <phoneticPr fontId="4" type="noConversion"/>
  </si>
  <si>
    <t>实施部署（含本地化修改）</t>
    <rPh sb="0" eb="1">
      <t>s's</t>
    </rPh>
    <rPh sb="2" eb="3">
      <t>bu's</t>
    </rPh>
    <rPh sb="5" eb="6">
      <t>han</t>
    </rPh>
    <rPh sb="6" eb="7">
      <t>ben'di'hua</t>
    </rPh>
    <rPh sb="9" eb="10">
      <t>xiu'ga</t>
    </rPh>
    <phoneticPr fontId="4" type="noConversion"/>
  </si>
  <si>
    <t>序号</t>
  </si>
  <si>
    <t>工作内容</t>
  </si>
  <si>
    <t>人员数量</t>
  </si>
  <si>
    <t>工作量（小时）</t>
  </si>
  <si>
    <t>系统初始化需求调研</t>
  </si>
  <si>
    <t>系统数据初始化</t>
  </si>
  <si>
    <t>系统部署上线</t>
  </si>
  <si>
    <t>系统培训</t>
  </si>
  <si>
    <t>系统维护</t>
  </si>
  <si>
    <t>工作量（天）</t>
    <rPh sb="0" eb="1">
      <t>gong'z'l</t>
    </rPh>
    <rPh sb="4" eb="5">
      <t>tian</t>
    </rPh>
    <phoneticPr fontId="4" type="noConversion"/>
  </si>
  <si>
    <t>工作量（人均天）</t>
    <rPh sb="0" eb="1">
      <t>gong'z'l</t>
    </rPh>
    <rPh sb="4" eb="5">
      <t>ren'jun</t>
    </rPh>
    <rPh sb="6" eb="7">
      <t>tian</t>
    </rPh>
    <phoneticPr fontId="4" type="noConversion"/>
  </si>
  <si>
    <t>人均单位成本（小时）</t>
    <rPh sb="0" eb="1">
      <t>ren'jun</t>
    </rPh>
    <rPh sb="2" eb="3">
      <t>dan'wei</t>
    </rPh>
    <rPh sb="4" eb="5">
      <t>cheng'ben</t>
    </rPh>
    <rPh sb="7" eb="8">
      <t>xiao'shi</t>
    </rPh>
    <phoneticPr fontId="4" type="noConversion"/>
  </si>
  <si>
    <t>总天数</t>
    <rPh sb="0" eb="1">
      <t>zong</t>
    </rPh>
    <rPh sb="1" eb="2">
      <t>tian's</t>
    </rPh>
    <phoneticPr fontId="4" type="noConversion"/>
  </si>
  <si>
    <t>六、固定资产管理</t>
  </si>
  <si>
    <t>二、预算管理</t>
  </si>
  <si>
    <t>三、财务管理</t>
  </si>
  <si>
    <t>四、会计核算</t>
  </si>
  <si>
    <t>一、基础平台</t>
  </si>
  <si>
    <t>五、物资管理</t>
  </si>
  <si>
    <t>七、采购管理</t>
  </si>
  <si>
    <t>八、装备管理</t>
  </si>
  <si>
    <t>九、车辆管理</t>
  </si>
  <si>
    <t>十、案款管理</t>
  </si>
  <si>
    <t>十三、APP移动客户端</t>
  </si>
  <si>
    <t>需求调研</t>
    <rPh sb="0" eb="1">
      <t>xu'qiu</t>
    </rPh>
    <rPh sb="2" eb="3">
      <t>diao'y</t>
    </rPh>
    <phoneticPr fontId="6" type="noConversion"/>
  </si>
  <si>
    <t>合计（元）</t>
    <rPh sb="0" eb="1">
      <t>he'ji</t>
    </rPh>
    <rPh sb="3" eb="4">
      <t>yuan</t>
    </rPh>
    <phoneticPr fontId="6" type="noConversion"/>
  </si>
  <si>
    <t>系统初始化</t>
    <rPh sb="0" eb="1">
      <t>x't</t>
    </rPh>
    <rPh sb="2" eb="3">
      <t>chu'shi'h</t>
    </rPh>
    <phoneticPr fontId="6" type="noConversion"/>
  </si>
  <si>
    <t>系统实施部署（含本地化修改）</t>
    <rPh sb="0" eb="1">
      <t>x't</t>
    </rPh>
    <rPh sb="2" eb="3">
      <t>s's</t>
    </rPh>
    <rPh sb="4" eb="5">
      <t>bu's</t>
    </rPh>
    <rPh sb="7" eb="8">
      <t>han</t>
    </rPh>
    <rPh sb="8" eb="9">
      <t>ben'di'hua</t>
    </rPh>
    <rPh sb="11" eb="12">
      <t>xiu'ga</t>
    </rPh>
    <phoneticPr fontId="6" type="noConversion"/>
  </si>
  <si>
    <t>系统培训</t>
    <rPh sb="0" eb="1">
      <t>x't</t>
    </rPh>
    <rPh sb="2" eb="3">
      <t>pei'xun</t>
    </rPh>
    <phoneticPr fontId="6" type="noConversion"/>
  </si>
  <si>
    <t>全省系统运维</t>
    <rPh sb="0" eb="1">
      <t>qusn's</t>
    </rPh>
    <rPh sb="2" eb="3">
      <t>x't</t>
    </rPh>
    <rPh sb="4" eb="5">
      <t>yun'wei</t>
    </rPh>
    <phoneticPr fontId="6" type="noConversion"/>
  </si>
  <si>
    <t>系统调研</t>
    <rPh sb="0" eb="1">
      <t>xi'tong</t>
    </rPh>
    <rPh sb="2" eb="3">
      <t>diao'yan</t>
    </rPh>
    <phoneticPr fontId="4" type="noConversion"/>
  </si>
  <si>
    <t>初始化设计</t>
    <rPh sb="0" eb="1">
      <t>chu'shi'hua</t>
    </rPh>
    <rPh sb="3" eb="4">
      <t>she'ji</t>
    </rPh>
    <phoneticPr fontId="4" type="noConversion"/>
  </si>
  <si>
    <t>本地化</t>
    <rPh sb="0" eb="1">
      <t>ben'di'hua</t>
    </rPh>
    <phoneticPr fontId="4" type="noConversion"/>
  </si>
  <si>
    <t>总额</t>
    <rPh sb="0" eb="1">
      <t>zong'e</t>
    </rPh>
    <phoneticPr fontId="4" type="noConversion"/>
  </si>
  <si>
    <t>二次开发</t>
    <rPh sb="0" eb="1">
      <t>er'ci</t>
    </rPh>
    <rPh sb="2" eb="3">
      <t>kai'fa</t>
    </rPh>
    <phoneticPr fontId="4" type="noConversion"/>
  </si>
  <si>
    <t>总计</t>
    <rPh sb="0" eb="1">
      <t>zong'ji</t>
    </rPh>
    <phoneticPr fontId="4" type="noConversion"/>
  </si>
  <si>
    <t>工作量（小时）</t>
    <rPh sb="4" eb="5">
      <t>xiao'shi</t>
    </rPh>
    <phoneticPr fontId="4" type="noConversion"/>
  </si>
  <si>
    <t>省份</t>
    <phoneticPr fontId="4" type="noConversion"/>
  </si>
  <si>
    <t>省级数量</t>
    <phoneticPr fontId="4" type="noConversion"/>
  </si>
  <si>
    <t>市级数量</t>
    <phoneticPr fontId="4" type="noConversion"/>
  </si>
  <si>
    <t>基层数量</t>
    <phoneticPr fontId="4" type="noConversion"/>
  </si>
  <si>
    <t>江苏</t>
    <phoneticPr fontId="4" type="noConversion"/>
  </si>
  <si>
    <t>云南</t>
    <phoneticPr fontId="4" type="noConversion"/>
  </si>
  <si>
    <t>吉林</t>
    <phoneticPr fontId="4" type="noConversion"/>
  </si>
  <si>
    <t>四川</t>
    <phoneticPr fontId="4" type="noConversion"/>
  </si>
  <si>
    <t>宁夏</t>
    <phoneticPr fontId="4" type="noConversion"/>
  </si>
  <si>
    <t>山东</t>
    <phoneticPr fontId="4" type="noConversion"/>
  </si>
  <si>
    <t>湖南</t>
    <rPh sb="0" eb="1">
      <t>hu'nan</t>
    </rPh>
    <phoneticPr fontId="4" type="noConversion"/>
  </si>
  <si>
    <t>青海</t>
    <rPh sb="0" eb="1">
      <t>qing'h</t>
    </rPh>
    <phoneticPr fontId="4" type="noConversion"/>
  </si>
  <si>
    <t>小计</t>
    <rPh sb="0" eb="1">
      <t>xiao'ji</t>
    </rPh>
    <phoneticPr fontId="4" type="noConversion"/>
  </si>
  <si>
    <t>合计</t>
    <rPh sb="0" eb="1">
      <t>he'ji</t>
    </rPh>
    <phoneticPr fontId="4" type="noConversion"/>
  </si>
  <si>
    <t>报价</t>
    <rPh sb="0" eb="1">
      <t>bao'jia</t>
    </rPh>
    <phoneticPr fontId="4" type="noConversion"/>
  </si>
  <si>
    <t>报价函</t>
    <rPh sb="0" eb="1">
      <t>bao'jia</t>
    </rPh>
    <rPh sb="2" eb="3">
      <t>han</t>
    </rPh>
    <phoneticPr fontId="4" type="noConversion"/>
  </si>
  <si>
    <t>报价函(万元)</t>
    <rPh sb="0" eb="1">
      <t>bao'jia</t>
    </rPh>
    <rPh sb="2" eb="3">
      <t>han</t>
    </rPh>
    <rPh sb="4" eb="5">
      <t>wan'yuan</t>
    </rPh>
    <phoneticPr fontId="4" type="noConversion"/>
  </si>
  <si>
    <t>调整</t>
    <rPh sb="0" eb="1">
      <t>tiao'zheng</t>
    </rPh>
    <phoneticPr fontId="4" type="noConversion"/>
  </si>
  <si>
    <t>不包含运维费用小计</t>
    <rPh sb="0" eb="1">
      <t>bu</t>
    </rPh>
    <rPh sb="1" eb="2">
      <t>bao'han</t>
    </rPh>
    <rPh sb="3" eb="4">
      <t>yun'wei</t>
    </rPh>
    <rPh sb="5" eb="6">
      <t>fei'yong</t>
    </rPh>
    <rPh sb="7" eb="8">
      <t>xiao'ji</t>
    </rPh>
    <phoneticPr fontId="4" type="noConversion"/>
  </si>
  <si>
    <t>建议费用</t>
    <rPh sb="0" eb="1">
      <t>jian'yi</t>
    </rPh>
    <rPh sb="2" eb="3">
      <t>fei'yong</t>
    </rPh>
    <phoneticPr fontId="4" type="noConversion"/>
  </si>
  <si>
    <t>一、基础平台</t>
    <phoneticPr fontId="6" type="noConversion"/>
  </si>
  <si>
    <t>二、预算管理</t>
    <phoneticPr fontId="6" type="noConversion"/>
  </si>
  <si>
    <t>三、财务管理</t>
    <phoneticPr fontId="6" type="noConversion"/>
  </si>
  <si>
    <t>四、会计核算</t>
    <phoneticPr fontId="6" type="noConversion"/>
  </si>
  <si>
    <t>五、物资管理</t>
    <phoneticPr fontId="6" type="noConversion"/>
  </si>
  <si>
    <t>六、固定资产管理</t>
    <phoneticPr fontId="6" type="noConversion"/>
  </si>
  <si>
    <t>七、采购管理</t>
    <phoneticPr fontId="6" type="noConversion"/>
  </si>
  <si>
    <t>八、装备管理</t>
    <phoneticPr fontId="6" type="noConversion"/>
  </si>
  <si>
    <t>九、车辆管理</t>
    <phoneticPr fontId="6" type="noConversion"/>
  </si>
  <si>
    <t>十、案款管理</t>
    <phoneticPr fontId="6" type="noConversion"/>
  </si>
  <si>
    <t>十三、APP移动客户端</t>
    <phoneticPr fontId="6" type="noConversion"/>
  </si>
  <si>
    <t>元</t>
  </si>
  <si>
    <t>计价单位</t>
    <rPh sb="0" eb="1">
      <t>ji'jia</t>
    </rPh>
    <rPh sb="2" eb="3">
      <t>dan'wie</t>
    </rPh>
    <phoneticPr fontId="4" type="noConversion"/>
  </si>
  <si>
    <t>江苏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</si>
</sst>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* #,##0.00_ ;_ * \-#,##0.00_ ;_ * &quot;-&quot;??_ ;_ @_ "/>
    <numFmt numFmtId="177" formatCode="_ * #,##0_ ;_ * \-#,##0_ ;_ * &quot;-&quot;??_ ;_ @_ "/>
    <numFmt numFmtId="178" formatCode="&quot;¥&quot;#,##0.00"/>
    <numFmt numFmtId="179" formatCode="&quot;¥&quot;#,##0"/>
  </numFmts>
  <fonts count="25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2"/>
      <name val="宋体"/>
      <family val="3"/>
      <charset val="134"/>
    </font>
    <font>
      <b/>
      <sz val="14"/>
      <name val="黑体"/>
      <family val="3"/>
      <charset val="134"/>
    </font>
    <font>
      <sz val="9"/>
      <name val="DengXian"/>
      <family val="2"/>
      <charset val="134"/>
      <scheme val="minor"/>
    </font>
    <font>
      <sz val="12"/>
      <name val="黑体"/>
      <family val="3"/>
      <charset val="134"/>
    </font>
    <font>
      <sz val="9"/>
      <name val="宋体"/>
      <family val="3"/>
      <charset val="134"/>
    </font>
    <font>
      <sz val="12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color theme="1"/>
      <name val="黑体"/>
      <family val="3"/>
      <charset val="134"/>
    </font>
    <font>
      <sz val="14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14"/>
      <color rgb="FFFF0000"/>
      <name val="仿宋"/>
      <family val="3"/>
      <charset val="134"/>
    </font>
    <font>
      <b/>
      <sz val="14"/>
      <name val="仿宋"/>
      <family val="3"/>
      <charset val="134"/>
    </font>
    <font>
      <b/>
      <sz val="18"/>
      <color theme="1"/>
      <name val="DengXian"/>
      <family val="3"/>
      <charset val="134"/>
      <scheme val="minor"/>
    </font>
    <font>
      <sz val="18"/>
      <color theme="1"/>
      <name val="DengXian"/>
      <family val="3"/>
      <charset val="134"/>
      <scheme val="minor"/>
    </font>
    <font>
      <sz val="18"/>
      <color theme="1"/>
      <name val="Abadi MT Condensed Extra Bold"/>
    </font>
    <font>
      <sz val="11"/>
      <color rgb="FFFF0000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/>
    <xf numFmtId="176" fontId="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5" fillId="2" borderId="1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vertical="center"/>
    </xf>
    <xf numFmtId="177" fontId="8" fillId="3" borderId="1" xfId="3" applyNumberFormat="1" applyFont="1" applyFill="1" applyBorder="1" applyAlignment="1">
      <alignment horizontal="center" vertical="center"/>
    </xf>
    <xf numFmtId="38" fontId="9" fillId="0" borderId="1" xfId="1" applyNumberFormat="1" applyFont="1" applyFill="1" applyBorder="1" applyAlignment="1">
      <alignment horizontal="center" vertical="center"/>
    </xf>
    <xf numFmtId="38" fontId="10" fillId="0" borderId="1" xfId="1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vertical="center"/>
    </xf>
    <xf numFmtId="177" fontId="9" fillId="4" borderId="1" xfId="3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vertical="center"/>
    </xf>
    <xf numFmtId="177" fontId="9" fillId="5" borderId="1" xfId="3" applyNumberFormat="1" applyFont="1" applyFill="1" applyBorder="1" applyAlignment="1">
      <alignment horizontal="center" vertical="center"/>
    </xf>
    <xf numFmtId="0" fontId="5" fillId="6" borderId="1" xfId="2" applyFont="1" applyFill="1" applyBorder="1" applyAlignment="1">
      <alignment vertical="center"/>
    </xf>
    <xf numFmtId="177" fontId="9" fillId="6" borderId="1" xfId="3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38" fontId="12" fillId="0" borderId="2" xfId="1" applyNumberFormat="1" applyFont="1" applyFill="1" applyBorder="1" applyAlignment="1">
      <alignment horizontal="center" vertical="center"/>
    </xf>
    <xf numFmtId="38" fontId="12" fillId="7" borderId="2" xfId="1" applyNumberFormat="1" applyFont="1" applyFill="1" applyBorder="1" applyAlignment="1">
      <alignment horizontal="center" vertical="center"/>
    </xf>
    <xf numFmtId="38" fontId="12" fillId="0" borderId="2" xfId="1" applyNumberFormat="1" applyFont="1" applyFill="1" applyBorder="1" applyAlignment="1">
      <alignment horizontal="right" vertical="center"/>
    </xf>
    <xf numFmtId="0" fontId="1" fillId="0" borderId="0" xfId="0" applyFont="1">
      <alignment vertical="center"/>
    </xf>
    <xf numFmtId="38" fontId="8" fillId="8" borderId="1" xfId="1" applyNumberFormat="1" applyFont="1" applyFill="1" applyBorder="1" applyAlignment="1">
      <alignment horizontal="center" vertical="center"/>
    </xf>
    <xf numFmtId="38" fontId="12" fillId="8" borderId="1" xfId="1" applyNumberFormat="1" applyFont="1" applyFill="1" applyBorder="1" applyAlignment="1">
      <alignment horizontal="center" vertical="center"/>
    </xf>
    <xf numFmtId="38" fontId="8" fillId="8" borderId="1" xfId="1" applyNumberFormat="1" applyFont="1" applyFill="1" applyBorder="1" applyAlignment="1">
      <alignment vertical="center"/>
    </xf>
    <xf numFmtId="38" fontId="9" fillId="0" borderId="3" xfId="1" applyNumberFormat="1" applyFont="1" applyFill="1" applyBorder="1" applyAlignment="1">
      <alignment horizontal="center" vertical="center"/>
    </xf>
    <xf numFmtId="38" fontId="10" fillId="0" borderId="3" xfId="1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1" xfId="0" applyBorder="1">
      <alignment vertical="center"/>
    </xf>
    <xf numFmtId="179" fontId="9" fillId="0" borderId="1" xfId="1" applyNumberFormat="1" applyFont="1" applyFill="1" applyBorder="1" applyAlignment="1">
      <alignment horizontal="center" vertical="center"/>
    </xf>
    <xf numFmtId="179" fontId="9" fillId="0" borderId="3" xfId="1" applyNumberFormat="1" applyFont="1" applyFill="1" applyBorder="1" applyAlignment="1">
      <alignment horizontal="center" vertical="center"/>
    </xf>
    <xf numFmtId="179" fontId="12" fillId="0" borderId="2" xfId="1" applyNumberFormat="1" applyFont="1" applyFill="1" applyBorder="1" applyAlignment="1">
      <alignment horizontal="center" vertical="center"/>
    </xf>
    <xf numFmtId="179" fontId="12" fillId="0" borderId="1" xfId="1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15" fillId="0" borderId="0" xfId="0" applyFont="1">
      <alignment vertical="center"/>
    </xf>
    <xf numFmtId="0" fontId="15" fillId="3" borderId="1" xfId="2" applyFont="1" applyFill="1" applyBorder="1" applyAlignment="1">
      <alignment vertical="center"/>
    </xf>
    <xf numFmtId="0" fontId="17" fillId="0" borderId="0" xfId="0" applyFo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5" fillId="0" borderId="0" xfId="0" applyFont="1" applyAlignment="1">
      <alignment horizontal="center" vertical="center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178" fontId="8" fillId="0" borderId="1" xfId="0" applyNumberFormat="1" applyFont="1" applyBorder="1">
      <alignment vertical="center"/>
    </xf>
    <xf numFmtId="38" fontId="9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20" fillId="0" borderId="1" xfId="0" applyFont="1" applyBorder="1">
      <alignment vertical="center"/>
    </xf>
    <xf numFmtId="178" fontId="1" fillId="0" borderId="0" xfId="0" applyNumberFormat="1" applyFont="1">
      <alignment vertical="center"/>
    </xf>
    <xf numFmtId="38" fontId="1" fillId="0" borderId="0" xfId="0" applyNumberFormat="1" applyFont="1">
      <alignment vertical="center"/>
    </xf>
    <xf numFmtId="0" fontId="0" fillId="11" borderId="1" xfId="0" applyFill="1" applyBorder="1">
      <alignment vertical="center"/>
    </xf>
    <xf numFmtId="0" fontId="5" fillId="6" borderId="2" xfId="2" applyFont="1" applyFill="1" applyBorder="1" applyAlignment="1">
      <alignment vertical="center"/>
    </xf>
    <xf numFmtId="177" fontId="9" fillId="6" borderId="2" xfId="3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>
      <alignment vertical="center"/>
    </xf>
    <xf numFmtId="0" fontId="0" fillId="0" borderId="0" xfId="0" applyFill="1">
      <alignment vertical="center"/>
    </xf>
    <xf numFmtId="0" fontId="5" fillId="9" borderId="3" xfId="2" applyFont="1" applyFill="1" applyBorder="1" applyAlignment="1">
      <alignment vertical="center"/>
    </xf>
    <xf numFmtId="177" fontId="9" fillId="9" borderId="3" xfId="3" applyNumberFormat="1" applyFont="1" applyFill="1" applyBorder="1" applyAlignment="1">
      <alignment horizontal="center" vertical="center"/>
    </xf>
    <xf numFmtId="38" fontId="10" fillId="8" borderId="1" xfId="1" applyNumberFormat="1" applyFont="1" applyFill="1" applyBorder="1" applyAlignment="1">
      <alignment horizontal="center" vertical="center"/>
    </xf>
    <xf numFmtId="179" fontId="9" fillId="8" borderId="1" xfId="1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8" borderId="1" xfId="2" applyFont="1" applyFill="1" applyBorder="1" applyAlignment="1">
      <alignment vertical="center"/>
    </xf>
    <xf numFmtId="177" fontId="9" fillId="8" borderId="1" xfId="3" applyNumberFormat="1" applyFont="1" applyFill="1" applyBorder="1" applyAlignment="1">
      <alignment horizontal="center" vertical="center"/>
    </xf>
    <xf numFmtId="38" fontId="9" fillId="8" borderId="1" xfId="1" applyNumberFormat="1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9" borderId="1" xfId="0" applyFill="1" applyBorder="1">
      <alignment vertical="center"/>
    </xf>
    <xf numFmtId="0" fontId="0" fillId="8" borderId="7" xfId="0" applyFill="1" applyBorder="1">
      <alignment vertical="center"/>
    </xf>
    <xf numFmtId="0" fontId="21" fillId="0" borderId="1" xfId="0" applyFont="1" applyFill="1" applyBorder="1">
      <alignment vertical="center"/>
    </xf>
    <xf numFmtId="0" fontId="16" fillId="0" borderId="1" xfId="0" applyFont="1" applyFill="1" applyBorder="1">
      <alignment vertical="center"/>
    </xf>
    <xf numFmtId="0" fontId="15" fillId="10" borderId="1" xfId="0" applyFont="1" applyFill="1" applyBorder="1">
      <alignment vertical="center"/>
    </xf>
    <xf numFmtId="0" fontId="15" fillId="0" borderId="0" xfId="0" applyNumberFormat="1" applyFont="1">
      <alignment vertical="center"/>
    </xf>
    <xf numFmtId="178" fontId="8" fillId="11" borderId="1" xfId="0" applyNumberFormat="1" applyFont="1" applyFill="1" applyBorder="1">
      <alignment vertical="center"/>
    </xf>
    <xf numFmtId="0" fontId="0" fillId="12" borderId="1" xfId="0" applyFill="1" applyBorder="1">
      <alignment vertical="center"/>
    </xf>
    <xf numFmtId="178" fontId="0" fillId="12" borderId="1" xfId="0" applyNumberFormat="1" applyFont="1" applyFill="1" applyBorder="1">
      <alignment vertical="center"/>
    </xf>
    <xf numFmtId="10" fontId="0" fillId="12" borderId="1" xfId="0" applyNumberFormat="1" applyFill="1" applyBorder="1">
      <alignment vertical="center"/>
    </xf>
    <xf numFmtId="0" fontId="0" fillId="12" borderId="1" xfId="0" applyNumberFormat="1" applyFill="1" applyBorder="1">
      <alignment vertical="center"/>
    </xf>
    <xf numFmtId="10" fontId="0" fillId="12" borderId="1" xfId="0" applyNumberFormat="1" applyFill="1" applyBorder="1" applyAlignment="1">
      <alignment horizontal="right" vertical="center"/>
    </xf>
    <xf numFmtId="0" fontId="22" fillId="8" borderId="0" xfId="0" applyFont="1" applyFill="1" applyBorder="1">
      <alignment vertical="center"/>
    </xf>
    <xf numFmtId="0" fontId="0" fillId="8" borderId="9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1" fillId="0" borderId="5" xfId="2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0" fontId="11" fillId="0" borderId="7" xfId="2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7" fillId="8" borderId="1" xfId="2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8" fontId="8" fillId="8" borderId="1" xfId="1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3" fillId="8" borderId="5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left" vertical="center"/>
    </xf>
    <xf numFmtId="38" fontId="9" fillId="0" borderId="2" xfId="1" applyNumberFormat="1" applyFont="1" applyFill="1" applyBorder="1" applyAlignment="1">
      <alignment horizontal="center" vertical="center"/>
    </xf>
    <xf numFmtId="38" fontId="9" fillId="0" borderId="3" xfId="1" applyNumberFormat="1" applyFont="1" applyFill="1" applyBorder="1" applyAlignment="1">
      <alignment horizontal="center" vertical="center"/>
    </xf>
    <xf numFmtId="38" fontId="10" fillId="0" borderId="2" xfId="1" applyNumberFormat="1" applyFont="1" applyFill="1" applyBorder="1" applyAlignment="1">
      <alignment horizontal="center" vertical="center"/>
    </xf>
    <xf numFmtId="38" fontId="10" fillId="0" borderId="3" xfId="1" applyNumberFormat="1" applyFont="1" applyFill="1" applyBorder="1" applyAlignment="1">
      <alignment horizontal="center" vertical="center"/>
    </xf>
    <xf numFmtId="179" fontId="9" fillId="0" borderId="2" xfId="1" applyNumberFormat="1" applyFont="1" applyFill="1" applyBorder="1" applyAlignment="1">
      <alignment horizontal="center" vertical="center"/>
    </xf>
    <xf numFmtId="179" fontId="9" fillId="0" borderId="3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38" fontId="3" fillId="0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38" fontId="9" fillId="0" borderId="1" xfId="1" applyNumberFormat="1" applyFont="1" applyFill="1" applyBorder="1" applyAlignment="1">
      <alignment horizontal="center" vertical="center"/>
    </xf>
    <xf numFmtId="38" fontId="9" fillId="0" borderId="4" xfId="1" applyNumberFormat="1" applyFont="1" applyFill="1" applyBorder="1" applyAlignment="1">
      <alignment horizontal="center" vertical="center"/>
    </xf>
    <xf numFmtId="179" fontId="9" fillId="0" borderId="4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8" fontId="10" fillId="0" borderId="4" xfId="1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5" fillId="0" borderId="8" xfId="0" applyFont="1" applyBorder="1" applyAlignment="1">
      <alignment horizontal="center" vertical="center"/>
    </xf>
  </cellXfs>
  <cellStyles count="12">
    <cellStyle name="常规" xfId="0" builtinId="0"/>
    <cellStyle name="常规_Sheet1" xfId="2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千位分隔_Sheet1" xfId="1"/>
    <cellStyle name="千位分隔_Sheet1_1" xfId="3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O36"/>
  <sheetViews>
    <sheetView tabSelected="1" zoomScale="130" zoomScaleNormal="130" zoomScalePageLayoutView="130" workbookViewId="0">
      <selection activeCell="P10" sqref="P10"/>
    </sheetView>
  </sheetViews>
  <sheetFormatPr baseColWidth="10" defaultColWidth="8.83203125" defaultRowHeight="15" x14ac:dyDescent="0.2"/>
  <cols>
    <col min="1" max="1" width="15.1640625" customWidth="1"/>
    <col min="2" max="2" width="21.6640625" customWidth="1"/>
    <col min="3" max="3" width="10.83203125" customWidth="1"/>
    <col min="4" max="4" width="9.5" bestFit="1" customWidth="1"/>
    <col min="5" max="5" width="7.5" bestFit="1" customWidth="1"/>
    <col min="6" max="6" width="9.5" bestFit="1" customWidth="1"/>
    <col min="7" max="7" width="8.1640625" bestFit="1" customWidth="1"/>
    <col min="8" max="8" width="11.5" bestFit="1" customWidth="1"/>
    <col min="9" max="9" width="9.83203125" hidden="1" customWidth="1"/>
    <col min="10" max="10" width="11.5" hidden="1" customWidth="1"/>
    <col min="11" max="11" width="16.5" hidden="1" customWidth="1"/>
    <col min="12" max="13" width="12.33203125" hidden="1" customWidth="1"/>
  </cols>
  <sheetData>
    <row r="1" spans="1:13" ht="17" x14ac:dyDescent="0.2">
      <c r="A1" s="103" t="str">
        <f>G2&amp;"省司法行政综合管理系统二次开发、实施部署、培训、运维报价确认函（全省"&amp;SUM(G3:G5)&amp;"家）"</f>
        <v>江苏省司法行政综合管理系统二次开发、实施部署、培训、运维报价确认函（全省121家）</v>
      </c>
      <c r="B1" s="103"/>
      <c r="C1" s="103"/>
      <c r="D1" s="103"/>
      <c r="E1" s="103"/>
      <c r="F1" s="103"/>
      <c r="G1" s="103"/>
      <c r="H1" s="103"/>
    </row>
    <row r="2" spans="1:13" ht="52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117</v>
      </c>
      <c r="H2" s="1" t="s">
        <v>72</v>
      </c>
      <c r="I2" s="1" t="s">
        <v>71</v>
      </c>
      <c r="J2" s="1" t="s">
        <v>73</v>
      </c>
      <c r="K2" s="1" t="s">
        <v>74</v>
      </c>
      <c r="L2" s="1" t="s">
        <v>75</v>
      </c>
      <c r="M2" s="1" t="s">
        <v>76</v>
      </c>
    </row>
    <row r="3" spans="1:13" x14ac:dyDescent="0.2">
      <c r="A3" s="104" t="s">
        <v>6</v>
      </c>
      <c r="B3" s="2" t="s">
        <v>7</v>
      </c>
      <c r="C3" s="3">
        <v>350000</v>
      </c>
      <c r="D3" s="106">
        <f>880000*0.64</f>
        <v>563200</v>
      </c>
      <c r="E3" s="106">
        <f>60000*0.4</f>
        <v>24000</v>
      </c>
      <c r="F3" s="95">
        <f>36000*0.4</f>
        <v>14400</v>
      </c>
      <c r="G3" s="4">
        <f>VLOOKUP(G$2,各省单位数!A:D,2,FALSE)</f>
        <v>1</v>
      </c>
      <c r="H3" s="25">
        <f>D3*G3</f>
        <v>563200</v>
      </c>
      <c r="I3" s="46">
        <f>各模块详细工作量测算!F4*80</f>
        <v>26880</v>
      </c>
      <c r="J3" s="46">
        <f>各模块详细工作量测算!F5*80</f>
        <v>67200</v>
      </c>
      <c r="K3" s="46">
        <f>各模块详细工作量测算!F6*80</f>
        <v>164480</v>
      </c>
      <c r="L3" s="46">
        <f>各模块详细工作量测算!F7*80</f>
        <v>74880</v>
      </c>
      <c r="M3" s="46">
        <f>各模块详细工作量测算!F8*80</f>
        <v>335360</v>
      </c>
    </row>
    <row r="4" spans="1:13" x14ac:dyDescent="0.2">
      <c r="A4" s="105"/>
      <c r="B4" s="2" t="s">
        <v>8</v>
      </c>
      <c r="C4" s="3">
        <v>200000</v>
      </c>
      <c r="D4" s="106"/>
      <c r="E4" s="106"/>
      <c r="F4" s="96"/>
      <c r="G4" s="47">
        <f>VLOOKUP(G$2,各省单位数!A:D,3,FALSE)</f>
        <v>13</v>
      </c>
      <c r="H4" s="25">
        <f>E3*G4</f>
        <v>312000</v>
      </c>
      <c r="I4" s="46">
        <f>各模块详细工作量测算!F14*80</f>
        <v>15360</v>
      </c>
      <c r="J4" s="46">
        <f>各模块详细工作量测算!F15*80</f>
        <v>38400</v>
      </c>
      <c r="K4" s="46">
        <f>各模块详细工作量测算!F16*80</f>
        <v>94080</v>
      </c>
      <c r="L4" s="46">
        <f>各模块详细工作量测算!F17*80</f>
        <v>42880</v>
      </c>
      <c r="M4" s="46">
        <f>各模块详细工作量测算!F18*80</f>
        <v>191360</v>
      </c>
    </row>
    <row r="5" spans="1:13" x14ac:dyDescent="0.2">
      <c r="A5" s="105"/>
      <c r="B5" s="2" t="s">
        <v>9</v>
      </c>
      <c r="C5" s="3">
        <v>300000</v>
      </c>
      <c r="D5" s="106"/>
      <c r="E5" s="106"/>
      <c r="F5" s="96"/>
      <c r="G5" s="47">
        <f>VLOOKUP(G$2,各省单位数!A:D,4,FALSE)</f>
        <v>107</v>
      </c>
      <c r="H5" s="25">
        <f>F3*G5</f>
        <v>1540800</v>
      </c>
      <c r="I5" s="46">
        <f>各模块详细工作量测算!F24*80</f>
        <v>23040</v>
      </c>
      <c r="J5" s="46">
        <f>各模块详细工作量测算!F25*80</f>
        <v>57600</v>
      </c>
      <c r="K5" s="46">
        <f>各模块详细工作量测算!F26*80</f>
        <v>140160</v>
      </c>
      <c r="L5" s="46">
        <f>各模块详细工作量测算!F27*80</f>
        <v>64000</v>
      </c>
      <c r="M5" s="46">
        <f>各模块详细工作量测算!F28*80</f>
        <v>287360</v>
      </c>
    </row>
    <row r="6" spans="1:13" x14ac:dyDescent="0.2">
      <c r="A6" s="105"/>
      <c r="B6" s="2" t="s">
        <v>10</v>
      </c>
      <c r="C6" s="3">
        <v>200000</v>
      </c>
      <c r="D6" s="106"/>
      <c r="E6" s="106"/>
      <c r="F6" s="107"/>
      <c r="G6" s="5" t="s">
        <v>11</v>
      </c>
      <c r="H6" s="25">
        <f>H3+H4+H5</f>
        <v>2416000</v>
      </c>
      <c r="I6" s="46">
        <f>各模块详细工作量测算!F34*80</f>
        <v>15360</v>
      </c>
      <c r="J6" s="46">
        <f>各模块详细工作量测算!F35*80</f>
        <v>35840</v>
      </c>
      <c r="K6" s="46">
        <f>各模块详细工作量测算!F36*80</f>
        <v>93440</v>
      </c>
      <c r="L6" s="46">
        <f>各模块详细工作量测算!F37*80</f>
        <v>42400</v>
      </c>
      <c r="M6" s="46">
        <f>各模块详细工作量测算!F38*80</f>
        <v>192000</v>
      </c>
    </row>
    <row r="7" spans="1:13" x14ac:dyDescent="0.2">
      <c r="A7" s="110" t="s">
        <v>12</v>
      </c>
      <c r="B7" s="6" t="s">
        <v>13</v>
      </c>
      <c r="C7" s="7">
        <v>100000</v>
      </c>
      <c r="D7" s="95">
        <f>880000*0.12</f>
        <v>105600</v>
      </c>
      <c r="E7" s="95">
        <f>60000*0.2</f>
        <v>12000</v>
      </c>
      <c r="F7" s="95">
        <f>36000*0.2</f>
        <v>7200</v>
      </c>
      <c r="G7" s="97" t="s">
        <v>14</v>
      </c>
      <c r="H7" s="99">
        <f>D7*G3+E7*G4+F7*G5</f>
        <v>1032000</v>
      </c>
      <c r="I7" s="46">
        <f>各模块详细工作量测算!F44*80</f>
        <v>8320</v>
      </c>
      <c r="J7" s="46">
        <f>各模块详细工作量测算!F45*80</f>
        <v>20480</v>
      </c>
      <c r="K7" s="46">
        <f>各模块详细工作量测算!F46*80</f>
        <v>50560</v>
      </c>
      <c r="L7" s="46">
        <f>各模块详细工作量测算!F47*80</f>
        <v>23040</v>
      </c>
      <c r="M7" s="46">
        <f>各模块详细工作量测算!F48*80</f>
        <v>103680</v>
      </c>
    </row>
    <row r="8" spans="1:13" x14ac:dyDescent="0.2">
      <c r="A8" s="110"/>
      <c r="B8" s="6" t="s">
        <v>15</v>
      </c>
      <c r="C8" s="7">
        <v>200000</v>
      </c>
      <c r="D8" s="96"/>
      <c r="E8" s="96"/>
      <c r="F8" s="96"/>
      <c r="G8" s="98"/>
      <c r="H8" s="100"/>
      <c r="I8" s="46">
        <f>各模块详细工作量测算!F54*80</f>
        <v>16640</v>
      </c>
      <c r="J8" s="46">
        <f>各模块详细工作量测算!F55*80</f>
        <v>41600</v>
      </c>
      <c r="K8" s="46">
        <f>各模块详细工作量测算!F56*80</f>
        <v>101120</v>
      </c>
      <c r="L8" s="46">
        <f>各模块详细工作量测算!F57*80</f>
        <v>46080</v>
      </c>
      <c r="M8" s="46">
        <f>各模块详细工作量测算!F58*80</f>
        <v>207360</v>
      </c>
    </row>
    <row r="9" spans="1:13" x14ac:dyDescent="0.2">
      <c r="A9" s="110"/>
      <c r="B9" s="6" t="s">
        <v>16</v>
      </c>
      <c r="C9" s="7">
        <v>100000</v>
      </c>
      <c r="D9" s="107"/>
      <c r="E9" s="107"/>
      <c r="F9" s="107"/>
      <c r="G9" s="111"/>
      <c r="H9" s="108"/>
      <c r="I9" s="46">
        <f>各模块详细工作量测算!F64*80</f>
        <v>8320</v>
      </c>
      <c r="J9" s="46">
        <f>各模块详细工作量测算!F65*80</f>
        <v>20480</v>
      </c>
      <c r="K9" s="46">
        <f>各模块详细工作量测算!F66*80</f>
        <v>50560</v>
      </c>
      <c r="L9" s="46">
        <f>各模块详细工作量测算!F67*80</f>
        <v>23040</v>
      </c>
      <c r="M9" s="46">
        <f>各模块详细工作量测算!F68*80</f>
        <v>103680</v>
      </c>
    </row>
    <row r="10" spans="1:13" x14ac:dyDescent="0.2">
      <c r="A10" s="109" t="s">
        <v>17</v>
      </c>
      <c r="B10" s="8" t="s">
        <v>18</v>
      </c>
      <c r="C10" s="9">
        <v>100000</v>
      </c>
      <c r="D10" s="95">
        <f>880000*0.18</f>
        <v>158400</v>
      </c>
      <c r="E10" s="95">
        <f>60000*0.3</f>
        <v>18000</v>
      </c>
      <c r="F10" s="95">
        <f>36000*0.3</f>
        <v>10800</v>
      </c>
      <c r="G10" s="97" t="s">
        <v>19</v>
      </c>
      <c r="H10" s="99">
        <f>D10*G3+E10*G4+F10*G5</f>
        <v>1548000</v>
      </c>
      <c r="I10" s="46">
        <f>各模块详细工作量测算!F74*80</f>
        <v>8320</v>
      </c>
      <c r="J10" s="46">
        <f>各模块详细工作量测算!F75*80</f>
        <v>20480</v>
      </c>
      <c r="K10" s="46">
        <f>各模块详细工作量测算!F76*80</f>
        <v>50560</v>
      </c>
      <c r="L10" s="46">
        <f>各模块详细工作量测算!F77*80</f>
        <v>23040</v>
      </c>
      <c r="M10" s="46">
        <f>各模块详细工作量测算!F78*80</f>
        <v>103680</v>
      </c>
    </row>
    <row r="11" spans="1:13" x14ac:dyDescent="0.2">
      <c r="A11" s="109"/>
      <c r="B11" s="8" t="s">
        <v>20</v>
      </c>
      <c r="C11" s="9">
        <v>100000</v>
      </c>
      <c r="D11" s="96"/>
      <c r="E11" s="96"/>
      <c r="F11" s="96"/>
      <c r="G11" s="98"/>
      <c r="H11" s="100"/>
      <c r="I11" s="46">
        <f>各模块详细工作量测算!F84*80</f>
        <v>8320</v>
      </c>
      <c r="J11" s="46">
        <f>各模块详细工作量测算!F85*80</f>
        <v>20480</v>
      </c>
      <c r="K11" s="46">
        <f>各模块详细工作量测算!F86*80</f>
        <v>50560</v>
      </c>
      <c r="L11" s="46">
        <f>各模块详细工作量测算!F87*80</f>
        <v>23040</v>
      </c>
      <c r="M11" s="46">
        <f>各模块详细工作量测算!F88*80</f>
        <v>103680</v>
      </c>
    </row>
    <row r="12" spans="1:13" x14ac:dyDescent="0.2">
      <c r="A12" s="109"/>
      <c r="B12" s="8" t="s">
        <v>36</v>
      </c>
      <c r="C12" s="9">
        <v>200000</v>
      </c>
      <c r="D12" s="96"/>
      <c r="E12" s="96"/>
      <c r="F12" s="96"/>
      <c r="G12" s="98"/>
      <c r="H12" s="100"/>
      <c r="I12" s="46">
        <f>各模块详细工作量测算!F94*80</f>
        <v>16640</v>
      </c>
      <c r="J12" s="46">
        <f>各模块详细工作量测算!F95*80</f>
        <v>41600</v>
      </c>
      <c r="K12" s="46">
        <f>各模块详细工作量测算!F96*80</f>
        <v>101120</v>
      </c>
      <c r="L12" s="46">
        <f>各模块详细工作量测算!F97*80</f>
        <v>46080</v>
      </c>
      <c r="M12" s="46">
        <f>各模块详细工作量测算!F98*80</f>
        <v>207360</v>
      </c>
    </row>
    <row r="13" spans="1:13" x14ac:dyDescent="0.2">
      <c r="A13" s="109"/>
      <c r="B13" s="8" t="s">
        <v>37</v>
      </c>
      <c r="C13" s="9">
        <v>200000</v>
      </c>
      <c r="D13" s="96"/>
      <c r="E13" s="96"/>
      <c r="F13" s="96"/>
      <c r="G13" s="98"/>
      <c r="H13" s="100"/>
      <c r="I13" s="46">
        <f>各模块详细工作量测算!F104*80</f>
        <v>16640</v>
      </c>
      <c r="J13" s="46">
        <f>各模块详细工作量测算!F105*80</f>
        <v>41600</v>
      </c>
      <c r="K13" s="46">
        <f>各模块详细工作量测算!F106*80</f>
        <v>101120</v>
      </c>
      <c r="L13" s="46">
        <f>各模块详细工作量测算!F107*80</f>
        <v>46080</v>
      </c>
      <c r="M13" s="46">
        <f>各模块详细工作量测算!F108*80</f>
        <v>207360</v>
      </c>
    </row>
    <row r="14" spans="1:13" x14ac:dyDescent="0.2">
      <c r="A14" s="101" t="s">
        <v>21</v>
      </c>
      <c r="B14" s="10" t="s">
        <v>38</v>
      </c>
      <c r="C14" s="11">
        <v>100000</v>
      </c>
      <c r="D14" s="95">
        <f>880000*0.06</f>
        <v>52800</v>
      </c>
      <c r="E14" s="95">
        <f>60000*0.1</f>
        <v>6000</v>
      </c>
      <c r="F14" s="95">
        <f>36000*0.1</f>
        <v>3600</v>
      </c>
      <c r="G14" s="97" t="s">
        <v>22</v>
      </c>
      <c r="H14" s="99">
        <f>D14*G3+E14*G4+F14*G5</f>
        <v>516000</v>
      </c>
      <c r="I14" s="46">
        <f>各模块详细工作量测算!F114*80</f>
        <v>8320</v>
      </c>
      <c r="J14" s="46">
        <f>各模块详细工作量测算!F115*80</f>
        <v>20480</v>
      </c>
      <c r="K14" s="46">
        <f>各模块详细工作量测算!F116*80</f>
        <v>50560</v>
      </c>
      <c r="L14" s="46">
        <f>各模块详细工作量测算!F117*80</f>
        <v>23040</v>
      </c>
      <c r="M14" s="46">
        <f>各模块详细工作量测算!F118*80</f>
        <v>103680</v>
      </c>
    </row>
    <row r="15" spans="1:13" x14ac:dyDescent="0.2">
      <c r="A15" s="102"/>
      <c r="B15" s="53" t="s">
        <v>23</v>
      </c>
      <c r="C15" s="54">
        <v>100000</v>
      </c>
      <c r="D15" s="96"/>
      <c r="E15" s="96"/>
      <c r="F15" s="96"/>
      <c r="G15" s="98"/>
      <c r="H15" s="100"/>
      <c r="I15" s="46">
        <f>各模块详细工作量测算!F124*80</f>
        <v>8320</v>
      </c>
      <c r="J15" s="46">
        <f>各模块详细工作量测算!F125*80</f>
        <v>20480</v>
      </c>
      <c r="K15" s="46">
        <f>各模块详细工作量测算!F126*80</f>
        <v>50560</v>
      </c>
      <c r="L15" s="46">
        <f>各模块详细工作量测算!F127*80</f>
        <v>23040</v>
      </c>
      <c r="M15" s="46">
        <f>各模块详细工作量测算!F128*80</f>
        <v>103680</v>
      </c>
    </row>
    <row r="16" spans="1:13" s="56" customFormat="1" x14ac:dyDescent="0.2">
      <c r="A16" s="61"/>
      <c r="B16" s="62"/>
      <c r="C16" s="63"/>
      <c r="D16" s="64"/>
      <c r="E16" s="64"/>
      <c r="F16" s="64"/>
      <c r="G16" s="59" t="s">
        <v>96</v>
      </c>
      <c r="H16" s="60">
        <f>H6+H7+H10+H14</f>
        <v>5512000</v>
      </c>
      <c r="I16" s="55"/>
      <c r="J16" s="55"/>
      <c r="K16" s="55" t="s">
        <v>102</v>
      </c>
      <c r="L16" s="73">
        <f>SUM(I3:L15)</f>
        <v>2226720</v>
      </c>
      <c r="M16" s="73">
        <f>SUM(M3:M15)</f>
        <v>2250240</v>
      </c>
    </row>
    <row r="17" spans="1:15" x14ac:dyDescent="0.2">
      <c r="A17" s="23" t="s">
        <v>39</v>
      </c>
      <c r="B17" s="57" t="s">
        <v>40</v>
      </c>
      <c r="C17" s="58">
        <v>0</v>
      </c>
      <c r="D17" s="21"/>
      <c r="E17" s="21"/>
      <c r="F17" s="21"/>
      <c r="G17" s="22" t="s">
        <v>41</v>
      </c>
      <c r="H17" s="26"/>
      <c r="L17" s="82" t="s">
        <v>96</v>
      </c>
      <c r="M17" s="50">
        <f>SUM(I3:M15)</f>
        <v>4476960</v>
      </c>
    </row>
    <row r="18" spans="1:15" s="17" customFormat="1" x14ac:dyDescent="0.2">
      <c r="A18" s="12" t="s">
        <v>24</v>
      </c>
      <c r="B18" s="13"/>
      <c r="C18" s="14">
        <f>SUM(C3:C17)</f>
        <v>2250000</v>
      </c>
      <c r="D18" s="15">
        <f>SUM(D3:D15)</f>
        <v>880000</v>
      </c>
      <c r="E18" s="16">
        <f>SUM(E3:E15)</f>
        <v>60000</v>
      </c>
      <c r="F18" s="16">
        <f>SUM(F3:F15)</f>
        <v>36000</v>
      </c>
      <c r="G18" s="16"/>
      <c r="H18" s="27">
        <f>H17+H14+H10+H7+H6</f>
        <v>5512000</v>
      </c>
      <c r="L18" s="82" t="s">
        <v>97</v>
      </c>
      <c r="M18" s="50">
        <f>M17+H17</f>
        <v>4476960</v>
      </c>
    </row>
    <row r="19" spans="1:15" s="17" customFormat="1" x14ac:dyDescent="0.2">
      <c r="A19" s="88" t="s">
        <v>25</v>
      </c>
      <c r="B19" s="89" t="s">
        <v>26</v>
      </c>
      <c r="C19" s="89"/>
      <c r="D19" s="18" t="s">
        <v>27</v>
      </c>
      <c r="E19" s="90" t="s">
        <v>28</v>
      </c>
      <c r="F19" s="90"/>
      <c r="G19" s="18" t="s">
        <v>29</v>
      </c>
      <c r="H19" s="19"/>
      <c r="L19" s="83"/>
    </row>
    <row r="20" spans="1:15" s="17" customFormat="1" x14ac:dyDescent="0.2">
      <c r="A20" s="88"/>
      <c r="B20" s="89" t="s">
        <v>30</v>
      </c>
      <c r="C20" s="89"/>
      <c r="D20" s="20">
        <v>50000</v>
      </c>
      <c r="E20" s="90"/>
      <c r="F20" s="90"/>
      <c r="G20" s="20"/>
      <c r="H20" s="18">
        <f>D20*G20</f>
        <v>0</v>
      </c>
      <c r="L20" s="83"/>
      <c r="M20" s="51">
        <f>H20</f>
        <v>0</v>
      </c>
      <c r="O20" s="29"/>
    </row>
    <row r="21" spans="1:15" s="17" customFormat="1" x14ac:dyDescent="0.2">
      <c r="A21" s="88"/>
      <c r="B21" s="91" t="s">
        <v>31</v>
      </c>
      <c r="C21" s="91"/>
      <c r="D21" s="20">
        <v>100000</v>
      </c>
      <c r="E21" s="90"/>
      <c r="F21" s="90"/>
      <c r="G21" s="20"/>
      <c r="H21" s="18">
        <f>D21*G21</f>
        <v>0</v>
      </c>
      <c r="L21" s="83"/>
      <c r="M21" s="51">
        <f>H21</f>
        <v>0</v>
      </c>
    </row>
    <row r="22" spans="1:15" s="17" customFormat="1" x14ac:dyDescent="0.2">
      <c r="A22" s="88"/>
      <c r="B22" s="91" t="s">
        <v>32</v>
      </c>
      <c r="C22" s="91"/>
      <c r="D22" s="90" t="s">
        <v>33</v>
      </c>
      <c r="E22" s="90"/>
      <c r="F22" s="90"/>
      <c r="G22" s="90"/>
      <c r="H22" s="18"/>
      <c r="L22" s="83"/>
    </row>
    <row r="23" spans="1:15" s="17" customFormat="1" x14ac:dyDescent="0.2">
      <c r="A23" s="88"/>
      <c r="B23" s="92" t="s">
        <v>34</v>
      </c>
      <c r="C23" s="93"/>
      <c r="D23" s="93"/>
      <c r="E23" s="93"/>
      <c r="F23" s="93"/>
      <c r="G23" s="94"/>
      <c r="H23" s="18">
        <f>H20+H21+H22</f>
        <v>0</v>
      </c>
      <c r="L23" s="82" t="s">
        <v>96</v>
      </c>
      <c r="M23" s="51">
        <f>H23</f>
        <v>0</v>
      </c>
    </row>
    <row r="24" spans="1:15" s="17" customFormat="1" x14ac:dyDescent="0.2">
      <c r="A24" s="84" t="s">
        <v>35</v>
      </c>
      <c r="B24" s="85"/>
      <c r="C24" s="85"/>
      <c r="D24" s="85"/>
      <c r="E24" s="85"/>
      <c r="F24" s="85"/>
      <c r="G24" s="86"/>
      <c r="H24" s="28">
        <f>H18+H23</f>
        <v>5512000</v>
      </c>
      <c r="L24" s="82" t="s">
        <v>97</v>
      </c>
      <c r="M24" s="50">
        <f>M23+M18</f>
        <v>4476960</v>
      </c>
    </row>
    <row r="25" spans="1:15" x14ac:dyDescent="0.2">
      <c r="A25" s="87"/>
      <c r="B25" s="87"/>
      <c r="C25" s="87"/>
      <c r="D25" s="87"/>
      <c r="E25" s="87"/>
      <c r="F25" s="87"/>
      <c r="G25" s="87"/>
      <c r="H25" s="87"/>
      <c r="I25" s="17"/>
      <c r="J25" s="17"/>
      <c r="K25" s="17"/>
      <c r="L25" s="17"/>
      <c r="M25" s="17"/>
    </row>
    <row r="26" spans="1:15" x14ac:dyDescent="0.2">
      <c r="A26" s="87"/>
      <c r="B26" s="87"/>
      <c r="C26" s="87"/>
      <c r="D26" s="87"/>
      <c r="E26" s="87"/>
      <c r="F26" s="87"/>
      <c r="G26" s="87"/>
      <c r="H26" s="87"/>
      <c r="I26" s="17"/>
      <c r="J26" s="17"/>
      <c r="K26" s="17"/>
      <c r="L26" s="17"/>
      <c r="M26" s="17"/>
    </row>
    <row r="27" spans="1:15" x14ac:dyDescent="0.2">
      <c r="A27" s="87"/>
      <c r="B27" s="87"/>
      <c r="C27" s="87"/>
      <c r="D27" s="87"/>
      <c r="E27" s="87"/>
      <c r="F27" s="87"/>
      <c r="G27" s="87"/>
      <c r="H27" s="87"/>
      <c r="I27" s="17"/>
      <c r="J27" s="17"/>
      <c r="K27" s="17"/>
      <c r="L27" s="17"/>
      <c r="M27" s="17"/>
    </row>
    <row r="28" spans="1:15" x14ac:dyDescent="0.2">
      <c r="A28" s="87"/>
      <c r="B28" s="87"/>
      <c r="C28" s="87"/>
      <c r="D28" s="87"/>
      <c r="E28" s="87"/>
      <c r="F28" s="87"/>
      <c r="G28" s="87"/>
      <c r="H28" s="87"/>
      <c r="I28" s="17"/>
      <c r="J28" s="17"/>
      <c r="K28" s="17"/>
      <c r="L28" s="17"/>
      <c r="M28" s="17"/>
    </row>
    <row r="29" spans="1:15" x14ac:dyDescent="0.2">
      <c r="A29" s="87"/>
      <c r="B29" s="87"/>
      <c r="C29" s="87"/>
      <c r="D29" s="87"/>
      <c r="E29" s="87"/>
      <c r="F29" s="87"/>
      <c r="G29" s="87"/>
      <c r="H29" s="87"/>
      <c r="I29" s="17"/>
      <c r="J29" s="17"/>
      <c r="K29" s="17"/>
      <c r="L29" s="17"/>
      <c r="M29" s="17"/>
    </row>
    <row r="30" spans="1:15" x14ac:dyDescent="0.2">
      <c r="A30" s="87"/>
      <c r="B30" s="87"/>
      <c r="C30" s="87"/>
      <c r="D30" s="87"/>
      <c r="E30" s="87"/>
      <c r="F30" s="87"/>
      <c r="G30" s="87"/>
      <c r="H30" s="87"/>
      <c r="I30" s="17"/>
      <c r="J30" s="17"/>
      <c r="K30" s="17"/>
      <c r="L30" s="17"/>
      <c r="M30" s="17"/>
    </row>
    <row r="31" spans="1:15" x14ac:dyDescent="0.2">
      <c r="A31" s="87"/>
      <c r="B31" s="87"/>
      <c r="C31" s="87"/>
      <c r="D31" s="87"/>
      <c r="E31" s="87"/>
      <c r="F31" s="87"/>
      <c r="G31" s="87"/>
      <c r="H31" s="87"/>
      <c r="I31" s="17"/>
      <c r="J31" s="17"/>
      <c r="K31" s="17"/>
      <c r="L31" s="17"/>
      <c r="M31" s="17"/>
    </row>
    <row r="32" spans="1:15" x14ac:dyDescent="0.2">
      <c r="A32" s="87"/>
      <c r="B32" s="87"/>
      <c r="C32" s="87"/>
      <c r="D32" s="87"/>
      <c r="E32" s="87"/>
      <c r="F32" s="87"/>
      <c r="G32" s="87"/>
      <c r="H32" s="87"/>
      <c r="I32" s="17"/>
      <c r="J32" s="17"/>
      <c r="K32" s="17"/>
      <c r="L32" s="17"/>
      <c r="M32" s="17"/>
    </row>
    <row r="33" spans="1:13" x14ac:dyDescent="0.2">
      <c r="A33" s="87"/>
      <c r="B33" s="87"/>
      <c r="C33" s="87"/>
      <c r="D33" s="87"/>
      <c r="E33" s="87"/>
      <c r="F33" s="87"/>
      <c r="G33" s="87"/>
      <c r="H33" s="87"/>
      <c r="I33" s="17"/>
      <c r="J33" s="17"/>
      <c r="K33" s="17"/>
      <c r="L33" s="17"/>
      <c r="M33" s="17"/>
    </row>
    <row r="34" spans="1:13" x14ac:dyDescent="0.2">
      <c r="A34" s="87"/>
      <c r="B34" s="87"/>
      <c r="C34" s="87"/>
      <c r="D34" s="87"/>
      <c r="E34" s="87"/>
      <c r="F34" s="87"/>
      <c r="G34" s="87"/>
      <c r="H34" s="87"/>
      <c r="I34" s="17"/>
      <c r="J34" s="17"/>
      <c r="K34" s="17"/>
      <c r="L34" s="17"/>
      <c r="M34" s="17"/>
    </row>
    <row r="35" spans="1:13" x14ac:dyDescent="0.2">
      <c r="A35" s="87"/>
      <c r="B35" s="87"/>
      <c r="C35" s="87"/>
      <c r="D35" s="87"/>
      <c r="E35" s="87"/>
      <c r="F35" s="87"/>
      <c r="G35" s="87"/>
      <c r="H35" s="87"/>
    </row>
    <row r="36" spans="1:13" x14ac:dyDescent="0.2">
      <c r="A36" s="87"/>
      <c r="B36" s="87"/>
      <c r="C36" s="87"/>
      <c r="D36" s="87"/>
      <c r="E36" s="87"/>
      <c r="F36" s="87"/>
      <c r="G36" s="87"/>
      <c r="H36" s="87"/>
    </row>
  </sheetData>
  <mergeCells count="35">
    <mergeCell ref="H7:H9"/>
    <mergeCell ref="A10:A13"/>
    <mergeCell ref="D10:D13"/>
    <mergeCell ref="E10:E13"/>
    <mergeCell ref="F10:F13"/>
    <mergeCell ref="G10:G13"/>
    <mergeCell ref="H10:H13"/>
    <mergeCell ref="A7:A9"/>
    <mergeCell ref="D7:D9"/>
    <mergeCell ref="E7:E9"/>
    <mergeCell ref="F7:F9"/>
    <mergeCell ref="G7:G9"/>
    <mergeCell ref="A1:H1"/>
    <mergeCell ref="A3:A6"/>
    <mergeCell ref="D3:D6"/>
    <mergeCell ref="E3:E6"/>
    <mergeCell ref="F3:F6"/>
    <mergeCell ref="F14:F15"/>
    <mergeCell ref="G14:G15"/>
    <mergeCell ref="E14:E15"/>
    <mergeCell ref="H14:H15"/>
    <mergeCell ref="A14:A15"/>
    <mergeCell ref="D14:D15"/>
    <mergeCell ref="A24:G24"/>
    <mergeCell ref="A25:H36"/>
    <mergeCell ref="A19:A23"/>
    <mergeCell ref="B19:C19"/>
    <mergeCell ref="E19:F19"/>
    <mergeCell ref="B20:C20"/>
    <mergeCell ref="E20:F20"/>
    <mergeCell ref="B21:C21"/>
    <mergeCell ref="E21:F21"/>
    <mergeCell ref="B22:C22"/>
    <mergeCell ref="D22:G22"/>
    <mergeCell ref="B23:G23"/>
  </mergeCells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各省单位数!$A$2:$A$34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J41"/>
  <sheetViews>
    <sheetView workbookViewId="0">
      <selection activeCell="G4" sqref="G4"/>
    </sheetView>
  </sheetViews>
  <sheetFormatPr baseColWidth="10" defaultRowHeight="15" x14ac:dyDescent="0.2"/>
  <cols>
    <col min="1" max="1" width="20.5" bestFit="1" customWidth="1"/>
  </cols>
  <sheetData>
    <row r="1" spans="1:10" x14ac:dyDescent="0.2">
      <c r="A1" s="74"/>
      <c r="B1" s="74" t="s">
        <v>77</v>
      </c>
      <c r="C1" s="75" t="s">
        <v>78</v>
      </c>
      <c r="D1" s="74" t="s">
        <v>79</v>
      </c>
      <c r="E1" s="74" t="s">
        <v>44</v>
      </c>
      <c r="F1" s="74" t="s">
        <v>45</v>
      </c>
      <c r="G1" s="74"/>
      <c r="H1" s="80" t="s">
        <v>99</v>
      </c>
      <c r="I1" s="81" t="s">
        <v>116</v>
      </c>
      <c r="J1" s="79" t="s">
        <v>115</v>
      </c>
    </row>
    <row r="2" spans="1:10" x14ac:dyDescent="0.2">
      <c r="A2" s="76">
        <f>SUM(B2:F2)</f>
        <v>1</v>
      </c>
      <c r="B2" s="76">
        <v>0.04</v>
      </c>
      <c r="C2" s="76">
        <v>0.1</v>
      </c>
      <c r="D2" s="76">
        <v>0.25</v>
      </c>
      <c r="E2" s="76">
        <v>0.11</v>
      </c>
      <c r="F2" s="76">
        <v>0.5</v>
      </c>
      <c r="G2" s="74" t="s">
        <v>82</v>
      </c>
      <c r="H2" s="61" t="s">
        <v>81</v>
      </c>
      <c r="I2" s="61" t="s">
        <v>98</v>
      </c>
      <c r="J2" s="61" t="s">
        <v>101</v>
      </c>
    </row>
    <row r="3" spans="1:10" x14ac:dyDescent="0.2">
      <c r="A3" s="78" t="s">
        <v>103</v>
      </c>
      <c r="B3" s="77">
        <f>B2*$J$3</f>
        <v>30400</v>
      </c>
      <c r="C3" s="77">
        <f t="shared" ref="C3:F3" si="0">C2*$J$3</f>
        <v>76000</v>
      </c>
      <c r="D3" s="77">
        <f t="shared" si="0"/>
        <v>190000</v>
      </c>
      <c r="E3" s="77">
        <f t="shared" si="0"/>
        <v>83600</v>
      </c>
      <c r="F3" s="77">
        <f t="shared" si="0"/>
        <v>380000</v>
      </c>
      <c r="G3" s="74">
        <f>SUM(B3:F3)</f>
        <v>760000</v>
      </c>
      <c r="H3" s="68"/>
      <c r="I3" s="65">
        <f>报价函!H16/IF(J1="元",1,10000)</f>
        <v>5512000</v>
      </c>
      <c r="J3" s="65">
        <v>760000</v>
      </c>
    </row>
    <row r="4" spans="1:10" x14ac:dyDescent="0.2">
      <c r="A4" s="24" t="s">
        <v>80</v>
      </c>
      <c r="B4" s="52">
        <v>30400</v>
      </c>
      <c r="C4" s="52">
        <v>76000</v>
      </c>
      <c r="D4" s="52">
        <v>190000</v>
      </c>
      <c r="E4" s="52">
        <v>83600</v>
      </c>
      <c r="F4" s="52">
        <v>380000</v>
      </c>
      <c r="G4" s="67">
        <f>SUM(B4:F4)</f>
        <v>760000</v>
      </c>
    </row>
    <row r="5" spans="1:10" x14ac:dyDescent="0.2">
      <c r="A5" s="2" t="s">
        <v>7</v>
      </c>
      <c r="B5" s="24">
        <f>ROUND(报价函!$H$6/(报价函!$H$6+报价函!$H$7+报价函!$H$10+报价函!$H$14)*计算用!B$4/SUM(报价函!$C$3:$C$6)*报价函!$C3,2)</f>
        <v>4441.6099999999997</v>
      </c>
      <c r="C5" s="24">
        <f>ROUND(报价函!$H$6/(报价函!$H$6+报价函!$H$7+报价函!$H$10+报价函!$H$14)*计算用!C$4/SUM(报价函!$C$3:$C$6)*报价函!$C3,2)</f>
        <v>11104.02</v>
      </c>
      <c r="D5" s="24">
        <f>ROUND(报价函!$H$6/(报价函!$H$6+报价函!$H$7+报价函!$H$10+报价函!$H$14)*计算用!D$4/SUM(报价函!$C$3:$C$6)*报价函!$C3,2)</f>
        <v>27760.04</v>
      </c>
      <c r="E5" s="24">
        <f>ROUND(报价函!$H$6/(报价函!$H$6+报价函!$H$7+报价函!$H$10+报价函!$H$14)*计算用!E$4/SUM(报价函!$C$3:$C$6)*报价函!$C3,2)</f>
        <v>12214.42</v>
      </c>
      <c r="F5" s="24">
        <f>ROUND(报价函!$H$6/(报价函!$H$6+报价函!$H$7+报价函!$H$10+报价函!$H$14)*计算用!F$4/SUM(报价函!$C$3:$C$6)*报价函!$C3,2)</f>
        <v>55520.08</v>
      </c>
      <c r="G5" s="24">
        <f t="shared" ref="G5:G17" si="1">SUM(B5:F5)</f>
        <v>111040.17</v>
      </c>
      <c r="H5" s="66"/>
      <c r="I5" s="66"/>
      <c r="J5" s="66"/>
    </row>
    <row r="6" spans="1:10" x14ac:dyDescent="0.2">
      <c r="A6" s="2" t="s">
        <v>8</v>
      </c>
      <c r="B6" s="24">
        <f>ROUND(报价函!$H$6/(报价函!$H$6+报价函!$H$7+报价函!$H$10+报价函!$H$14)*计算用!B$4/SUM(报价函!$C$3:$C$6)*报价函!$C4,2)</f>
        <v>2538.06</v>
      </c>
      <c r="C6" s="24">
        <f>ROUND(报价函!$H$6/(报价函!$H$6+报价函!$H$7+报价函!$H$10+报价函!$H$14)*计算用!C$4/SUM(报价函!$C$3:$C$6)*报价函!$C4,2)</f>
        <v>6345.15</v>
      </c>
      <c r="D6" s="24">
        <f>ROUND(报价函!$H$6/(报价函!$H$6+报价函!$H$7+报价函!$H$10+报价函!$H$14)*计算用!D$4/SUM(报价函!$C$3:$C$6)*报价函!$C4,2)</f>
        <v>15862.88</v>
      </c>
      <c r="E6" s="24">
        <f>ROUND(报价函!$H$6/(报价函!$H$6+报价函!$H$7+报价函!$H$10+报价函!$H$14)*计算用!E$4/SUM(报价函!$C$3:$C$6)*报价函!$C4,2)</f>
        <v>6979.67</v>
      </c>
      <c r="F6" s="24">
        <f>ROUND(报价函!$H$6/(报价函!$H$6+报价函!$H$7+报价函!$H$10+报价函!$H$14)*计算用!F$4/SUM(报价函!$C$3:$C$6)*报价函!$C4,2)</f>
        <v>31725.759999999998</v>
      </c>
      <c r="G6" s="24">
        <f t="shared" si="1"/>
        <v>63451.51999999999</v>
      </c>
      <c r="H6" s="66"/>
      <c r="I6" s="66"/>
      <c r="J6" s="66"/>
    </row>
    <row r="7" spans="1:10" x14ac:dyDescent="0.2">
      <c r="A7" s="2" t="s">
        <v>9</v>
      </c>
      <c r="B7" s="24">
        <f>ROUND(报价函!$H$6/(报价函!$H$6+报价函!$H$7+报价函!$H$10+报价函!$H$14)*计算用!B$4/SUM(报价函!$C$3:$C$6)*报价函!$C5,2)</f>
        <v>3807.09</v>
      </c>
      <c r="C7" s="24">
        <f>ROUND(报价函!$H$6/(报价函!$H$6+报价函!$H$7+报价函!$H$10+报价函!$H$14)*计算用!C$4/SUM(报价函!$C$3:$C$6)*报价函!$C5,2)</f>
        <v>9517.73</v>
      </c>
      <c r="D7" s="24">
        <f>ROUND(报价函!$H$6/(报价函!$H$6+报价函!$H$7+报价函!$H$10+报价函!$H$14)*计算用!D$4/SUM(报价函!$C$3:$C$6)*报价函!$C5,2)</f>
        <v>23794.32</v>
      </c>
      <c r="E7" s="24">
        <f>ROUND(报价函!$H$6/(报价函!$H$6+报价函!$H$7+报价函!$H$10+报价函!$H$14)*计算用!E$4/SUM(报价函!$C$3:$C$6)*报价函!$C5,2)</f>
        <v>10469.5</v>
      </c>
      <c r="F7" s="24">
        <f>ROUND(报价函!$H$6/(报价函!$H$6+报价函!$H$7+报价函!$H$10+报价函!$H$14)*计算用!F$4/SUM(报价函!$C$3:$C$6)*报价函!$C5,2)</f>
        <v>47588.639999999999</v>
      </c>
      <c r="G7" s="24">
        <f t="shared" si="1"/>
        <v>95177.279999999999</v>
      </c>
      <c r="H7" s="66"/>
      <c r="I7" s="66"/>
      <c r="J7" s="66"/>
    </row>
    <row r="8" spans="1:10" x14ac:dyDescent="0.2">
      <c r="A8" s="2" t="s">
        <v>10</v>
      </c>
      <c r="B8" s="24">
        <f>ROUND(报价函!$H$6/(报价函!$H$6+报价函!$H$7+报价函!$H$10+报价函!$H$14)*计算用!B$4/SUM(报价函!$C$3:$C$6)*报价函!$C6,2)</f>
        <v>2538.06</v>
      </c>
      <c r="C8" s="24">
        <f>ROUND(报价函!$H$6/(报价函!$H$6+报价函!$H$7+报价函!$H$10+报价函!$H$14)*计算用!C$4/SUM(报价函!$C$3:$C$6)*报价函!$C6,2)</f>
        <v>6345.15</v>
      </c>
      <c r="D8" s="24">
        <f>ROUND(报价函!$H$6/(报价函!$H$6+报价函!$H$7+报价函!$H$10+报价函!$H$14)*计算用!D$4/SUM(报价函!$C$3:$C$6)*报价函!$C6,2)</f>
        <v>15862.88</v>
      </c>
      <c r="E8" s="24">
        <f>ROUND(报价函!$H$6/(报价函!$H$6+报价函!$H$7+报价函!$H$10+报价函!$H$14)*计算用!E$4/SUM(报价函!$C$3:$C$6)*报价函!$C6,2)</f>
        <v>6979.67</v>
      </c>
      <c r="F8" s="24">
        <f>ROUND(报价函!$H$6/(报价函!$H$6+报价函!$H$7+报价函!$H$10+报价函!$H$14)*计算用!F$4/SUM(报价函!$C$3:$C$6)*报价函!$C6,2)</f>
        <v>31725.759999999998</v>
      </c>
      <c r="G8" s="24">
        <f t="shared" si="1"/>
        <v>63451.51999999999</v>
      </c>
      <c r="H8" s="66"/>
      <c r="I8" s="66"/>
      <c r="J8" s="66"/>
    </row>
    <row r="9" spans="1:10" x14ac:dyDescent="0.2">
      <c r="A9" s="6" t="s">
        <v>13</v>
      </c>
      <c r="B9" s="24">
        <f>ROUND(报价函!$H$7/(报价函!$H$6+报价函!$H$7+报价函!$H$10+报价函!$H$14)*计算用!B$4/SUM(报价函!$C$7:$C$9)*报价函!$C7,2)</f>
        <v>1422.93</v>
      </c>
      <c r="C9" s="24">
        <f>ROUND(报价函!$H$7/(报价函!$H$6+报价函!$H$7+报价函!$H$10+报价函!$H$14)*计算用!C$4/SUM(报价函!$C$7:$C$9)*报价函!$C7,2)</f>
        <v>3557.33</v>
      </c>
      <c r="D9" s="24">
        <f>ROUND(报价函!$H$7/(报价函!$H$6+报价函!$H$7+报价函!$H$10+报价函!$H$14)*计算用!D$4/SUM(报价函!$C$7:$C$9)*报价函!$C7,2)</f>
        <v>8893.32</v>
      </c>
      <c r="E9" s="24">
        <f>ROUND(报价函!$H$7/(报价函!$H$6+报价函!$H$7+报价函!$H$10+报价函!$H$14)*计算用!E$4/SUM(报价函!$C$7:$C$9)*报价函!$C7,2)</f>
        <v>3913.06</v>
      </c>
      <c r="F9" s="24">
        <f>ROUND(报价函!$H$7/(报价函!$H$6+报价函!$H$7+报价函!$H$10+报价函!$H$14)*计算用!F$4/SUM(报价函!$C$7:$C$9)*报价函!$C7,2)</f>
        <v>17786.650000000001</v>
      </c>
      <c r="G9" s="24">
        <f t="shared" si="1"/>
        <v>35573.29</v>
      </c>
      <c r="H9" s="66"/>
      <c r="I9" s="66"/>
      <c r="J9" s="66"/>
    </row>
    <row r="10" spans="1:10" x14ac:dyDescent="0.2">
      <c r="A10" s="6" t="s">
        <v>15</v>
      </c>
      <c r="B10" s="24">
        <f>ROUND(报价函!$H$7/(报价函!$H$6+报价函!$H$7+报价函!$H$10+报价函!$H$14)*计算用!B$4/SUM(报价函!$C$7:$C$9)*报价函!$C8,2)</f>
        <v>2845.86</v>
      </c>
      <c r="C10" s="24">
        <f>ROUND(报价函!$H$7/(报价函!$H$6+报价函!$H$7+报价函!$H$10+报价函!$H$14)*计算用!C$4/SUM(报价函!$C$7:$C$9)*报价函!$C8,2)</f>
        <v>7114.66</v>
      </c>
      <c r="D10" s="24">
        <f>ROUND(报价函!$H$7/(报价函!$H$6+报价函!$H$7+报价函!$H$10+报价函!$H$14)*计算用!D$4/SUM(报价函!$C$7:$C$9)*报价函!$C8,2)</f>
        <v>17786.650000000001</v>
      </c>
      <c r="E10" s="24">
        <f>ROUND(报价函!$H$7/(报价函!$H$6+报价函!$H$7+报价函!$H$10+报价函!$H$14)*计算用!E$4/SUM(报价函!$C$7:$C$9)*报价函!$C8,2)</f>
        <v>7826.12</v>
      </c>
      <c r="F10" s="24">
        <f>ROUND(报价函!$H$7/(报价函!$H$6+报价函!$H$7+报价函!$H$10+报价函!$H$14)*计算用!F$4/SUM(报价函!$C$7:$C$9)*报价函!$C8,2)</f>
        <v>35573.29</v>
      </c>
      <c r="G10" s="24">
        <f t="shared" si="1"/>
        <v>71146.58</v>
      </c>
      <c r="H10" s="66"/>
      <c r="I10" s="66"/>
      <c r="J10" s="66"/>
    </row>
    <row r="11" spans="1:10" x14ac:dyDescent="0.2">
      <c r="A11" s="6" t="s">
        <v>16</v>
      </c>
      <c r="B11" s="24">
        <f>ROUND(报价函!$H$7/(报价函!$H$6+报价函!$H$7+报价函!$H$10+报价函!$H$14)*计算用!B$4/SUM(报价函!$C$7:$C$9)*报价函!$C9,2)</f>
        <v>1422.93</v>
      </c>
      <c r="C11" s="24">
        <f>ROUND(报价函!$H$7/(报价函!$H$6+报价函!$H$7+报价函!$H$10+报价函!$H$14)*计算用!C$4/SUM(报价函!$C$7:$C$9)*报价函!$C9,2)</f>
        <v>3557.33</v>
      </c>
      <c r="D11" s="24">
        <f>ROUND(报价函!$H$7/(报价函!$H$6+报价函!$H$7+报价函!$H$10+报价函!$H$14)*计算用!D$4/SUM(报价函!$C$7:$C$9)*报价函!$C9,2)</f>
        <v>8893.32</v>
      </c>
      <c r="E11" s="24">
        <f>ROUND(报价函!$H$7/(报价函!$H$6+报价函!$H$7+报价函!$H$10+报价函!$H$14)*计算用!E$4/SUM(报价函!$C$7:$C$9)*报价函!$C9,2)</f>
        <v>3913.06</v>
      </c>
      <c r="F11" s="24">
        <f>ROUND(报价函!$H$7/(报价函!$H$6+报价函!$H$7+报价函!$H$10+报价函!$H$14)*计算用!F$4/SUM(报价函!$C$7:$C$9)*报价函!$C9,2)</f>
        <v>17786.650000000001</v>
      </c>
      <c r="G11" s="24">
        <f t="shared" si="1"/>
        <v>35573.29</v>
      </c>
      <c r="H11" s="66"/>
      <c r="I11" s="66"/>
      <c r="J11" s="66"/>
    </row>
    <row r="12" spans="1:10" x14ac:dyDescent="0.2">
      <c r="A12" s="8" t="s">
        <v>18</v>
      </c>
      <c r="B12" s="24">
        <f>ROUND(报价函!$H$10/(报价函!$H$6+报价函!$H$7+报价函!$H$10+报价函!$H$14)*计算用!B$4/SUM(报价函!$C$10:$C$13)*报价函!$C10,2)</f>
        <v>1422.93</v>
      </c>
      <c r="C12" s="24">
        <f>ROUND(报价函!$H$10/(报价函!$H$6+报价函!$H$7+报价函!$H$10+报价函!$H$14)*计算用!C$4/SUM(报价函!$C$10:$C$13)*报价函!$C10,2)</f>
        <v>3557.33</v>
      </c>
      <c r="D12" s="24">
        <f>ROUND(报价函!$H$10/(报价函!$H$6+报价函!$H$7+报价函!$H$10+报价函!$H$14)*计算用!D$4/SUM(报价函!$C$10:$C$13)*报价函!$C10,2)</f>
        <v>8893.32</v>
      </c>
      <c r="E12" s="24">
        <f>ROUND(报价函!$H$10/(报价函!$H$6+报价函!$H$7+报价函!$H$10+报价函!$H$14)*计算用!E$4/SUM(报价函!$C$10:$C$13)*报价函!$C10,2)</f>
        <v>3913.06</v>
      </c>
      <c r="F12" s="24">
        <f>ROUND(报价函!$H$10/(报价函!$H$6+报价函!$H$7+报价函!$H$10+报价函!$H$14)*计算用!F$4/SUM(报价函!$C$10:$C$13)*报价函!$C10,2)</f>
        <v>17786.650000000001</v>
      </c>
      <c r="G12" s="24">
        <f t="shared" si="1"/>
        <v>35573.29</v>
      </c>
      <c r="H12" s="66"/>
      <c r="I12" s="66"/>
      <c r="J12" s="66"/>
    </row>
    <row r="13" spans="1:10" x14ac:dyDescent="0.2">
      <c r="A13" s="8" t="s">
        <v>20</v>
      </c>
      <c r="B13" s="24">
        <f>ROUND(报价函!$H$10/(报价函!$H$6+报价函!$H$7+报价函!$H$10+报价函!$H$14)*计算用!B$4/SUM(报价函!$C$10:$C$13)*报价函!$C11,2)</f>
        <v>1422.93</v>
      </c>
      <c r="C13" s="24">
        <f>ROUND(报价函!$H$10/(报价函!$H$6+报价函!$H$7+报价函!$H$10+报价函!$H$14)*计算用!C$4/SUM(报价函!$C$10:$C$13)*报价函!$C11,2)</f>
        <v>3557.33</v>
      </c>
      <c r="D13" s="24">
        <f>ROUND(报价函!$H$10/(报价函!$H$6+报价函!$H$7+报价函!$H$10+报价函!$H$14)*计算用!D$4/SUM(报价函!$C$10:$C$13)*报价函!$C11,2)</f>
        <v>8893.32</v>
      </c>
      <c r="E13" s="24">
        <f>ROUND(报价函!$H$10/(报价函!$H$6+报价函!$H$7+报价函!$H$10+报价函!$H$14)*计算用!E$4/SUM(报价函!$C$10:$C$13)*报价函!$C11,2)</f>
        <v>3913.06</v>
      </c>
      <c r="F13" s="24">
        <f>ROUND(报价函!$H$10/(报价函!$H$6+报价函!$H$7+报价函!$H$10+报价函!$H$14)*计算用!F$4/SUM(报价函!$C$10:$C$13)*报价函!$C11,2)</f>
        <v>17786.650000000001</v>
      </c>
      <c r="G13" s="24">
        <f t="shared" si="1"/>
        <v>35573.29</v>
      </c>
      <c r="H13" s="66"/>
      <c r="I13" s="66"/>
      <c r="J13" s="66"/>
    </row>
    <row r="14" spans="1:10" x14ac:dyDescent="0.2">
      <c r="A14" s="8" t="s">
        <v>36</v>
      </c>
      <c r="B14" s="24">
        <f>ROUND(报价函!$H$10/(报价函!$H$6+报价函!$H$7+报价函!$H$10+报价函!$H$14)*计算用!B$4/SUM(报价函!$C$10:$C$13)*报价函!$C12,2)</f>
        <v>2845.86</v>
      </c>
      <c r="C14" s="24">
        <f>ROUND(报价函!$H$10/(报价函!$H$6+报价函!$H$7+报价函!$H$10+报价函!$H$14)*计算用!C$4/SUM(报价函!$C$10:$C$13)*报价函!$C12,2)</f>
        <v>7114.66</v>
      </c>
      <c r="D14" s="24">
        <f>ROUND(报价函!$H$10/(报价函!$H$6+报价函!$H$7+报价函!$H$10+报价函!$H$14)*计算用!D$4/SUM(报价函!$C$10:$C$13)*报价函!$C12,2)</f>
        <v>17786.650000000001</v>
      </c>
      <c r="E14" s="24">
        <f>ROUND(报价函!$H$10/(报价函!$H$6+报价函!$H$7+报价函!$H$10+报价函!$H$14)*计算用!E$4/SUM(报价函!$C$10:$C$13)*报价函!$C12,2)</f>
        <v>7826.12</v>
      </c>
      <c r="F14" s="24">
        <f>ROUND(报价函!$H$10/(报价函!$H$6+报价函!$H$7+报价函!$H$10+报价函!$H$14)*计算用!F$4/SUM(报价函!$C$10:$C$13)*报价函!$C12,2)</f>
        <v>35573.29</v>
      </c>
      <c r="G14" s="24">
        <f t="shared" si="1"/>
        <v>71146.58</v>
      </c>
      <c r="H14" s="66"/>
      <c r="I14" s="66"/>
      <c r="J14" s="66"/>
    </row>
    <row r="15" spans="1:10" x14ac:dyDescent="0.2">
      <c r="A15" s="8" t="s">
        <v>37</v>
      </c>
      <c r="B15" s="24">
        <f>ROUND(报价函!$H$10/(报价函!$H$6+报价函!$H$7+报价函!$H$10+报价函!$H$14)*计算用!B$4/SUM(报价函!$C$10:$C$13)*报价函!$C13,2)</f>
        <v>2845.86</v>
      </c>
      <c r="C15" s="24">
        <f>ROUND(报价函!$H$10/(报价函!$H$6+报价函!$H$7+报价函!$H$10+报价函!$H$14)*计算用!C$4/SUM(报价函!$C$10:$C$13)*报价函!$C13,2)</f>
        <v>7114.66</v>
      </c>
      <c r="D15" s="24">
        <f>ROUND(报价函!$H$10/(报价函!$H$6+报价函!$H$7+报价函!$H$10+报价函!$H$14)*计算用!D$4/SUM(报价函!$C$10:$C$13)*报价函!$C13,2)</f>
        <v>17786.650000000001</v>
      </c>
      <c r="E15" s="24">
        <f>ROUND(报价函!$H$10/(报价函!$H$6+报价函!$H$7+报价函!$H$10+报价函!$H$14)*计算用!E$4/SUM(报价函!$C$10:$C$13)*报价函!$C13,2)</f>
        <v>7826.12</v>
      </c>
      <c r="F15" s="24">
        <f>ROUND(报价函!$H$10/(报价函!$H$6+报价函!$H$7+报价函!$H$10+报价函!$H$14)*计算用!F$4/SUM(报价函!$C$10:$C$13)*报价函!$C13,2)</f>
        <v>35573.29</v>
      </c>
      <c r="G15" s="24">
        <f t="shared" si="1"/>
        <v>71146.58</v>
      </c>
      <c r="H15" s="66"/>
      <c r="I15" s="66"/>
      <c r="J15" s="66"/>
    </row>
    <row r="16" spans="1:10" x14ac:dyDescent="0.2">
      <c r="A16" s="10" t="s">
        <v>38</v>
      </c>
      <c r="B16" s="24">
        <f>ROUND(报价函!$H$14/(报价函!$H$6+报价函!$H$7+报价函!$H$10+报价函!$H$14)*计算用!B$4/SUM(报价函!$C$14:$C$15)*报价函!$C14,2)</f>
        <v>1422.93</v>
      </c>
      <c r="C16" s="24">
        <f>ROUND(报价函!$H$14/(报价函!$H$6+报价函!$H$7+报价函!$H$10+报价函!$H$14)*计算用!C$4/SUM(报价函!$C$14:$C$15)*报价函!$C14,2)</f>
        <v>3557.33</v>
      </c>
      <c r="D16" s="24">
        <f>ROUND(报价函!$H$14/(报价函!$H$6+报价函!$H$7+报价函!$H$10+报价函!$H$14)*计算用!D$4/SUM(报价函!$C$14:$C$15)*报价函!$C14,2)</f>
        <v>8893.32</v>
      </c>
      <c r="E16" s="24">
        <f>ROUND(报价函!$H$14/(报价函!$H$6+报价函!$H$7+报价函!$H$10+报价函!$H$14)*计算用!E$4/SUM(报价函!$C$14:$C$15)*报价函!$C14,2)</f>
        <v>3913.06</v>
      </c>
      <c r="F16" s="24">
        <f>ROUND(报价函!$H$14/(报价函!$H$6+报价函!$H$7+报价函!$H$10+报价函!$H$14)*计算用!F$4/SUM(报价函!$C$14:$C$15)*报价函!$C14,2)</f>
        <v>17786.650000000001</v>
      </c>
      <c r="G16" s="24">
        <f t="shared" si="1"/>
        <v>35573.29</v>
      </c>
      <c r="H16" s="66"/>
      <c r="I16" s="66"/>
      <c r="J16" s="66"/>
    </row>
    <row r="17" spans="1:10" x14ac:dyDescent="0.2">
      <c r="A17" s="10" t="s">
        <v>23</v>
      </c>
      <c r="B17" s="24">
        <f>ROUND(报价函!$H$14/(报价函!$H$6+报价函!$H$7+报价函!$H$10+报价函!$H$14)*计算用!B$4/SUM(报价函!$C$14:$C$15)*报价函!$C15,2)</f>
        <v>1422.93</v>
      </c>
      <c r="C17" s="24">
        <f>ROUND(报价函!$H$14/(报价函!$H$6+报价函!$H$7+报价函!$H$10+报价函!$H$14)*计算用!C$4/SUM(报价函!$C$14:$C$15)*报价函!$C15,2)</f>
        <v>3557.33</v>
      </c>
      <c r="D17" s="24">
        <f>ROUND(报价函!$H$14/(报价函!$H$6+报价函!$H$7+报价函!$H$10+报价函!$H$14)*计算用!D$4/SUM(报价函!$C$14:$C$15)*报价函!$C15,2)</f>
        <v>8893.32</v>
      </c>
      <c r="E17" s="24">
        <f>ROUND(报价函!$H$14/(报价函!$H$6+报价函!$H$7+报价函!$H$10+报价函!$H$14)*计算用!E$4/SUM(报价函!$C$14:$C$15)*报价函!$C15,2)</f>
        <v>3913.06</v>
      </c>
      <c r="F17" s="24">
        <f>ROUND(报价函!$H$14/(报价函!$H$6+报价函!$H$7+报价函!$H$10+报价函!$H$14)*计算用!F$4/SUM(报价函!$C$14:$C$15)*报价函!$C15,2)</f>
        <v>17786.650000000001</v>
      </c>
      <c r="G17" s="24">
        <f t="shared" si="1"/>
        <v>35573.29</v>
      </c>
      <c r="H17" s="66"/>
      <c r="I17" s="66"/>
      <c r="J17" s="66"/>
    </row>
    <row r="18" spans="1:10" x14ac:dyDescent="0.2">
      <c r="F18" s="67" t="s">
        <v>97</v>
      </c>
      <c r="G18" s="67">
        <f>SUM(G5:G17)</f>
        <v>759999.97</v>
      </c>
    </row>
    <row r="23" spans="1:10" x14ac:dyDescent="0.2">
      <c r="A23" t="s">
        <v>94</v>
      </c>
    </row>
    <row r="24" spans="1:10" x14ac:dyDescent="0.2">
      <c r="A24" s="74"/>
      <c r="B24" s="74" t="s">
        <v>77</v>
      </c>
      <c r="C24" s="75" t="s">
        <v>78</v>
      </c>
      <c r="D24" s="74" t="s">
        <v>79</v>
      </c>
      <c r="E24" s="74" t="s">
        <v>44</v>
      </c>
      <c r="F24" s="74" t="s">
        <v>45</v>
      </c>
      <c r="G24" s="74"/>
      <c r="H24" s="112" t="s">
        <v>100</v>
      </c>
      <c r="I24" s="112"/>
      <c r="J24" s="112"/>
    </row>
    <row r="25" spans="1:10" x14ac:dyDescent="0.2">
      <c r="A25" s="76">
        <v>1</v>
      </c>
      <c r="B25" s="76"/>
      <c r="C25" s="76"/>
      <c r="D25" s="76"/>
      <c r="E25" s="76"/>
      <c r="F25" s="76"/>
      <c r="G25" s="74"/>
      <c r="H25" s="61" t="s">
        <v>81</v>
      </c>
      <c r="I25" s="61" t="s">
        <v>98</v>
      </c>
      <c r="J25" s="61" t="s">
        <v>101</v>
      </c>
    </row>
    <row r="26" spans="1:10" x14ac:dyDescent="0.2">
      <c r="A26" s="78" t="s">
        <v>103</v>
      </c>
      <c r="B26" s="77"/>
      <c r="C26" s="77"/>
      <c r="D26" s="77"/>
      <c r="E26" s="77"/>
      <c r="F26" s="77"/>
      <c r="G26" s="74"/>
      <c r="H26" s="68">
        <v>76</v>
      </c>
      <c r="I26" s="65">
        <v>200.8</v>
      </c>
      <c r="J26" s="65">
        <v>200</v>
      </c>
    </row>
    <row r="27" spans="1:10" x14ac:dyDescent="0.2">
      <c r="A27" s="24" t="s">
        <v>80</v>
      </c>
      <c r="B27" s="52">
        <v>41.2</v>
      </c>
      <c r="C27" s="52">
        <v>60</v>
      </c>
      <c r="D27" s="52">
        <v>150</v>
      </c>
      <c r="E27" s="52">
        <v>70</v>
      </c>
      <c r="F27" s="52">
        <v>290</v>
      </c>
      <c r="G27" s="67">
        <v>611.20000000000005</v>
      </c>
      <c r="H27" s="24"/>
      <c r="I27" s="24"/>
      <c r="J27" s="24"/>
    </row>
    <row r="28" spans="1:10" x14ac:dyDescent="0.2">
      <c r="A28" s="2" t="s">
        <v>104</v>
      </c>
      <c r="B28" s="24">
        <v>6.94</v>
      </c>
      <c r="C28" s="24">
        <v>10.1</v>
      </c>
      <c r="D28" s="24">
        <v>25.26</v>
      </c>
      <c r="E28" s="24">
        <v>11.79</v>
      </c>
      <c r="F28" s="24">
        <v>48.83</v>
      </c>
      <c r="G28" s="24">
        <v>102.91999999999999</v>
      </c>
      <c r="H28" s="24"/>
      <c r="I28" s="24"/>
      <c r="J28" s="24"/>
    </row>
    <row r="29" spans="1:10" x14ac:dyDescent="0.2">
      <c r="A29" s="2" t="s">
        <v>105</v>
      </c>
      <c r="B29" s="24">
        <v>3.96</v>
      </c>
      <c r="C29" s="24">
        <v>5.77</v>
      </c>
      <c r="D29" s="24">
        <v>14.43</v>
      </c>
      <c r="E29" s="24">
        <v>6.74</v>
      </c>
      <c r="F29" s="24">
        <v>27.91</v>
      </c>
      <c r="G29" s="24">
        <v>58.81</v>
      </c>
      <c r="H29" s="24"/>
      <c r="I29" s="24"/>
      <c r="J29" s="24"/>
    </row>
    <row r="30" spans="1:10" x14ac:dyDescent="0.2">
      <c r="A30" s="2" t="s">
        <v>106</v>
      </c>
      <c r="B30" s="24">
        <v>5.95</v>
      </c>
      <c r="C30" s="24">
        <v>8.66</v>
      </c>
      <c r="D30" s="24">
        <v>21.65</v>
      </c>
      <c r="E30" s="24">
        <v>10.1</v>
      </c>
      <c r="F30" s="24">
        <v>41.86</v>
      </c>
      <c r="G30" s="24">
        <v>88.22</v>
      </c>
      <c r="H30" s="24"/>
      <c r="I30" s="24"/>
      <c r="J30" s="24"/>
    </row>
    <row r="31" spans="1:10" x14ac:dyDescent="0.2">
      <c r="A31" s="2" t="s">
        <v>107</v>
      </c>
      <c r="B31" s="24">
        <v>3.96</v>
      </c>
      <c r="C31" s="24">
        <v>5.77</v>
      </c>
      <c r="D31" s="24">
        <v>14.43</v>
      </c>
      <c r="E31" s="24">
        <v>6.74</v>
      </c>
      <c r="F31" s="24">
        <v>27.91</v>
      </c>
      <c r="G31" s="24">
        <v>58.81</v>
      </c>
      <c r="H31" s="24"/>
      <c r="I31" s="24"/>
      <c r="J31" s="24"/>
    </row>
    <row r="32" spans="1:10" x14ac:dyDescent="0.2">
      <c r="A32" s="6" t="s">
        <v>108</v>
      </c>
      <c r="B32" s="24">
        <v>1.7</v>
      </c>
      <c r="C32" s="24">
        <v>2.4700000000000002</v>
      </c>
      <c r="D32" s="24">
        <v>6.19</v>
      </c>
      <c r="E32" s="24">
        <v>2.89</v>
      </c>
      <c r="F32" s="24">
        <v>11.96</v>
      </c>
      <c r="G32" s="24">
        <v>25.21</v>
      </c>
      <c r="H32" s="24"/>
      <c r="I32" s="24"/>
      <c r="J32" s="24"/>
    </row>
    <row r="33" spans="1:10" x14ac:dyDescent="0.2">
      <c r="A33" s="6" t="s">
        <v>109</v>
      </c>
      <c r="B33" s="24">
        <v>3.4</v>
      </c>
      <c r="C33" s="24">
        <v>4.95</v>
      </c>
      <c r="D33" s="24">
        <v>12.37</v>
      </c>
      <c r="E33" s="24">
        <v>5.77</v>
      </c>
      <c r="F33" s="24">
        <v>23.92</v>
      </c>
      <c r="G33" s="24">
        <v>50.41</v>
      </c>
      <c r="H33" s="24"/>
      <c r="I33" s="24"/>
      <c r="J33" s="24"/>
    </row>
    <row r="34" spans="1:10" x14ac:dyDescent="0.2">
      <c r="A34" s="6" t="s">
        <v>110</v>
      </c>
      <c r="B34" s="24">
        <v>1.7</v>
      </c>
      <c r="C34" s="24">
        <v>2.4700000000000002</v>
      </c>
      <c r="D34" s="24">
        <v>6.19</v>
      </c>
      <c r="E34" s="24">
        <v>2.89</v>
      </c>
      <c r="F34" s="24">
        <v>11.96</v>
      </c>
      <c r="G34" s="24">
        <v>25.21</v>
      </c>
      <c r="H34" s="24"/>
      <c r="I34" s="24"/>
      <c r="J34" s="24"/>
    </row>
    <row r="35" spans="1:10" x14ac:dyDescent="0.2">
      <c r="A35" s="8" t="s">
        <v>111</v>
      </c>
      <c r="B35" s="24">
        <v>1.7</v>
      </c>
      <c r="C35" s="24">
        <v>2.4700000000000002</v>
      </c>
      <c r="D35" s="24">
        <v>6.19</v>
      </c>
      <c r="E35" s="24">
        <v>2.89</v>
      </c>
      <c r="F35" s="24">
        <v>11.96</v>
      </c>
      <c r="G35" s="24">
        <v>25.21</v>
      </c>
      <c r="H35" s="24"/>
      <c r="I35" s="24"/>
      <c r="J35" s="24"/>
    </row>
    <row r="36" spans="1:10" x14ac:dyDescent="0.2">
      <c r="A36" s="8" t="s">
        <v>112</v>
      </c>
      <c r="B36" s="24">
        <v>1.7</v>
      </c>
      <c r="C36" s="24">
        <v>2.4700000000000002</v>
      </c>
      <c r="D36" s="24">
        <v>6.19</v>
      </c>
      <c r="E36" s="24">
        <v>2.89</v>
      </c>
      <c r="F36" s="24">
        <v>11.96</v>
      </c>
      <c r="G36" s="24">
        <v>25.21</v>
      </c>
      <c r="H36" s="24"/>
      <c r="I36" s="24"/>
      <c r="J36" s="24"/>
    </row>
    <row r="37" spans="1:10" x14ac:dyDescent="0.2">
      <c r="A37" s="8" t="s">
        <v>113</v>
      </c>
      <c r="B37" s="24">
        <v>3.4</v>
      </c>
      <c r="C37" s="24">
        <v>4.95</v>
      </c>
      <c r="D37" s="24">
        <v>12.37</v>
      </c>
      <c r="E37" s="24">
        <v>5.77</v>
      </c>
      <c r="F37" s="24">
        <v>23.92</v>
      </c>
      <c r="G37" s="24">
        <v>50.41</v>
      </c>
      <c r="H37" s="24"/>
      <c r="I37" s="24"/>
      <c r="J37" s="24"/>
    </row>
    <row r="38" spans="1:10" x14ac:dyDescent="0.2">
      <c r="A38" s="8" t="s">
        <v>37</v>
      </c>
      <c r="B38" s="24">
        <v>3.4</v>
      </c>
      <c r="C38" s="24">
        <v>4.95</v>
      </c>
      <c r="D38" s="24">
        <v>12.37</v>
      </c>
      <c r="E38" s="24">
        <v>5.77</v>
      </c>
      <c r="F38" s="24">
        <v>23.92</v>
      </c>
      <c r="G38" s="24">
        <v>50.41</v>
      </c>
      <c r="H38" s="24"/>
      <c r="I38" s="24"/>
      <c r="J38" s="24"/>
    </row>
    <row r="39" spans="1:10" x14ac:dyDescent="0.2">
      <c r="A39" s="10" t="s">
        <v>38</v>
      </c>
      <c r="B39" s="24">
        <v>1.7</v>
      </c>
      <c r="C39" s="24">
        <v>2.4700000000000002</v>
      </c>
      <c r="D39" s="24">
        <v>6.19</v>
      </c>
      <c r="E39" s="24">
        <v>2.89</v>
      </c>
      <c r="F39" s="24">
        <v>11.96</v>
      </c>
      <c r="G39" s="24">
        <v>25.21</v>
      </c>
      <c r="H39" s="24"/>
      <c r="I39" s="24"/>
      <c r="J39" s="24"/>
    </row>
    <row r="40" spans="1:10" x14ac:dyDescent="0.2">
      <c r="A40" s="10" t="s">
        <v>114</v>
      </c>
      <c r="B40" s="24">
        <v>1.7</v>
      </c>
      <c r="C40" s="24">
        <v>2.4700000000000002</v>
      </c>
      <c r="D40" s="24">
        <v>6.19</v>
      </c>
      <c r="E40" s="24">
        <v>2.89</v>
      </c>
      <c r="F40" s="24">
        <v>11.96</v>
      </c>
      <c r="G40" s="24">
        <v>25.21</v>
      </c>
      <c r="H40" s="24"/>
      <c r="I40" s="24"/>
      <c r="J40" s="24"/>
    </row>
    <row r="41" spans="1:10" x14ac:dyDescent="0.2">
      <c r="A41" s="24"/>
      <c r="B41" s="24"/>
      <c r="C41" s="24"/>
      <c r="D41" s="24"/>
      <c r="E41" s="24"/>
      <c r="F41" s="24" t="s">
        <v>97</v>
      </c>
      <c r="G41" s="24">
        <v>611.25</v>
      </c>
      <c r="H41" s="24"/>
      <c r="I41" s="24"/>
      <c r="J41" s="24"/>
    </row>
  </sheetData>
  <mergeCells count="1">
    <mergeCell ref="H24:J24"/>
  </mergeCells>
  <phoneticPr fontId="4" type="noConversion"/>
  <dataValidations count="1">
    <dataValidation type="list" allowBlank="1" showInputMessage="1" showErrorMessage="1" sqref="J1">
      <formula1>"万元,元"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enableFormatConditionsCalculation="0"/>
  <dimension ref="A1:M130"/>
  <sheetViews>
    <sheetView workbookViewId="0">
      <selection activeCell="B4" sqref="B4"/>
    </sheetView>
  </sheetViews>
  <sheetFormatPr baseColWidth="10" defaultRowHeight="17" x14ac:dyDescent="0.2"/>
  <cols>
    <col min="1" max="1" width="10.83203125" style="30"/>
    <col min="2" max="2" width="23.6640625" style="30" bestFit="1" customWidth="1"/>
    <col min="3" max="3" width="10.83203125" style="43"/>
    <col min="4" max="4" width="24.83203125" style="30" bestFit="1" customWidth="1"/>
    <col min="5" max="5" width="10.83203125" style="43"/>
    <col min="6" max="6" width="22.1640625" style="30" customWidth="1"/>
    <col min="7" max="7" width="17.83203125" style="30" bestFit="1" customWidth="1"/>
    <col min="8" max="8" width="17.6640625" style="30" customWidth="1"/>
    <col min="9" max="11" width="10.83203125" style="30"/>
    <col min="12" max="12" width="18" style="30" customWidth="1"/>
    <col min="13" max="16384" width="10.83203125" style="30"/>
  </cols>
  <sheetData>
    <row r="1" spans="1:12" x14ac:dyDescent="0.2">
      <c r="B1" s="31" t="s">
        <v>64</v>
      </c>
      <c r="D1" s="30" t="s">
        <v>58</v>
      </c>
      <c r="E1" s="43">
        <v>80</v>
      </c>
    </row>
    <row r="2" spans="1:12" x14ac:dyDescent="0.2">
      <c r="C2" s="113" t="str">
        <f>RIGHT(B1,LEN(B1)-2)&amp;"工作量测算"</f>
        <v>基础平台工作量测算</v>
      </c>
      <c r="D2" s="113"/>
      <c r="E2" s="113"/>
      <c r="F2" s="113"/>
    </row>
    <row r="3" spans="1:12" x14ac:dyDescent="0.2">
      <c r="A3" s="32"/>
      <c r="C3" s="33" t="s">
        <v>47</v>
      </c>
      <c r="D3" s="33" t="s">
        <v>48</v>
      </c>
      <c r="E3" s="33" t="s">
        <v>49</v>
      </c>
      <c r="F3" s="34" t="s">
        <v>83</v>
      </c>
      <c r="G3" s="34" t="s">
        <v>50</v>
      </c>
      <c r="H3" s="70" t="s">
        <v>56</v>
      </c>
      <c r="I3" s="70" t="s">
        <v>59</v>
      </c>
      <c r="J3" s="70" t="s">
        <v>57</v>
      </c>
      <c r="K3" s="37"/>
    </row>
    <row r="4" spans="1:12" x14ac:dyDescent="0.2">
      <c r="A4" s="30" t="s">
        <v>43</v>
      </c>
      <c r="B4" s="30">
        <f>VLOOKUP($B1,计算用!A:G,2,FALSE)</f>
        <v>4441.6099999999997</v>
      </c>
      <c r="C4" s="35">
        <v>1</v>
      </c>
      <c r="D4" s="36" t="s">
        <v>51</v>
      </c>
      <c r="E4" s="35">
        <v>10</v>
      </c>
      <c r="F4" s="37">
        <v>336</v>
      </c>
      <c r="G4" s="71">
        <f>B4/$E$1*10000</f>
        <v>555201.24999999988</v>
      </c>
      <c r="H4" s="71">
        <f>B4/$E$1*10000/8</f>
        <v>69400.156249999985</v>
      </c>
      <c r="I4" s="37">
        <f>F4/8</f>
        <v>42</v>
      </c>
      <c r="J4" s="71">
        <f>H4/E4</f>
        <v>6940.0156249999982</v>
      </c>
      <c r="K4" s="37">
        <f>I4/E4</f>
        <v>4.2</v>
      </c>
    </row>
    <row r="5" spans="1:12" x14ac:dyDescent="0.2">
      <c r="A5" s="30" t="s">
        <v>42</v>
      </c>
      <c r="B5" s="30">
        <f>VLOOKUP($B1,计算用!A:G,3,FALSE)</f>
        <v>11104.02</v>
      </c>
      <c r="C5" s="35">
        <v>2</v>
      </c>
      <c r="D5" s="36" t="s">
        <v>52</v>
      </c>
      <c r="E5" s="35">
        <v>5</v>
      </c>
      <c r="F5" s="37">
        <v>840</v>
      </c>
      <c r="G5" s="71">
        <f t="shared" ref="G5:G8" si="0">B5/$E$1*10000</f>
        <v>1388002.5</v>
      </c>
      <c r="H5" s="71">
        <f t="shared" ref="H5:H8" si="1">B5/$E$1*10000/8</f>
        <v>173500.3125</v>
      </c>
      <c r="I5" s="37">
        <f>F5/8</f>
        <v>105</v>
      </c>
      <c r="J5" s="71">
        <f>H5/E5</f>
        <v>34700.0625</v>
      </c>
      <c r="K5" s="37">
        <f>I5/E5</f>
        <v>21</v>
      </c>
    </row>
    <row r="6" spans="1:12" ht="51" x14ac:dyDescent="0.2">
      <c r="A6" s="38" t="s">
        <v>46</v>
      </c>
      <c r="B6" s="30">
        <f>VLOOKUP($B1,计算用!A:G,4,FALSE)</f>
        <v>27760.04</v>
      </c>
      <c r="C6" s="35">
        <v>3</v>
      </c>
      <c r="D6" s="39" t="s">
        <v>53</v>
      </c>
      <c r="E6" s="40">
        <v>2</v>
      </c>
      <c r="F6" s="37">
        <v>2056</v>
      </c>
      <c r="G6" s="71">
        <f t="shared" si="0"/>
        <v>3470005</v>
      </c>
      <c r="H6" s="71">
        <f t="shared" si="1"/>
        <v>433750.625</v>
      </c>
      <c r="I6" s="37">
        <f>F6/8</f>
        <v>257</v>
      </c>
      <c r="J6" s="71">
        <f>H6/E6</f>
        <v>216875.3125</v>
      </c>
      <c r="K6" s="37">
        <f>I6/E6</f>
        <v>128.5</v>
      </c>
    </row>
    <row r="7" spans="1:12" x14ac:dyDescent="0.2">
      <c r="A7" s="30" t="s">
        <v>44</v>
      </c>
      <c r="B7" s="30">
        <f>VLOOKUP($B1,计算用!A:G,5,FALSE)</f>
        <v>12214.42</v>
      </c>
      <c r="C7" s="35">
        <v>4</v>
      </c>
      <c r="D7" s="39" t="s">
        <v>54</v>
      </c>
      <c r="E7" s="41">
        <v>4</v>
      </c>
      <c r="F7" s="37">
        <v>936</v>
      </c>
      <c r="G7" s="71">
        <f t="shared" si="0"/>
        <v>1526802.5</v>
      </c>
      <c r="H7" s="71">
        <f t="shared" si="1"/>
        <v>190850.3125</v>
      </c>
      <c r="I7" s="37">
        <f>F7/8</f>
        <v>117</v>
      </c>
      <c r="J7" s="71">
        <f>H7/E7</f>
        <v>47712.578125</v>
      </c>
      <c r="K7" s="37">
        <f>I7/E7</f>
        <v>29.25</v>
      </c>
    </row>
    <row r="8" spans="1:12" x14ac:dyDescent="0.2">
      <c r="A8" s="32" t="s">
        <v>45</v>
      </c>
      <c r="B8" s="30">
        <f>VLOOKUP($B1,计算用!A:G,6,FALSE)</f>
        <v>55520.08</v>
      </c>
      <c r="C8" s="35">
        <v>5</v>
      </c>
      <c r="D8" s="39" t="s">
        <v>55</v>
      </c>
      <c r="E8" s="40">
        <v>5</v>
      </c>
      <c r="F8" s="37">
        <v>4192</v>
      </c>
      <c r="G8" s="71">
        <f t="shared" si="0"/>
        <v>6940010</v>
      </c>
      <c r="H8" s="71">
        <f t="shared" si="1"/>
        <v>867501.25</v>
      </c>
      <c r="I8" s="37">
        <f>F8/8</f>
        <v>524</v>
      </c>
      <c r="J8" s="71">
        <f>H8/E8</f>
        <v>173500.25</v>
      </c>
      <c r="K8" s="37">
        <f>I8/E8</f>
        <v>104.8</v>
      </c>
    </row>
    <row r="9" spans="1:12" x14ac:dyDescent="0.2">
      <c r="B9" s="30">
        <f>SUM(B4:B8)*10000</f>
        <v>1110401700</v>
      </c>
      <c r="F9" s="30">
        <f>SUM(F4:F8)*E1</f>
        <v>668800</v>
      </c>
      <c r="L9" s="30">
        <f>F9-B9</f>
        <v>-1109732900</v>
      </c>
    </row>
    <row r="11" spans="1:12" x14ac:dyDescent="0.2">
      <c r="B11" s="31" t="s">
        <v>61</v>
      </c>
    </row>
    <row r="12" spans="1:12" x14ac:dyDescent="0.2">
      <c r="C12" s="113" t="str">
        <f>RIGHT(B11,LEN(B11)-2)&amp;"工作量测算"</f>
        <v>预算管理工作量测算</v>
      </c>
      <c r="D12" s="113"/>
      <c r="E12" s="113"/>
      <c r="F12" s="113"/>
    </row>
    <row r="13" spans="1:12" x14ac:dyDescent="0.2">
      <c r="A13" s="32"/>
      <c r="C13" s="33" t="s">
        <v>47</v>
      </c>
      <c r="D13" s="44" t="s">
        <v>48</v>
      </c>
      <c r="E13" s="45" t="s">
        <v>49</v>
      </c>
      <c r="F13" s="44" t="s">
        <v>83</v>
      </c>
      <c r="G13" s="34" t="s">
        <v>50</v>
      </c>
      <c r="H13" s="70" t="s">
        <v>56</v>
      </c>
      <c r="I13" s="70" t="s">
        <v>59</v>
      </c>
      <c r="J13" s="70" t="s">
        <v>57</v>
      </c>
      <c r="K13" s="37"/>
    </row>
    <row r="14" spans="1:12" x14ac:dyDescent="0.2">
      <c r="A14" s="30" t="s">
        <v>43</v>
      </c>
      <c r="B14" s="30">
        <f>VLOOKUP($B11,计算用!A:G,2,FALSE)</f>
        <v>2538.06</v>
      </c>
      <c r="C14" s="35">
        <v>1</v>
      </c>
      <c r="D14" s="37" t="s">
        <v>51</v>
      </c>
      <c r="E14" s="35">
        <v>4</v>
      </c>
      <c r="F14" s="37">
        <v>192</v>
      </c>
      <c r="G14" s="71">
        <f>B14/$E$1*10000</f>
        <v>317257.5</v>
      </c>
      <c r="H14" s="71">
        <f>B14/$E$1*10000/8</f>
        <v>39657.1875</v>
      </c>
      <c r="I14" s="37">
        <f>F14/8</f>
        <v>24</v>
      </c>
      <c r="J14" s="71">
        <f>H14/E14</f>
        <v>9914.296875</v>
      </c>
      <c r="K14" s="37">
        <f>I14/E14</f>
        <v>6</v>
      </c>
    </row>
    <row r="15" spans="1:12" x14ac:dyDescent="0.2">
      <c r="A15" s="30" t="s">
        <v>42</v>
      </c>
      <c r="B15" s="30">
        <f>VLOOKUP($B11,计算用!A:G,3,FALSE)</f>
        <v>6345.15</v>
      </c>
      <c r="C15" s="35">
        <v>2</v>
      </c>
      <c r="D15" s="37" t="s">
        <v>52</v>
      </c>
      <c r="E15" s="35">
        <v>5</v>
      </c>
      <c r="F15" s="37">
        <v>480</v>
      </c>
      <c r="G15" s="71">
        <f t="shared" ref="G15:G18" si="2">B15/$E$1*10000</f>
        <v>793143.75</v>
      </c>
      <c r="H15" s="71">
        <f t="shared" ref="H15:H18" si="3">B15/$E$1*10000/8</f>
        <v>99142.96875</v>
      </c>
      <c r="I15" s="37">
        <f>F15/8</f>
        <v>60</v>
      </c>
      <c r="J15" s="71">
        <f>H15/E15</f>
        <v>19828.59375</v>
      </c>
      <c r="K15" s="37">
        <f>I15/E15</f>
        <v>12</v>
      </c>
    </row>
    <row r="16" spans="1:12" ht="51" x14ac:dyDescent="0.2">
      <c r="A16" s="38" t="s">
        <v>46</v>
      </c>
      <c r="B16" s="30">
        <f>VLOOKUP($B11,计算用!A:G,4,FALSE)</f>
        <v>15862.88</v>
      </c>
      <c r="C16" s="35">
        <v>3</v>
      </c>
      <c r="D16" s="42" t="s">
        <v>53</v>
      </c>
      <c r="E16" s="35">
        <v>2</v>
      </c>
      <c r="F16" s="37">
        <v>1176</v>
      </c>
      <c r="G16" s="71">
        <f t="shared" si="2"/>
        <v>1982860</v>
      </c>
      <c r="H16" s="71">
        <f t="shared" si="3"/>
        <v>247857.5</v>
      </c>
      <c r="I16" s="37">
        <f>F16/8</f>
        <v>147</v>
      </c>
      <c r="J16" s="71">
        <f>H16/E16</f>
        <v>123928.75</v>
      </c>
      <c r="K16" s="37">
        <f>I16/E16</f>
        <v>73.5</v>
      </c>
    </row>
    <row r="17" spans="1:12" x14ac:dyDescent="0.2">
      <c r="A17" s="30" t="s">
        <v>44</v>
      </c>
      <c r="B17" s="30">
        <f>VLOOKUP($B11,计算用!A:G,5,FALSE)</f>
        <v>6979.67</v>
      </c>
      <c r="C17" s="35">
        <v>4</v>
      </c>
      <c r="D17" s="42" t="s">
        <v>54</v>
      </c>
      <c r="E17" s="35">
        <v>4</v>
      </c>
      <c r="F17" s="37">
        <v>536</v>
      </c>
      <c r="G17" s="71">
        <f t="shared" si="2"/>
        <v>872458.75</v>
      </c>
      <c r="H17" s="71">
        <f t="shared" si="3"/>
        <v>109057.34375</v>
      </c>
      <c r="I17" s="37">
        <f>F17/8</f>
        <v>67</v>
      </c>
      <c r="J17" s="71">
        <f>H17/E17</f>
        <v>27264.3359375</v>
      </c>
      <c r="K17" s="37">
        <f>I17/E17</f>
        <v>16.75</v>
      </c>
    </row>
    <row r="18" spans="1:12" x14ac:dyDescent="0.2">
      <c r="A18" s="32" t="s">
        <v>45</v>
      </c>
      <c r="B18" s="30">
        <f>VLOOKUP($B11,计算用!A:G,6,FALSE)</f>
        <v>31725.759999999998</v>
      </c>
      <c r="C18" s="35">
        <v>5</v>
      </c>
      <c r="D18" s="42" t="s">
        <v>55</v>
      </c>
      <c r="E18" s="35">
        <v>5</v>
      </c>
      <c r="F18" s="37">
        <v>2392</v>
      </c>
      <c r="G18" s="71">
        <f t="shared" si="2"/>
        <v>3965720</v>
      </c>
      <c r="H18" s="71">
        <f t="shared" si="3"/>
        <v>495715</v>
      </c>
      <c r="I18" s="37">
        <f>F18/8</f>
        <v>299</v>
      </c>
      <c r="J18" s="71">
        <f>H18/E18</f>
        <v>99143</v>
      </c>
      <c r="K18" s="37">
        <f>I18/E18</f>
        <v>59.8</v>
      </c>
    </row>
    <row r="19" spans="1:12" x14ac:dyDescent="0.2">
      <c r="B19" s="30">
        <f>SUM(B14:B18)*10000</f>
        <v>634515199.99999988</v>
      </c>
      <c r="F19" s="30">
        <f>SUM(F14:F18)*$E$1</f>
        <v>382080</v>
      </c>
      <c r="L19" s="30">
        <f>F19-B19</f>
        <v>-634133119.99999988</v>
      </c>
    </row>
    <row r="21" spans="1:12" x14ac:dyDescent="0.2">
      <c r="B21" s="31" t="s">
        <v>62</v>
      </c>
    </row>
    <row r="22" spans="1:12" x14ac:dyDescent="0.2">
      <c r="C22" s="113" t="str">
        <f>RIGHT(B21,LEN(B21)-2)&amp;"工作量测算"</f>
        <v>财务管理工作量测算</v>
      </c>
      <c r="D22" s="113"/>
      <c r="E22" s="113"/>
      <c r="F22" s="113"/>
    </row>
    <row r="23" spans="1:12" x14ac:dyDescent="0.2">
      <c r="A23" s="32"/>
      <c r="C23" s="33" t="s">
        <v>47</v>
      </c>
      <c r="D23" s="44" t="s">
        <v>48</v>
      </c>
      <c r="E23" s="45" t="s">
        <v>49</v>
      </c>
      <c r="F23" s="44" t="s">
        <v>83</v>
      </c>
      <c r="G23" s="34" t="s">
        <v>50</v>
      </c>
      <c r="H23" s="70" t="s">
        <v>56</v>
      </c>
      <c r="I23" s="70" t="s">
        <v>59</v>
      </c>
      <c r="J23" s="70" t="s">
        <v>57</v>
      </c>
      <c r="K23" s="37"/>
    </row>
    <row r="24" spans="1:12" x14ac:dyDescent="0.2">
      <c r="A24" s="30" t="s">
        <v>43</v>
      </c>
      <c r="B24" s="30">
        <f>VLOOKUP($B21,计算用!A:G,2,FALSE)</f>
        <v>3807.09</v>
      </c>
      <c r="C24" s="35">
        <v>1</v>
      </c>
      <c r="D24" s="37" t="s">
        <v>51</v>
      </c>
      <c r="E24" s="35">
        <v>4</v>
      </c>
      <c r="F24" s="37">
        <v>288</v>
      </c>
      <c r="G24" s="71">
        <f>B24/$E$1*10000</f>
        <v>475886.25</v>
      </c>
      <c r="H24" s="71">
        <f>B24/$E$1*10000/8</f>
        <v>59485.78125</v>
      </c>
      <c r="I24" s="37">
        <f>F24/8</f>
        <v>36</v>
      </c>
      <c r="J24" s="71">
        <f>H24/E24</f>
        <v>14871.4453125</v>
      </c>
      <c r="K24" s="37">
        <f>I24/E24</f>
        <v>9</v>
      </c>
    </row>
    <row r="25" spans="1:12" x14ac:dyDescent="0.2">
      <c r="A25" s="30" t="s">
        <v>42</v>
      </c>
      <c r="B25" s="30">
        <f>VLOOKUP($B21,计算用!A:G,3,FALSE)</f>
        <v>9517.73</v>
      </c>
      <c r="C25" s="35">
        <v>2</v>
      </c>
      <c r="D25" s="37" t="s">
        <v>52</v>
      </c>
      <c r="E25" s="35">
        <v>4</v>
      </c>
      <c r="F25" s="37">
        <v>720</v>
      </c>
      <c r="G25" s="71">
        <f t="shared" ref="G25:G28" si="4">B25/$E$1*10000</f>
        <v>1189716.25</v>
      </c>
      <c r="H25" s="71">
        <f t="shared" ref="H25:H28" si="5">B25/$E$1*10000/8</f>
        <v>148714.53125</v>
      </c>
      <c r="I25" s="37">
        <f>F25/8</f>
        <v>90</v>
      </c>
      <c r="J25" s="71">
        <f>H25/E25</f>
        <v>37178.6328125</v>
      </c>
      <c r="K25" s="37">
        <f>I25/E25</f>
        <v>22.5</v>
      </c>
    </row>
    <row r="26" spans="1:12" ht="51" x14ac:dyDescent="0.2">
      <c r="A26" s="38" t="s">
        <v>46</v>
      </c>
      <c r="B26" s="30">
        <f>VLOOKUP($B21,计算用!A:G,4,FALSE)</f>
        <v>23794.32</v>
      </c>
      <c r="C26" s="35">
        <v>3</v>
      </c>
      <c r="D26" s="42" t="s">
        <v>53</v>
      </c>
      <c r="E26" s="35">
        <v>6</v>
      </c>
      <c r="F26" s="37">
        <v>1752</v>
      </c>
      <c r="G26" s="71">
        <f t="shared" si="4"/>
        <v>2974289.9999999995</v>
      </c>
      <c r="H26" s="71">
        <f t="shared" si="5"/>
        <v>371786.24999999994</v>
      </c>
      <c r="I26" s="37">
        <f>F26/8</f>
        <v>219</v>
      </c>
      <c r="J26" s="71">
        <f>H26/E26</f>
        <v>61964.374999999993</v>
      </c>
      <c r="K26" s="37">
        <f>I26/E26</f>
        <v>36.5</v>
      </c>
    </row>
    <row r="27" spans="1:12" x14ac:dyDescent="0.2">
      <c r="A27" s="30" t="s">
        <v>44</v>
      </c>
      <c r="B27" s="30">
        <f>VLOOKUP($B21,计算用!A:G,5,FALSE)</f>
        <v>10469.5</v>
      </c>
      <c r="C27" s="35">
        <v>4</v>
      </c>
      <c r="D27" s="42" t="s">
        <v>54</v>
      </c>
      <c r="E27" s="35">
        <v>6</v>
      </c>
      <c r="F27" s="37">
        <v>800</v>
      </c>
      <c r="G27" s="71">
        <f t="shared" si="4"/>
        <v>1308687.5</v>
      </c>
      <c r="H27" s="71">
        <f t="shared" si="5"/>
        <v>163585.9375</v>
      </c>
      <c r="I27" s="37">
        <f>F27/8</f>
        <v>100</v>
      </c>
      <c r="J27" s="71">
        <f>H27/E27</f>
        <v>27264.322916666668</v>
      </c>
      <c r="K27" s="37">
        <f>I27/E27</f>
        <v>16.666666666666668</v>
      </c>
    </row>
    <row r="28" spans="1:12" x14ac:dyDescent="0.2">
      <c r="A28" s="32" t="s">
        <v>45</v>
      </c>
      <c r="B28" s="30">
        <f>VLOOKUP($B21,计算用!A:G,6,FALSE)</f>
        <v>47588.639999999999</v>
      </c>
      <c r="C28" s="35">
        <v>5</v>
      </c>
      <c r="D28" s="42" t="s">
        <v>55</v>
      </c>
      <c r="E28" s="35">
        <v>5</v>
      </c>
      <c r="F28" s="37">
        <v>3592</v>
      </c>
      <c r="G28" s="71">
        <f t="shared" si="4"/>
        <v>5948579.9999999991</v>
      </c>
      <c r="H28" s="71">
        <f t="shared" si="5"/>
        <v>743572.49999999988</v>
      </c>
      <c r="I28" s="37">
        <f>F28/8</f>
        <v>449</v>
      </c>
      <c r="J28" s="71">
        <f>H28/E28</f>
        <v>148714.49999999997</v>
      </c>
      <c r="K28" s="37">
        <f>I28/E28</f>
        <v>89.8</v>
      </c>
    </row>
    <row r="29" spans="1:12" x14ac:dyDescent="0.2">
      <c r="B29" s="30">
        <f>SUM(B24:B28)*10000</f>
        <v>951772800</v>
      </c>
      <c r="F29" s="30">
        <f>SUM(F24:F28)*$E$1</f>
        <v>572160</v>
      </c>
      <c r="L29" s="30">
        <f>F29-B29</f>
        <v>-951200640</v>
      </c>
    </row>
    <row r="31" spans="1:12" x14ac:dyDescent="0.2">
      <c r="B31" s="31" t="s">
        <v>63</v>
      </c>
    </row>
    <row r="32" spans="1:12" x14ac:dyDescent="0.2">
      <c r="C32" s="113" t="str">
        <f>RIGHT(B31,LEN(B31)-2)&amp;"工作量测算"</f>
        <v>会计核算工作量测算</v>
      </c>
      <c r="D32" s="113"/>
      <c r="E32" s="113"/>
      <c r="F32" s="113"/>
    </row>
    <row r="33" spans="1:12" x14ac:dyDescent="0.2">
      <c r="A33" s="32"/>
      <c r="C33" s="33" t="s">
        <v>47</v>
      </c>
      <c r="D33" s="44" t="s">
        <v>48</v>
      </c>
      <c r="E33" s="45" t="s">
        <v>49</v>
      </c>
      <c r="F33" s="44" t="s">
        <v>83</v>
      </c>
      <c r="G33" s="34" t="s">
        <v>50</v>
      </c>
      <c r="H33" s="70" t="s">
        <v>56</v>
      </c>
      <c r="I33" s="70" t="s">
        <v>59</v>
      </c>
      <c r="J33" s="70" t="s">
        <v>57</v>
      </c>
      <c r="K33" s="37"/>
    </row>
    <row r="34" spans="1:12" x14ac:dyDescent="0.2">
      <c r="A34" s="30" t="s">
        <v>43</v>
      </c>
      <c r="B34" s="30">
        <f>VLOOKUP($B31,计算用!A:G,2,FALSE)</f>
        <v>2538.06</v>
      </c>
      <c r="C34" s="35">
        <v>1</v>
      </c>
      <c r="D34" s="37" t="s">
        <v>51</v>
      </c>
      <c r="E34" s="35">
        <v>4</v>
      </c>
      <c r="F34" s="37">
        <v>192</v>
      </c>
      <c r="G34" s="71">
        <f>B34/$E$1*10000</f>
        <v>317257.5</v>
      </c>
      <c r="H34" s="71">
        <f>B34/$E$1*10000/8</f>
        <v>39657.1875</v>
      </c>
      <c r="I34" s="37">
        <f>F34/8</f>
        <v>24</v>
      </c>
      <c r="J34" s="71">
        <f>H34/E34</f>
        <v>9914.296875</v>
      </c>
      <c r="K34" s="37">
        <f>I34/E34</f>
        <v>6</v>
      </c>
    </row>
    <row r="35" spans="1:12" x14ac:dyDescent="0.2">
      <c r="A35" s="30" t="s">
        <v>42</v>
      </c>
      <c r="B35" s="30">
        <f>VLOOKUP($B31,计算用!A:G,3,FALSE)</f>
        <v>6345.15</v>
      </c>
      <c r="C35" s="35">
        <v>2</v>
      </c>
      <c r="D35" s="37" t="s">
        <v>52</v>
      </c>
      <c r="E35" s="35">
        <v>4</v>
      </c>
      <c r="F35" s="37">
        <v>448</v>
      </c>
      <c r="G35" s="71">
        <f t="shared" ref="G35:G38" si="6">B35/$E$1*10000</f>
        <v>793143.75</v>
      </c>
      <c r="H35" s="71">
        <f t="shared" ref="H35:H38" si="7">B35/$E$1*10000/8</f>
        <v>99142.96875</v>
      </c>
      <c r="I35" s="37">
        <f>F35/8</f>
        <v>56</v>
      </c>
      <c r="J35" s="71">
        <f>H35/E35</f>
        <v>24785.7421875</v>
      </c>
      <c r="K35" s="37">
        <f>I35/E35</f>
        <v>14</v>
      </c>
    </row>
    <row r="36" spans="1:12" ht="51" x14ac:dyDescent="0.2">
      <c r="A36" s="38" t="s">
        <v>46</v>
      </c>
      <c r="B36" s="30">
        <f>VLOOKUP($B31,计算用!A:G,4,FALSE)</f>
        <v>15862.88</v>
      </c>
      <c r="C36" s="35">
        <v>3</v>
      </c>
      <c r="D36" s="42" t="s">
        <v>53</v>
      </c>
      <c r="E36" s="35">
        <v>6</v>
      </c>
      <c r="F36" s="37">
        <v>1168</v>
      </c>
      <c r="G36" s="71">
        <f t="shared" si="6"/>
        <v>1982860</v>
      </c>
      <c r="H36" s="71">
        <f t="shared" si="7"/>
        <v>247857.5</v>
      </c>
      <c r="I36" s="37">
        <f>F36/8</f>
        <v>146</v>
      </c>
      <c r="J36" s="71">
        <f>H36/E36</f>
        <v>41309.583333333336</v>
      </c>
      <c r="K36" s="37">
        <f>I36/E36</f>
        <v>24.333333333333332</v>
      </c>
    </row>
    <row r="37" spans="1:12" x14ac:dyDescent="0.2">
      <c r="A37" s="30" t="s">
        <v>44</v>
      </c>
      <c r="B37" s="30">
        <f>VLOOKUP($B31,计算用!A:G,5,FALSE)</f>
        <v>6979.67</v>
      </c>
      <c r="C37" s="35">
        <v>4</v>
      </c>
      <c r="D37" s="42" t="s">
        <v>54</v>
      </c>
      <c r="E37" s="35">
        <v>6</v>
      </c>
      <c r="F37" s="37">
        <v>530</v>
      </c>
      <c r="G37" s="71">
        <f t="shared" si="6"/>
        <v>872458.75</v>
      </c>
      <c r="H37" s="71">
        <f t="shared" si="7"/>
        <v>109057.34375</v>
      </c>
      <c r="I37" s="37">
        <f>F37/8</f>
        <v>66.25</v>
      </c>
      <c r="J37" s="71">
        <f>H37/E37</f>
        <v>18176.223958333332</v>
      </c>
      <c r="K37" s="37">
        <f>I37/E37</f>
        <v>11.041666666666666</v>
      </c>
    </row>
    <row r="38" spans="1:12" x14ac:dyDescent="0.2">
      <c r="A38" s="32" t="s">
        <v>45</v>
      </c>
      <c r="B38" s="30">
        <f>VLOOKUP($B31,计算用!A:G,6,FALSE)</f>
        <v>31725.759999999998</v>
      </c>
      <c r="C38" s="35">
        <v>5</v>
      </c>
      <c r="D38" s="42" t="s">
        <v>55</v>
      </c>
      <c r="E38" s="35">
        <v>5</v>
      </c>
      <c r="F38" s="37">
        <v>2400</v>
      </c>
      <c r="G38" s="71">
        <f t="shared" si="6"/>
        <v>3965720</v>
      </c>
      <c r="H38" s="71">
        <f t="shared" si="7"/>
        <v>495715</v>
      </c>
      <c r="I38" s="37">
        <f>F38/8</f>
        <v>300</v>
      </c>
      <c r="J38" s="71">
        <f>H38/E38</f>
        <v>99143</v>
      </c>
      <c r="K38" s="37">
        <f>I38/E38</f>
        <v>60</v>
      </c>
    </row>
    <row r="39" spans="1:12" x14ac:dyDescent="0.2">
      <c r="B39" s="30">
        <f>SUM(B34:B38)*10000</f>
        <v>634515199.99999988</v>
      </c>
      <c r="F39" s="30">
        <f>SUM(F34:F38)*$E$1</f>
        <v>379040</v>
      </c>
      <c r="L39" s="30">
        <f>F39-B39</f>
        <v>-634136159.99999988</v>
      </c>
    </row>
    <row r="41" spans="1:12" x14ac:dyDescent="0.2">
      <c r="B41" s="31" t="s">
        <v>65</v>
      </c>
    </row>
    <row r="42" spans="1:12" x14ac:dyDescent="0.2">
      <c r="C42" s="113" t="str">
        <f>RIGHT(B41,LEN(B41)-2)&amp;"工作量测算"</f>
        <v>物资管理工作量测算</v>
      </c>
      <c r="D42" s="113"/>
      <c r="E42" s="113"/>
      <c r="F42" s="113"/>
    </row>
    <row r="43" spans="1:12" x14ac:dyDescent="0.2">
      <c r="A43" s="32"/>
      <c r="C43" s="33" t="s">
        <v>47</v>
      </c>
      <c r="D43" s="44" t="s">
        <v>48</v>
      </c>
      <c r="E43" s="45" t="s">
        <v>49</v>
      </c>
      <c r="F43" s="44" t="s">
        <v>83</v>
      </c>
      <c r="G43" s="34" t="s">
        <v>50</v>
      </c>
      <c r="H43" s="70" t="s">
        <v>56</v>
      </c>
      <c r="I43" s="70" t="s">
        <v>59</v>
      </c>
      <c r="J43" s="70" t="s">
        <v>57</v>
      </c>
      <c r="K43" s="37"/>
    </row>
    <row r="44" spans="1:12" x14ac:dyDescent="0.2">
      <c r="A44" s="30" t="s">
        <v>43</v>
      </c>
      <c r="B44" s="30">
        <f>VLOOKUP($B41,计算用!A:G,2,FALSE)</f>
        <v>1422.93</v>
      </c>
      <c r="C44" s="35">
        <v>1</v>
      </c>
      <c r="D44" s="37" t="s">
        <v>51</v>
      </c>
      <c r="E44" s="35">
        <v>4</v>
      </c>
      <c r="F44" s="37">
        <v>104</v>
      </c>
      <c r="G44" s="71">
        <f>B44/$E$1*10000</f>
        <v>177866.25</v>
      </c>
      <c r="H44" s="71">
        <f>B44/$E$1*10000/8</f>
        <v>22233.28125</v>
      </c>
      <c r="I44" s="37">
        <f>F44/8</f>
        <v>13</v>
      </c>
      <c r="J44" s="71">
        <f>H44/E44</f>
        <v>5558.3203125</v>
      </c>
      <c r="K44" s="37">
        <f>I44/E44</f>
        <v>3.25</v>
      </c>
    </row>
    <row r="45" spans="1:12" x14ac:dyDescent="0.2">
      <c r="A45" s="30" t="s">
        <v>42</v>
      </c>
      <c r="B45" s="30">
        <f>VLOOKUP($B41,计算用!A:G,3,FALSE)</f>
        <v>3557.33</v>
      </c>
      <c r="C45" s="35">
        <v>2</v>
      </c>
      <c r="D45" s="37" t="s">
        <v>52</v>
      </c>
      <c r="E45" s="35">
        <v>2</v>
      </c>
      <c r="F45" s="37">
        <v>256</v>
      </c>
      <c r="G45" s="71">
        <f t="shared" ref="G45:G48" si="8">B45/$E$1*10000</f>
        <v>444666.25</v>
      </c>
      <c r="H45" s="71">
        <f t="shared" ref="H45:H48" si="9">B45/$E$1*10000/8</f>
        <v>55583.28125</v>
      </c>
      <c r="I45" s="37">
        <f>F45/8</f>
        <v>32</v>
      </c>
      <c r="J45" s="71">
        <f>H45/E45</f>
        <v>27791.640625</v>
      </c>
      <c r="K45" s="37">
        <f>I45/E45</f>
        <v>16</v>
      </c>
    </row>
    <row r="46" spans="1:12" ht="51" x14ac:dyDescent="0.2">
      <c r="A46" s="38" t="s">
        <v>46</v>
      </c>
      <c r="B46" s="30">
        <f>VLOOKUP($B41,计算用!A:G,4,FALSE)</f>
        <v>8893.32</v>
      </c>
      <c r="C46" s="35">
        <v>3</v>
      </c>
      <c r="D46" s="42" t="s">
        <v>53</v>
      </c>
      <c r="E46" s="35">
        <v>4</v>
      </c>
      <c r="F46" s="37">
        <v>632</v>
      </c>
      <c r="G46" s="71">
        <f t="shared" si="8"/>
        <v>1111665</v>
      </c>
      <c r="H46" s="71">
        <f t="shared" si="9"/>
        <v>138958.125</v>
      </c>
      <c r="I46" s="37">
        <f>F46/8</f>
        <v>79</v>
      </c>
      <c r="J46" s="71">
        <f>H46/E46</f>
        <v>34739.53125</v>
      </c>
      <c r="K46" s="37">
        <f>I46/E46</f>
        <v>19.75</v>
      </c>
    </row>
    <row r="47" spans="1:12" x14ac:dyDescent="0.2">
      <c r="A47" s="30" t="s">
        <v>44</v>
      </c>
      <c r="B47" s="30">
        <f>VLOOKUP($B41,计算用!A:G,5,FALSE)</f>
        <v>3913.06</v>
      </c>
      <c r="C47" s="35">
        <v>4</v>
      </c>
      <c r="D47" s="42" t="s">
        <v>54</v>
      </c>
      <c r="E47" s="35">
        <v>2</v>
      </c>
      <c r="F47" s="37">
        <v>288</v>
      </c>
      <c r="G47" s="71">
        <f t="shared" si="8"/>
        <v>489132.5</v>
      </c>
      <c r="H47" s="71">
        <f t="shared" si="9"/>
        <v>61141.5625</v>
      </c>
      <c r="I47" s="37">
        <f>F47/8</f>
        <v>36</v>
      </c>
      <c r="J47" s="71">
        <f>H47/E47</f>
        <v>30570.78125</v>
      </c>
      <c r="K47" s="37">
        <f>I47/E47</f>
        <v>18</v>
      </c>
    </row>
    <row r="48" spans="1:12" x14ac:dyDescent="0.2">
      <c r="A48" s="32" t="s">
        <v>45</v>
      </c>
      <c r="B48" s="30">
        <f>VLOOKUP($B41,计算用!A:G,6,FALSE)</f>
        <v>17786.650000000001</v>
      </c>
      <c r="C48" s="35">
        <v>5</v>
      </c>
      <c r="D48" s="42" t="s">
        <v>55</v>
      </c>
      <c r="E48" s="35">
        <v>2</v>
      </c>
      <c r="F48" s="37">
        <v>1296</v>
      </c>
      <c r="G48" s="71">
        <f t="shared" si="8"/>
        <v>2223331.2500000005</v>
      </c>
      <c r="H48" s="71">
        <f t="shared" si="9"/>
        <v>277916.40625000006</v>
      </c>
      <c r="I48" s="37">
        <f>F48/8</f>
        <v>162</v>
      </c>
      <c r="J48" s="71">
        <f>H48/E48</f>
        <v>138958.20312500003</v>
      </c>
      <c r="K48" s="37">
        <f>I48/E48</f>
        <v>81</v>
      </c>
    </row>
    <row r="49" spans="1:12" x14ac:dyDescent="0.2">
      <c r="B49" s="30">
        <f>SUM(B44:B48)*10000</f>
        <v>355732900</v>
      </c>
      <c r="F49" s="30">
        <f>SUM(F44:F48)*$E$1</f>
        <v>206080</v>
      </c>
      <c r="L49" s="30">
        <f>F49-B49</f>
        <v>-355526820</v>
      </c>
    </row>
    <row r="51" spans="1:12" x14ac:dyDescent="0.2">
      <c r="B51" s="31" t="s">
        <v>60</v>
      </c>
    </row>
    <row r="52" spans="1:12" x14ac:dyDescent="0.2">
      <c r="C52" s="113" t="str">
        <f>RIGHT(B51,LEN(B51)-2)&amp;"工作量测算"</f>
        <v>固定资产管理工作量测算</v>
      </c>
      <c r="D52" s="113"/>
      <c r="E52" s="113"/>
      <c r="F52" s="113"/>
    </row>
    <row r="53" spans="1:12" x14ac:dyDescent="0.2">
      <c r="A53" s="32"/>
      <c r="C53" s="33" t="s">
        <v>47</v>
      </c>
      <c r="D53" s="44" t="s">
        <v>48</v>
      </c>
      <c r="E53" s="45" t="s">
        <v>49</v>
      </c>
      <c r="F53" s="44" t="s">
        <v>83</v>
      </c>
      <c r="G53" s="34" t="s">
        <v>50</v>
      </c>
      <c r="H53" s="70" t="s">
        <v>56</v>
      </c>
      <c r="I53" s="70" t="s">
        <v>59</v>
      </c>
      <c r="J53" s="70" t="s">
        <v>57</v>
      </c>
      <c r="K53" s="37"/>
    </row>
    <row r="54" spans="1:12" x14ac:dyDescent="0.2">
      <c r="A54" s="30" t="s">
        <v>43</v>
      </c>
      <c r="B54" s="30">
        <f>VLOOKUP($B51,计算用!A:G,2,FALSE)</f>
        <v>2845.86</v>
      </c>
      <c r="C54" s="35">
        <v>1</v>
      </c>
      <c r="D54" s="37" t="s">
        <v>51</v>
      </c>
      <c r="E54" s="35">
        <v>4</v>
      </c>
      <c r="F54" s="37">
        <v>208</v>
      </c>
      <c r="G54" s="71">
        <f>B54/$E$1*10000</f>
        <v>355732.5</v>
      </c>
      <c r="H54" s="71">
        <f>B54/$E$1*10000/8</f>
        <v>44466.5625</v>
      </c>
      <c r="I54" s="37">
        <f>F54/8</f>
        <v>26</v>
      </c>
      <c r="J54" s="71">
        <f>H54/E54</f>
        <v>11116.640625</v>
      </c>
      <c r="K54" s="37">
        <f>I54/E54</f>
        <v>6.5</v>
      </c>
    </row>
    <row r="55" spans="1:12" x14ac:dyDescent="0.2">
      <c r="A55" s="30" t="s">
        <v>42</v>
      </c>
      <c r="B55" s="30">
        <f>VLOOKUP($B51,计算用!A:G,3,FALSE)</f>
        <v>7114.66</v>
      </c>
      <c r="C55" s="35">
        <v>2</v>
      </c>
      <c r="D55" s="37" t="s">
        <v>52</v>
      </c>
      <c r="E55" s="35">
        <v>2</v>
      </c>
      <c r="F55" s="37">
        <v>520</v>
      </c>
      <c r="G55" s="71">
        <f t="shared" ref="G55:G58" si="10">B55/$E$1*10000</f>
        <v>889332.5</v>
      </c>
      <c r="H55" s="71">
        <f t="shared" ref="H55:H58" si="11">B55/$E$1*10000/8</f>
        <v>111166.5625</v>
      </c>
      <c r="I55" s="37">
        <f>F55/8</f>
        <v>65</v>
      </c>
      <c r="J55" s="71">
        <f>H55/E55</f>
        <v>55583.28125</v>
      </c>
      <c r="K55" s="37">
        <f>I55/E55</f>
        <v>32.5</v>
      </c>
    </row>
    <row r="56" spans="1:12" ht="51" x14ac:dyDescent="0.2">
      <c r="A56" s="38" t="s">
        <v>46</v>
      </c>
      <c r="B56" s="30">
        <f>VLOOKUP($B51,计算用!A:G,4,FALSE)</f>
        <v>17786.650000000001</v>
      </c>
      <c r="C56" s="35">
        <v>3</v>
      </c>
      <c r="D56" s="42" t="s">
        <v>53</v>
      </c>
      <c r="E56" s="35">
        <v>4</v>
      </c>
      <c r="F56" s="37">
        <v>1264</v>
      </c>
      <c r="G56" s="71">
        <f t="shared" si="10"/>
        <v>2223331.2500000005</v>
      </c>
      <c r="H56" s="71">
        <f t="shared" si="11"/>
        <v>277916.40625000006</v>
      </c>
      <c r="I56" s="37">
        <f>F56/8</f>
        <v>158</v>
      </c>
      <c r="J56" s="71">
        <f>H56/E56</f>
        <v>69479.101562500015</v>
      </c>
      <c r="K56" s="37">
        <f>I56/E56</f>
        <v>39.5</v>
      </c>
    </row>
    <row r="57" spans="1:12" x14ac:dyDescent="0.2">
      <c r="A57" s="30" t="s">
        <v>44</v>
      </c>
      <c r="B57" s="30">
        <f>VLOOKUP($B51,计算用!A:G,5,FALSE)</f>
        <v>7826.12</v>
      </c>
      <c r="C57" s="35">
        <v>4</v>
      </c>
      <c r="D57" s="42" t="s">
        <v>54</v>
      </c>
      <c r="E57" s="35">
        <v>2</v>
      </c>
      <c r="F57" s="37">
        <v>576</v>
      </c>
      <c r="G57" s="71">
        <f t="shared" si="10"/>
        <v>978265</v>
      </c>
      <c r="H57" s="71">
        <f t="shared" si="11"/>
        <v>122283.125</v>
      </c>
      <c r="I57" s="37">
        <f>F57/8</f>
        <v>72</v>
      </c>
      <c r="J57" s="71">
        <f>H57/E57</f>
        <v>61141.5625</v>
      </c>
      <c r="K57" s="37">
        <f>I57/E57</f>
        <v>36</v>
      </c>
    </row>
    <row r="58" spans="1:12" x14ac:dyDescent="0.2">
      <c r="A58" s="32" t="s">
        <v>45</v>
      </c>
      <c r="B58" s="30">
        <f>VLOOKUP($B51,计算用!A:G,6,FALSE)</f>
        <v>35573.29</v>
      </c>
      <c r="C58" s="35">
        <v>5</v>
      </c>
      <c r="D58" s="42" t="s">
        <v>55</v>
      </c>
      <c r="E58" s="35">
        <v>2</v>
      </c>
      <c r="F58" s="37">
        <v>2592</v>
      </c>
      <c r="G58" s="71">
        <f t="shared" si="10"/>
        <v>4446661.25</v>
      </c>
      <c r="H58" s="71">
        <f t="shared" si="11"/>
        <v>555832.65625</v>
      </c>
      <c r="I58" s="37">
        <f>F58/8</f>
        <v>324</v>
      </c>
      <c r="J58" s="71">
        <f>H58/E58</f>
        <v>277916.328125</v>
      </c>
      <c r="K58" s="37">
        <f>I58/E58</f>
        <v>162</v>
      </c>
    </row>
    <row r="59" spans="1:12" x14ac:dyDescent="0.2">
      <c r="B59" s="30">
        <f>SUM(B54:B58)*10000</f>
        <v>711465800</v>
      </c>
      <c r="F59" s="30">
        <f>SUM(F54:F58)*$E$1</f>
        <v>412800</v>
      </c>
      <c r="L59" s="30">
        <f>F59-B59</f>
        <v>-711053000</v>
      </c>
    </row>
    <row r="61" spans="1:12" x14ac:dyDescent="0.2">
      <c r="B61" s="31" t="s">
        <v>66</v>
      </c>
    </row>
    <row r="62" spans="1:12" x14ac:dyDescent="0.2">
      <c r="C62" s="113" t="str">
        <f>RIGHT(B61,LEN(B61)-2)&amp;"工作量测算"</f>
        <v>采购管理工作量测算</v>
      </c>
      <c r="D62" s="113"/>
      <c r="E62" s="113"/>
      <c r="F62" s="113"/>
    </row>
    <row r="63" spans="1:12" x14ac:dyDescent="0.2">
      <c r="A63" s="32"/>
      <c r="C63" s="33" t="s">
        <v>47</v>
      </c>
      <c r="D63" s="44" t="s">
        <v>48</v>
      </c>
      <c r="E63" s="45" t="s">
        <v>49</v>
      </c>
      <c r="F63" s="44" t="s">
        <v>83</v>
      </c>
      <c r="G63" s="34" t="s">
        <v>50</v>
      </c>
      <c r="H63" s="70" t="s">
        <v>56</v>
      </c>
      <c r="I63" s="70" t="s">
        <v>59</v>
      </c>
      <c r="J63" s="70" t="s">
        <v>57</v>
      </c>
      <c r="K63" s="37"/>
    </row>
    <row r="64" spans="1:12" x14ac:dyDescent="0.2">
      <c r="A64" s="30" t="s">
        <v>43</v>
      </c>
      <c r="B64" s="30">
        <f>VLOOKUP($B61,计算用!A:G,2,FALSE)</f>
        <v>1422.93</v>
      </c>
      <c r="C64" s="35">
        <v>1</v>
      </c>
      <c r="D64" s="37" t="s">
        <v>51</v>
      </c>
      <c r="E64" s="35">
        <v>1</v>
      </c>
      <c r="F64" s="37">
        <v>104</v>
      </c>
      <c r="G64" s="71">
        <f>B64/$E$1*10000</f>
        <v>177866.25</v>
      </c>
      <c r="H64" s="71">
        <f>B64/$E$1*10000/8</f>
        <v>22233.28125</v>
      </c>
      <c r="I64" s="37">
        <f>F64/8</f>
        <v>13</v>
      </c>
      <c r="J64" s="71">
        <f>H64/E64</f>
        <v>22233.28125</v>
      </c>
      <c r="K64" s="37">
        <f>I64/E64</f>
        <v>13</v>
      </c>
    </row>
    <row r="65" spans="1:12" x14ac:dyDescent="0.2">
      <c r="A65" s="30" t="s">
        <v>42</v>
      </c>
      <c r="B65" s="30">
        <f>VLOOKUP($B61,计算用!A:G,3,FALSE)</f>
        <v>3557.33</v>
      </c>
      <c r="C65" s="35">
        <v>2</v>
      </c>
      <c r="D65" s="37" t="s">
        <v>52</v>
      </c>
      <c r="E65" s="35">
        <v>2</v>
      </c>
      <c r="F65" s="37">
        <v>256</v>
      </c>
      <c r="G65" s="71">
        <f t="shared" ref="G65:G68" si="12">B65/$E$1*10000</f>
        <v>444666.25</v>
      </c>
      <c r="H65" s="71">
        <f t="shared" ref="H65:H68" si="13">B65/$E$1*10000/8</f>
        <v>55583.28125</v>
      </c>
      <c r="I65" s="37">
        <f>F65/8</f>
        <v>32</v>
      </c>
      <c r="J65" s="71">
        <f>H65/E65</f>
        <v>27791.640625</v>
      </c>
      <c r="K65" s="37">
        <f>I65/E65</f>
        <v>16</v>
      </c>
    </row>
    <row r="66" spans="1:12" ht="51" x14ac:dyDescent="0.2">
      <c r="A66" s="38" t="s">
        <v>46</v>
      </c>
      <c r="B66" s="30">
        <f>VLOOKUP($B61,计算用!A:G,4,FALSE)</f>
        <v>8893.32</v>
      </c>
      <c r="C66" s="35">
        <v>3</v>
      </c>
      <c r="D66" s="42" t="s">
        <v>53</v>
      </c>
      <c r="E66" s="35">
        <v>4</v>
      </c>
      <c r="F66" s="37">
        <v>632</v>
      </c>
      <c r="G66" s="71">
        <f t="shared" si="12"/>
        <v>1111665</v>
      </c>
      <c r="H66" s="71">
        <f t="shared" si="13"/>
        <v>138958.125</v>
      </c>
      <c r="I66" s="37">
        <f>F66/8</f>
        <v>79</v>
      </c>
      <c r="J66" s="71">
        <f>H66/E66</f>
        <v>34739.53125</v>
      </c>
      <c r="K66" s="37">
        <f>I66/E66</f>
        <v>19.75</v>
      </c>
    </row>
    <row r="67" spans="1:12" x14ac:dyDescent="0.2">
      <c r="A67" s="30" t="s">
        <v>44</v>
      </c>
      <c r="B67" s="30">
        <f>VLOOKUP($B61,计算用!A:G,5,FALSE)</f>
        <v>3913.06</v>
      </c>
      <c r="C67" s="35">
        <v>4</v>
      </c>
      <c r="D67" s="42" t="s">
        <v>54</v>
      </c>
      <c r="E67" s="35">
        <v>2</v>
      </c>
      <c r="F67" s="37">
        <v>288</v>
      </c>
      <c r="G67" s="71">
        <f t="shared" si="12"/>
        <v>489132.5</v>
      </c>
      <c r="H67" s="71">
        <f t="shared" si="13"/>
        <v>61141.5625</v>
      </c>
      <c r="I67" s="37">
        <f>F67/8</f>
        <v>36</v>
      </c>
      <c r="J67" s="71">
        <f>H67/E67</f>
        <v>30570.78125</v>
      </c>
      <c r="K67" s="37">
        <f>I67/E67</f>
        <v>18</v>
      </c>
    </row>
    <row r="68" spans="1:12" x14ac:dyDescent="0.2">
      <c r="A68" s="32" t="s">
        <v>45</v>
      </c>
      <c r="B68" s="30">
        <f>VLOOKUP($B61,计算用!A:G,6,FALSE)</f>
        <v>17786.650000000001</v>
      </c>
      <c r="C68" s="35">
        <v>5</v>
      </c>
      <c r="D68" s="42" t="s">
        <v>55</v>
      </c>
      <c r="E68" s="35">
        <v>2</v>
      </c>
      <c r="F68" s="37">
        <v>1296</v>
      </c>
      <c r="G68" s="71">
        <f t="shared" si="12"/>
        <v>2223331.2500000005</v>
      </c>
      <c r="H68" s="71">
        <f t="shared" si="13"/>
        <v>277916.40625000006</v>
      </c>
      <c r="I68" s="37">
        <f>F68/8</f>
        <v>162</v>
      </c>
      <c r="J68" s="71">
        <f>H68/E68</f>
        <v>138958.20312500003</v>
      </c>
      <c r="K68" s="37">
        <f>I68/E68</f>
        <v>81</v>
      </c>
    </row>
    <row r="69" spans="1:12" x14ac:dyDescent="0.2">
      <c r="B69" s="30">
        <f>SUM(B64:B68)*10000</f>
        <v>355732900</v>
      </c>
      <c r="F69" s="30">
        <f>SUM(F64:F68)*$E$1</f>
        <v>206080</v>
      </c>
      <c r="L69" s="30">
        <f>F69-B69</f>
        <v>-355526820</v>
      </c>
    </row>
    <row r="71" spans="1:12" x14ac:dyDescent="0.2">
      <c r="B71" s="31" t="s">
        <v>67</v>
      </c>
    </row>
    <row r="72" spans="1:12" x14ac:dyDescent="0.2">
      <c r="C72" s="113" t="str">
        <f>RIGHT(B71,LEN(B71)-2)&amp;"工作量测算"</f>
        <v>装备管理工作量测算</v>
      </c>
      <c r="D72" s="113"/>
      <c r="E72" s="113"/>
      <c r="F72" s="113"/>
    </row>
    <row r="73" spans="1:12" x14ac:dyDescent="0.2">
      <c r="A73" s="32"/>
      <c r="C73" s="33" t="s">
        <v>47</v>
      </c>
      <c r="D73" s="44" t="s">
        <v>48</v>
      </c>
      <c r="E73" s="45" t="s">
        <v>49</v>
      </c>
      <c r="F73" s="44" t="s">
        <v>83</v>
      </c>
      <c r="G73" s="34" t="s">
        <v>50</v>
      </c>
      <c r="H73" s="70" t="s">
        <v>56</v>
      </c>
      <c r="I73" s="70" t="s">
        <v>59</v>
      </c>
      <c r="J73" s="70" t="s">
        <v>57</v>
      </c>
      <c r="K73" s="37"/>
    </row>
    <row r="74" spans="1:12" x14ac:dyDescent="0.2">
      <c r="A74" s="30" t="s">
        <v>43</v>
      </c>
      <c r="B74" s="30">
        <f>VLOOKUP($B71,计算用!A:G,2,FALSE)</f>
        <v>1422.93</v>
      </c>
      <c r="C74" s="35">
        <v>1</v>
      </c>
      <c r="D74" s="37" t="s">
        <v>51</v>
      </c>
      <c r="E74" s="35">
        <v>1</v>
      </c>
      <c r="F74" s="37">
        <v>104</v>
      </c>
      <c r="G74" s="71">
        <f>B74/$E$1*10000</f>
        <v>177866.25</v>
      </c>
      <c r="H74" s="71">
        <f>B74/$E$1*10000/8</f>
        <v>22233.28125</v>
      </c>
      <c r="I74" s="37">
        <f>F74/8</f>
        <v>13</v>
      </c>
      <c r="J74" s="71">
        <f>H74/E74</f>
        <v>22233.28125</v>
      </c>
      <c r="K74" s="37">
        <f>I74/E74</f>
        <v>13</v>
      </c>
    </row>
    <row r="75" spans="1:12" x14ac:dyDescent="0.2">
      <c r="A75" s="30" t="s">
        <v>42</v>
      </c>
      <c r="B75" s="30">
        <f>VLOOKUP($B71,计算用!A:G,3,FALSE)</f>
        <v>3557.33</v>
      </c>
      <c r="C75" s="35">
        <v>2</v>
      </c>
      <c r="D75" s="37" t="s">
        <v>52</v>
      </c>
      <c r="E75" s="35">
        <v>2</v>
      </c>
      <c r="F75" s="37">
        <v>256</v>
      </c>
      <c r="G75" s="71">
        <f t="shared" ref="G75:G78" si="14">B75/$E$1*10000</f>
        <v>444666.25</v>
      </c>
      <c r="H75" s="71">
        <f t="shared" ref="H75:H78" si="15">B75/$E$1*10000/8</f>
        <v>55583.28125</v>
      </c>
      <c r="I75" s="37">
        <f>F75/8</f>
        <v>32</v>
      </c>
      <c r="J75" s="71">
        <f>H75/E75</f>
        <v>27791.640625</v>
      </c>
      <c r="K75" s="37">
        <f>I75/E75</f>
        <v>16</v>
      </c>
    </row>
    <row r="76" spans="1:12" ht="51" x14ac:dyDescent="0.2">
      <c r="A76" s="38" t="s">
        <v>46</v>
      </c>
      <c r="B76" s="30">
        <f>VLOOKUP($B71,计算用!A:G,4,FALSE)</f>
        <v>8893.32</v>
      </c>
      <c r="C76" s="35">
        <v>3</v>
      </c>
      <c r="D76" s="42" t="s">
        <v>53</v>
      </c>
      <c r="E76" s="35">
        <v>4</v>
      </c>
      <c r="F76" s="37">
        <v>632</v>
      </c>
      <c r="G76" s="71">
        <f t="shared" si="14"/>
        <v>1111665</v>
      </c>
      <c r="H76" s="71">
        <f t="shared" si="15"/>
        <v>138958.125</v>
      </c>
      <c r="I76" s="37">
        <f>F76/8</f>
        <v>79</v>
      </c>
      <c r="J76" s="71">
        <f>H76/E76</f>
        <v>34739.53125</v>
      </c>
      <c r="K76" s="37">
        <f>I76/E76</f>
        <v>19.75</v>
      </c>
    </row>
    <row r="77" spans="1:12" x14ac:dyDescent="0.2">
      <c r="A77" s="30" t="s">
        <v>44</v>
      </c>
      <c r="B77" s="30">
        <f>VLOOKUP($B71,计算用!A:G,5,FALSE)</f>
        <v>3913.06</v>
      </c>
      <c r="C77" s="35">
        <v>4</v>
      </c>
      <c r="D77" s="42" t="s">
        <v>54</v>
      </c>
      <c r="E77" s="35">
        <v>2</v>
      </c>
      <c r="F77" s="37">
        <v>288</v>
      </c>
      <c r="G77" s="71">
        <f t="shared" si="14"/>
        <v>489132.5</v>
      </c>
      <c r="H77" s="71">
        <f t="shared" si="15"/>
        <v>61141.5625</v>
      </c>
      <c r="I77" s="37">
        <f>F77/8</f>
        <v>36</v>
      </c>
      <c r="J77" s="71">
        <f>H77/E77</f>
        <v>30570.78125</v>
      </c>
      <c r="K77" s="37">
        <f>I77/E77</f>
        <v>18</v>
      </c>
    </row>
    <row r="78" spans="1:12" x14ac:dyDescent="0.2">
      <c r="A78" s="32" t="s">
        <v>45</v>
      </c>
      <c r="B78" s="30">
        <f>VLOOKUP($B71,计算用!A:G,6,FALSE)</f>
        <v>17786.650000000001</v>
      </c>
      <c r="C78" s="35">
        <v>5</v>
      </c>
      <c r="D78" s="42" t="s">
        <v>55</v>
      </c>
      <c r="E78" s="35">
        <v>2</v>
      </c>
      <c r="F78" s="37">
        <v>1296</v>
      </c>
      <c r="G78" s="71">
        <f t="shared" si="14"/>
        <v>2223331.2500000005</v>
      </c>
      <c r="H78" s="71">
        <f t="shared" si="15"/>
        <v>277916.40625000006</v>
      </c>
      <c r="I78" s="37">
        <f>F78/8</f>
        <v>162</v>
      </c>
      <c r="J78" s="71">
        <f>H78/E78</f>
        <v>138958.20312500003</v>
      </c>
      <c r="K78" s="37">
        <f>I78/E78</f>
        <v>81</v>
      </c>
    </row>
    <row r="79" spans="1:12" x14ac:dyDescent="0.2">
      <c r="B79" s="30">
        <f>SUM(B74:B78)*10000</f>
        <v>355732900</v>
      </c>
      <c r="F79" s="30">
        <f>SUM(F74:F78)*$E$1</f>
        <v>206080</v>
      </c>
      <c r="L79" s="30">
        <f>F79-B79</f>
        <v>-355526820</v>
      </c>
    </row>
    <row r="81" spans="1:12" x14ac:dyDescent="0.2">
      <c r="B81" s="31" t="s">
        <v>68</v>
      </c>
    </row>
    <row r="82" spans="1:12" x14ac:dyDescent="0.2">
      <c r="C82" s="113" t="str">
        <f>RIGHT(B81,LEN(B81)-2)&amp;"工作量测算"</f>
        <v>车辆管理工作量测算</v>
      </c>
      <c r="D82" s="113"/>
      <c r="E82" s="113"/>
      <c r="F82" s="113"/>
    </row>
    <row r="83" spans="1:12" x14ac:dyDescent="0.2">
      <c r="A83" s="32"/>
      <c r="C83" s="33" t="s">
        <v>47</v>
      </c>
      <c r="D83" s="44" t="s">
        <v>48</v>
      </c>
      <c r="E83" s="45" t="s">
        <v>49</v>
      </c>
      <c r="F83" s="44" t="s">
        <v>83</v>
      </c>
      <c r="G83" s="34" t="s">
        <v>50</v>
      </c>
      <c r="H83" s="70" t="s">
        <v>56</v>
      </c>
      <c r="I83" s="70" t="s">
        <v>59</v>
      </c>
      <c r="J83" s="70" t="s">
        <v>57</v>
      </c>
      <c r="K83" s="37"/>
    </row>
    <row r="84" spans="1:12" x14ac:dyDescent="0.2">
      <c r="A84" s="30" t="s">
        <v>43</v>
      </c>
      <c r="B84" s="30">
        <f>VLOOKUP($B81,计算用!A:G,2,FALSE)</f>
        <v>1422.93</v>
      </c>
      <c r="C84" s="35">
        <v>1</v>
      </c>
      <c r="D84" s="37" t="s">
        <v>51</v>
      </c>
      <c r="E84" s="35">
        <v>1</v>
      </c>
      <c r="F84" s="37">
        <v>104</v>
      </c>
      <c r="G84" s="71">
        <f>B84/$E$1*10000</f>
        <v>177866.25</v>
      </c>
      <c r="H84" s="71">
        <f>B84/$E$1*10000/8</f>
        <v>22233.28125</v>
      </c>
      <c r="I84" s="37">
        <f>F84/8</f>
        <v>13</v>
      </c>
      <c r="J84" s="71">
        <f>H84/E84</f>
        <v>22233.28125</v>
      </c>
      <c r="K84" s="37">
        <f>I84/E84</f>
        <v>13</v>
      </c>
    </row>
    <row r="85" spans="1:12" x14ac:dyDescent="0.2">
      <c r="A85" s="30" t="s">
        <v>42</v>
      </c>
      <c r="B85" s="30">
        <f>VLOOKUP($B81,计算用!A:G,3,FALSE)</f>
        <v>3557.33</v>
      </c>
      <c r="C85" s="35">
        <v>2</v>
      </c>
      <c r="D85" s="37" t="s">
        <v>52</v>
      </c>
      <c r="E85" s="35">
        <v>1</v>
      </c>
      <c r="F85" s="37">
        <v>256</v>
      </c>
      <c r="G85" s="71">
        <f t="shared" ref="G85:G88" si="16">B85/$E$1*10000</f>
        <v>444666.25</v>
      </c>
      <c r="H85" s="71">
        <f t="shared" ref="H85:H88" si="17">B85/$E$1*10000/8</f>
        <v>55583.28125</v>
      </c>
      <c r="I85" s="37">
        <f>F85/8</f>
        <v>32</v>
      </c>
      <c r="J85" s="71">
        <f>H85/E85</f>
        <v>55583.28125</v>
      </c>
      <c r="K85" s="37">
        <f>I85/E85</f>
        <v>32</v>
      </c>
    </row>
    <row r="86" spans="1:12" ht="51" x14ac:dyDescent="0.2">
      <c r="A86" s="38" t="s">
        <v>46</v>
      </c>
      <c r="B86" s="30">
        <f>VLOOKUP($B81,计算用!A:G,4,FALSE)</f>
        <v>8893.32</v>
      </c>
      <c r="C86" s="35">
        <v>3</v>
      </c>
      <c r="D86" s="42" t="s">
        <v>53</v>
      </c>
      <c r="E86" s="35">
        <v>2</v>
      </c>
      <c r="F86" s="37">
        <v>632</v>
      </c>
      <c r="G86" s="71">
        <f t="shared" si="16"/>
        <v>1111665</v>
      </c>
      <c r="H86" s="71">
        <f t="shared" si="17"/>
        <v>138958.125</v>
      </c>
      <c r="I86" s="37">
        <f>F86/8</f>
        <v>79</v>
      </c>
      <c r="J86" s="71">
        <f>H86/E86</f>
        <v>69479.0625</v>
      </c>
      <c r="K86" s="37">
        <f>I86/E86</f>
        <v>39.5</v>
      </c>
    </row>
    <row r="87" spans="1:12" x14ac:dyDescent="0.2">
      <c r="A87" s="30" t="s">
        <v>44</v>
      </c>
      <c r="B87" s="30">
        <f>VLOOKUP($B81,计算用!A:G,5,FALSE)</f>
        <v>3913.06</v>
      </c>
      <c r="C87" s="35">
        <v>4</v>
      </c>
      <c r="D87" s="42" t="s">
        <v>54</v>
      </c>
      <c r="E87" s="35">
        <v>2</v>
      </c>
      <c r="F87" s="37">
        <v>288</v>
      </c>
      <c r="G87" s="71">
        <f t="shared" si="16"/>
        <v>489132.5</v>
      </c>
      <c r="H87" s="71">
        <f t="shared" si="17"/>
        <v>61141.5625</v>
      </c>
      <c r="I87" s="37">
        <f>F87/8</f>
        <v>36</v>
      </c>
      <c r="J87" s="71">
        <f>H87/E87</f>
        <v>30570.78125</v>
      </c>
      <c r="K87" s="37">
        <f>I87/E87</f>
        <v>18</v>
      </c>
    </row>
    <row r="88" spans="1:12" x14ac:dyDescent="0.2">
      <c r="A88" s="32" t="s">
        <v>45</v>
      </c>
      <c r="B88" s="30">
        <f>VLOOKUP($B81,计算用!A:G,6,FALSE)</f>
        <v>17786.650000000001</v>
      </c>
      <c r="C88" s="35">
        <v>5</v>
      </c>
      <c r="D88" s="42" t="s">
        <v>55</v>
      </c>
      <c r="E88" s="35">
        <v>2</v>
      </c>
      <c r="F88" s="37">
        <v>1296</v>
      </c>
      <c r="G88" s="71">
        <f t="shared" si="16"/>
        <v>2223331.2500000005</v>
      </c>
      <c r="H88" s="71">
        <f t="shared" si="17"/>
        <v>277916.40625000006</v>
      </c>
      <c r="I88" s="37">
        <f>F88/8</f>
        <v>162</v>
      </c>
      <c r="J88" s="71">
        <f>H88/E88</f>
        <v>138958.20312500003</v>
      </c>
      <c r="K88" s="37">
        <f>I88/E88</f>
        <v>81</v>
      </c>
    </row>
    <row r="89" spans="1:12" x14ac:dyDescent="0.2">
      <c r="B89" s="30">
        <f>SUM(B84:B88)*10000</f>
        <v>355732900</v>
      </c>
      <c r="F89" s="30">
        <f>SUM(F84:F88)*$E$1</f>
        <v>206080</v>
      </c>
      <c r="L89" s="30">
        <f>F89-B89</f>
        <v>-355526820</v>
      </c>
    </row>
    <row r="91" spans="1:12" x14ac:dyDescent="0.2">
      <c r="B91" s="31" t="s">
        <v>69</v>
      </c>
    </row>
    <row r="92" spans="1:12" x14ac:dyDescent="0.2">
      <c r="C92" s="113" t="str">
        <f>RIGHT(B91,LEN(B91)-2)&amp;"工作量测算"</f>
        <v>案款管理工作量测算</v>
      </c>
      <c r="D92" s="113"/>
      <c r="E92" s="113"/>
      <c r="F92" s="113"/>
    </row>
    <row r="93" spans="1:12" x14ac:dyDescent="0.2">
      <c r="A93" s="32"/>
      <c r="C93" s="33" t="s">
        <v>47</v>
      </c>
      <c r="D93" s="44" t="s">
        <v>48</v>
      </c>
      <c r="E93" s="45" t="s">
        <v>49</v>
      </c>
      <c r="F93" s="44" t="s">
        <v>83</v>
      </c>
      <c r="G93" s="34" t="s">
        <v>50</v>
      </c>
      <c r="H93" s="70" t="s">
        <v>56</v>
      </c>
      <c r="I93" s="70" t="s">
        <v>59</v>
      </c>
      <c r="J93" s="70" t="s">
        <v>57</v>
      </c>
      <c r="K93" s="37"/>
    </row>
    <row r="94" spans="1:12" x14ac:dyDescent="0.2">
      <c r="A94" s="30" t="s">
        <v>43</v>
      </c>
      <c r="B94" s="30">
        <f>VLOOKUP($B91,计算用!A:G,2,FALSE)</f>
        <v>2845.86</v>
      </c>
      <c r="C94" s="35">
        <v>1</v>
      </c>
      <c r="D94" s="37" t="s">
        <v>51</v>
      </c>
      <c r="E94" s="35">
        <v>1</v>
      </c>
      <c r="F94" s="37">
        <v>208</v>
      </c>
      <c r="G94" s="71">
        <f>B94/$E$1*10000</f>
        <v>355732.5</v>
      </c>
      <c r="H94" s="71">
        <f>B94/$E$1*10000/8</f>
        <v>44466.5625</v>
      </c>
      <c r="I94" s="37">
        <f>F94/8</f>
        <v>26</v>
      </c>
      <c r="J94" s="71">
        <f>H94/E94</f>
        <v>44466.5625</v>
      </c>
      <c r="K94" s="37">
        <f>I94/E94</f>
        <v>26</v>
      </c>
    </row>
    <row r="95" spans="1:12" x14ac:dyDescent="0.2">
      <c r="A95" s="30" t="s">
        <v>42</v>
      </c>
      <c r="B95" s="30">
        <f>VLOOKUP($B91,计算用!A:G,3,FALSE)</f>
        <v>7114.66</v>
      </c>
      <c r="C95" s="35">
        <v>2</v>
      </c>
      <c r="D95" s="37" t="s">
        <v>52</v>
      </c>
      <c r="E95" s="35">
        <v>1</v>
      </c>
      <c r="F95" s="37">
        <v>520</v>
      </c>
      <c r="G95" s="71">
        <f t="shared" ref="G95:G98" si="18">B95/$E$1*10000</f>
        <v>889332.5</v>
      </c>
      <c r="H95" s="71">
        <f t="shared" ref="H95:H98" si="19">B95/$E$1*10000/8</f>
        <v>111166.5625</v>
      </c>
      <c r="I95" s="37">
        <f>F95/8</f>
        <v>65</v>
      </c>
      <c r="J95" s="71">
        <f>H95/E95</f>
        <v>111166.5625</v>
      </c>
      <c r="K95" s="37">
        <f>I95/E95</f>
        <v>65</v>
      </c>
    </row>
    <row r="96" spans="1:12" ht="51" x14ac:dyDescent="0.2">
      <c r="A96" s="38" t="s">
        <v>46</v>
      </c>
      <c r="B96" s="30">
        <f>VLOOKUP($B91,计算用!A:G,4,FALSE)</f>
        <v>17786.650000000001</v>
      </c>
      <c r="C96" s="35">
        <v>3</v>
      </c>
      <c r="D96" s="42" t="s">
        <v>53</v>
      </c>
      <c r="E96" s="35">
        <v>2</v>
      </c>
      <c r="F96" s="37">
        <v>1264</v>
      </c>
      <c r="G96" s="71">
        <f t="shared" si="18"/>
        <v>2223331.2500000005</v>
      </c>
      <c r="H96" s="71">
        <f t="shared" si="19"/>
        <v>277916.40625000006</v>
      </c>
      <c r="I96" s="37">
        <f>F96/8</f>
        <v>158</v>
      </c>
      <c r="J96" s="71">
        <f>H96/E96</f>
        <v>138958.20312500003</v>
      </c>
      <c r="K96" s="37">
        <f>I96/E96</f>
        <v>79</v>
      </c>
    </row>
    <row r="97" spans="1:12" x14ac:dyDescent="0.2">
      <c r="A97" s="30" t="s">
        <v>44</v>
      </c>
      <c r="B97" s="30">
        <f>VLOOKUP($B91,计算用!A:G,5,FALSE)</f>
        <v>7826.12</v>
      </c>
      <c r="C97" s="35">
        <v>4</v>
      </c>
      <c r="D97" s="42" t="s">
        <v>54</v>
      </c>
      <c r="E97" s="35">
        <v>2</v>
      </c>
      <c r="F97" s="37">
        <v>576</v>
      </c>
      <c r="G97" s="71">
        <f t="shared" si="18"/>
        <v>978265</v>
      </c>
      <c r="H97" s="71">
        <f t="shared" si="19"/>
        <v>122283.125</v>
      </c>
      <c r="I97" s="37">
        <f>F97/8</f>
        <v>72</v>
      </c>
      <c r="J97" s="71">
        <f>H97/E97</f>
        <v>61141.5625</v>
      </c>
      <c r="K97" s="37">
        <f>I97/E97</f>
        <v>36</v>
      </c>
    </row>
    <row r="98" spans="1:12" x14ac:dyDescent="0.2">
      <c r="A98" s="32" t="s">
        <v>45</v>
      </c>
      <c r="B98" s="30">
        <f>VLOOKUP($B91,计算用!A:G,6,FALSE)</f>
        <v>35573.29</v>
      </c>
      <c r="C98" s="35">
        <v>5</v>
      </c>
      <c r="D98" s="42" t="s">
        <v>55</v>
      </c>
      <c r="E98" s="35">
        <v>2</v>
      </c>
      <c r="F98" s="37">
        <v>2592</v>
      </c>
      <c r="G98" s="71">
        <f t="shared" si="18"/>
        <v>4446661.25</v>
      </c>
      <c r="H98" s="71">
        <f t="shared" si="19"/>
        <v>555832.65625</v>
      </c>
      <c r="I98" s="37">
        <f>F98/8</f>
        <v>324</v>
      </c>
      <c r="J98" s="71">
        <f>H98/E98</f>
        <v>277916.328125</v>
      </c>
      <c r="K98" s="37">
        <f>I98/E98</f>
        <v>162</v>
      </c>
    </row>
    <row r="99" spans="1:12" x14ac:dyDescent="0.2">
      <c r="B99" s="30">
        <f>SUM(B94:B98)*10000</f>
        <v>711465800</v>
      </c>
      <c r="F99" s="30">
        <f>SUM(F94:F98)*$E$1</f>
        <v>412800</v>
      </c>
      <c r="L99" s="30">
        <f>F99-B99</f>
        <v>-711053000</v>
      </c>
    </row>
    <row r="101" spans="1:12" x14ac:dyDescent="0.2">
      <c r="B101" s="31" t="s">
        <v>37</v>
      </c>
    </row>
    <row r="102" spans="1:12" x14ac:dyDescent="0.2">
      <c r="C102" s="113" t="str">
        <f>RIGHT(B101,LEN(B101)-3)&amp;"工作量测算"</f>
        <v>诉讼费管理工作量测算</v>
      </c>
      <c r="D102" s="113"/>
      <c r="E102" s="113"/>
      <c r="F102" s="113"/>
    </row>
    <row r="103" spans="1:12" x14ac:dyDescent="0.2">
      <c r="A103" s="32"/>
      <c r="C103" s="33" t="s">
        <v>47</v>
      </c>
      <c r="D103" s="44" t="s">
        <v>48</v>
      </c>
      <c r="E103" s="45" t="s">
        <v>49</v>
      </c>
      <c r="F103" s="44" t="s">
        <v>83</v>
      </c>
      <c r="G103" s="34" t="s">
        <v>50</v>
      </c>
      <c r="H103" s="70" t="s">
        <v>56</v>
      </c>
      <c r="I103" s="70" t="s">
        <v>59</v>
      </c>
      <c r="J103" s="70" t="s">
        <v>57</v>
      </c>
      <c r="K103" s="37"/>
    </row>
    <row r="104" spans="1:12" x14ac:dyDescent="0.2">
      <c r="A104" s="30" t="s">
        <v>43</v>
      </c>
      <c r="B104" s="30">
        <f>VLOOKUP($B101,计算用!A:G,2,FALSE)</f>
        <v>2845.86</v>
      </c>
      <c r="C104" s="35">
        <v>1</v>
      </c>
      <c r="D104" s="37" t="s">
        <v>51</v>
      </c>
      <c r="E104" s="35">
        <v>5</v>
      </c>
      <c r="F104" s="37">
        <v>208</v>
      </c>
      <c r="G104" s="71">
        <f>B104/$E$1*10000</f>
        <v>355732.5</v>
      </c>
      <c r="H104" s="71">
        <f>B104/$E$1*10000/8</f>
        <v>44466.5625</v>
      </c>
      <c r="I104" s="37">
        <f>F104/8</f>
        <v>26</v>
      </c>
      <c r="J104" s="71">
        <f>H104/E104</f>
        <v>8893.3125</v>
      </c>
      <c r="K104" s="37">
        <f>I104/E104</f>
        <v>5.2</v>
      </c>
    </row>
    <row r="105" spans="1:12" x14ac:dyDescent="0.2">
      <c r="A105" s="30" t="s">
        <v>42</v>
      </c>
      <c r="B105" s="30">
        <f>VLOOKUP($B101,计算用!A:G,3,FALSE)</f>
        <v>7114.66</v>
      </c>
      <c r="C105" s="35">
        <v>2</v>
      </c>
      <c r="D105" s="37" t="s">
        <v>52</v>
      </c>
      <c r="E105" s="35">
        <v>3</v>
      </c>
      <c r="F105" s="37">
        <v>520</v>
      </c>
      <c r="G105" s="71">
        <f t="shared" ref="G105:G108" si="20">B105/$E$1*10000</f>
        <v>889332.5</v>
      </c>
      <c r="H105" s="71">
        <f t="shared" ref="H105:H108" si="21">B105/$E$1*10000/8</f>
        <v>111166.5625</v>
      </c>
      <c r="I105" s="37">
        <f>F105/8</f>
        <v>65</v>
      </c>
      <c r="J105" s="71">
        <f>H105/E105</f>
        <v>37055.520833333336</v>
      </c>
      <c r="K105" s="37">
        <f>I105/E105</f>
        <v>21.666666666666668</v>
      </c>
    </row>
    <row r="106" spans="1:12" ht="51" x14ac:dyDescent="0.2">
      <c r="A106" s="38" t="s">
        <v>46</v>
      </c>
      <c r="B106" s="30">
        <f>VLOOKUP($B101,计算用!A:G,4,FALSE)</f>
        <v>17786.650000000001</v>
      </c>
      <c r="C106" s="35">
        <v>3</v>
      </c>
      <c r="D106" s="42" t="s">
        <v>53</v>
      </c>
      <c r="E106" s="35">
        <v>6</v>
      </c>
      <c r="F106" s="37">
        <v>1264</v>
      </c>
      <c r="G106" s="71">
        <f t="shared" si="20"/>
        <v>2223331.2500000005</v>
      </c>
      <c r="H106" s="71">
        <f t="shared" si="21"/>
        <v>277916.40625000006</v>
      </c>
      <c r="I106" s="37">
        <f>F106/8</f>
        <v>158</v>
      </c>
      <c r="J106" s="71">
        <f>H106/E106</f>
        <v>46319.401041666679</v>
      </c>
      <c r="K106" s="37">
        <f>I106/E106</f>
        <v>26.333333333333332</v>
      </c>
    </row>
    <row r="107" spans="1:12" x14ac:dyDescent="0.2">
      <c r="A107" s="30" t="s">
        <v>44</v>
      </c>
      <c r="B107" s="30">
        <f>VLOOKUP($B101,计算用!A:G,5,FALSE)</f>
        <v>7826.12</v>
      </c>
      <c r="C107" s="35">
        <v>4</v>
      </c>
      <c r="D107" s="42" t="s">
        <v>54</v>
      </c>
      <c r="E107" s="35">
        <v>4</v>
      </c>
      <c r="F107" s="37">
        <v>576</v>
      </c>
      <c r="G107" s="71">
        <f t="shared" si="20"/>
        <v>978265</v>
      </c>
      <c r="H107" s="71">
        <f t="shared" si="21"/>
        <v>122283.125</v>
      </c>
      <c r="I107" s="37">
        <f>F107/8</f>
        <v>72</v>
      </c>
      <c r="J107" s="71">
        <f>H107/E107</f>
        <v>30570.78125</v>
      </c>
      <c r="K107" s="37">
        <f>I107/E107</f>
        <v>18</v>
      </c>
    </row>
    <row r="108" spans="1:12" x14ac:dyDescent="0.2">
      <c r="A108" s="32" t="s">
        <v>45</v>
      </c>
      <c r="B108" s="30">
        <f>VLOOKUP($B101,计算用!A:G,6,FALSE)</f>
        <v>35573.29</v>
      </c>
      <c r="C108" s="35">
        <v>5</v>
      </c>
      <c r="D108" s="42" t="s">
        <v>55</v>
      </c>
      <c r="E108" s="35">
        <v>6</v>
      </c>
      <c r="F108" s="37">
        <v>2592</v>
      </c>
      <c r="G108" s="71">
        <f t="shared" si="20"/>
        <v>4446661.25</v>
      </c>
      <c r="H108" s="71">
        <f t="shared" si="21"/>
        <v>555832.65625</v>
      </c>
      <c r="I108" s="37">
        <f>F108/8</f>
        <v>324</v>
      </c>
      <c r="J108" s="71">
        <f>H108/E108</f>
        <v>92638.776041666672</v>
      </c>
      <c r="K108" s="37">
        <f>I108/E108</f>
        <v>54</v>
      </c>
    </row>
    <row r="109" spans="1:12" x14ac:dyDescent="0.2">
      <c r="B109" s="30">
        <f>SUM(B104:B108)*10000</f>
        <v>711465800</v>
      </c>
      <c r="F109" s="30">
        <f>SUM(F104:F108)*$E$1</f>
        <v>412800</v>
      </c>
      <c r="L109" s="30">
        <f>F109-B109</f>
        <v>-711053000</v>
      </c>
    </row>
    <row r="111" spans="1:12" x14ac:dyDescent="0.2">
      <c r="B111" s="31" t="s">
        <v>38</v>
      </c>
    </row>
    <row r="112" spans="1:12" x14ac:dyDescent="0.2">
      <c r="C112" s="113" t="str">
        <f>RIGHT(B111,LEN(B111)-3)&amp;"工作量测算"</f>
        <v>决算管理工作量测算</v>
      </c>
      <c r="D112" s="113"/>
      <c r="E112" s="113"/>
      <c r="F112" s="113"/>
    </row>
    <row r="113" spans="1:12" x14ac:dyDescent="0.2">
      <c r="A113" s="32"/>
      <c r="C113" s="33" t="s">
        <v>47</v>
      </c>
      <c r="D113" s="44" t="s">
        <v>48</v>
      </c>
      <c r="E113" s="45" t="s">
        <v>49</v>
      </c>
      <c r="F113" s="44" t="s">
        <v>83</v>
      </c>
      <c r="G113" s="34" t="s">
        <v>50</v>
      </c>
      <c r="H113" s="70" t="s">
        <v>56</v>
      </c>
      <c r="I113" s="70" t="s">
        <v>59</v>
      </c>
      <c r="J113" s="70" t="s">
        <v>57</v>
      </c>
      <c r="K113" s="37"/>
    </row>
    <row r="114" spans="1:12" x14ac:dyDescent="0.2">
      <c r="A114" s="30" t="s">
        <v>43</v>
      </c>
      <c r="B114" s="30">
        <f>VLOOKUP($B111,计算用!A:G,2,FALSE)</f>
        <v>1422.93</v>
      </c>
      <c r="C114" s="35">
        <v>1</v>
      </c>
      <c r="D114" s="37" t="s">
        <v>51</v>
      </c>
      <c r="E114" s="35">
        <v>1</v>
      </c>
      <c r="F114" s="37">
        <v>104</v>
      </c>
      <c r="G114" s="71">
        <f>B114/$E$1*10000</f>
        <v>177866.25</v>
      </c>
      <c r="H114" s="71">
        <f>B114/$E$1*10000/8</f>
        <v>22233.28125</v>
      </c>
      <c r="I114" s="37">
        <f>F114/8</f>
        <v>13</v>
      </c>
      <c r="J114" s="71">
        <f>H114/E114</f>
        <v>22233.28125</v>
      </c>
      <c r="K114" s="37">
        <f>I114/E114</f>
        <v>13</v>
      </c>
    </row>
    <row r="115" spans="1:12" x14ac:dyDescent="0.2">
      <c r="A115" s="30" t="s">
        <v>42</v>
      </c>
      <c r="B115" s="30">
        <f>VLOOKUP($B111,计算用!A:G,3,FALSE)</f>
        <v>3557.33</v>
      </c>
      <c r="C115" s="35">
        <v>2</v>
      </c>
      <c r="D115" s="37" t="s">
        <v>52</v>
      </c>
      <c r="E115" s="35">
        <v>1</v>
      </c>
      <c r="F115" s="37">
        <v>256</v>
      </c>
      <c r="G115" s="71">
        <f t="shared" ref="G115:G118" si="22">B115/$E$1*10000</f>
        <v>444666.25</v>
      </c>
      <c r="H115" s="71">
        <f t="shared" ref="H115:H118" si="23">B115/$E$1*10000/8</f>
        <v>55583.28125</v>
      </c>
      <c r="I115" s="37">
        <f>F115/8</f>
        <v>32</v>
      </c>
      <c r="J115" s="71">
        <f>H115/E115</f>
        <v>55583.28125</v>
      </c>
      <c r="K115" s="37">
        <f>I115/E115</f>
        <v>32</v>
      </c>
    </row>
    <row r="116" spans="1:12" ht="51" x14ac:dyDescent="0.2">
      <c r="A116" s="38" t="s">
        <v>46</v>
      </c>
      <c r="B116" s="30">
        <f>VLOOKUP($B111,计算用!A:G,4,FALSE)</f>
        <v>8893.32</v>
      </c>
      <c r="C116" s="35">
        <v>3</v>
      </c>
      <c r="D116" s="42" t="s">
        <v>53</v>
      </c>
      <c r="E116" s="35">
        <v>2</v>
      </c>
      <c r="F116" s="37">
        <v>632</v>
      </c>
      <c r="G116" s="71">
        <f t="shared" si="22"/>
        <v>1111665</v>
      </c>
      <c r="H116" s="71">
        <f t="shared" si="23"/>
        <v>138958.125</v>
      </c>
      <c r="I116" s="37">
        <f>F116/8</f>
        <v>79</v>
      </c>
      <c r="J116" s="71">
        <f>H116/E116</f>
        <v>69479.0625</v>
      </c>
      <c r="K116" s="37">
        <f>I116/E116</f>
        <v>39.5</v>
      </c>
    </row>
    <row r="117" spans="1:12" x14ac:dyDescent="0.2">
      <c r="A117" s="30" t="s">
        <v>44</v>
      </c>
      <c r="B117" s="30">
        <f>VLOOKUP($B111,计算用!A:G,5,FALSE)</f>
        <v>3913.06</v>
      </c>
      <c r="C117" s="35">
        <v>4</v>
      </c>
      <c r="D117" s="42" t="s">
        <v>54</v>
      </c>
      <c r="E117" s="35">
        <v>2</v>
      </c>
      <c r="F117" s="37">
        <v>288</v>
      </c>
      <c r="G117" s="71">
        <f t="shared" si="22"/>
        <v>489132.5</v>
      </c>
      <c r="H117" s="71">
        <f t="shared" si="23"/>
        <v>61141.5625</v>
      </c>
      <c r="I117" s="37">
        <f>F117/8</f>
        <v>36</v>
      </c>
      <c r="J117" s="71">
        <f>H117/E117</f>
        <v>30570.78125</v>
      </c>
      <c r="K117" s="37">
        <f>I117/E117</f>
        <v>18</v>
      </c>
    </row>
    <row r="118" spans="1:12" x14ac:dyDescent="0.2">
      <c r="A118" s="32" t="s">
        <v>45</v>
      </c>
      <c r="B118" s="30">
        <f>VLOOKUP($B111,计算用!A:G,6,FALSE)</f>
        <v>17786.650000000001</v>
      </c>
      <c r="C118" s="35">
        <v>5</v>
      </c>
      <c r="D118" s="42" t="s">
        <v>55</v>
      </c>
      <c r="E118" s="35">
        <v>6</v>
      </c>
      <c r="F118" s="37">
        <v>1296</v>
      </c>
      <c r="G118" s="71">
        <f t="shared" si="22"/>
        <v>2223331.2500000005</v>
      </c>
      <c r="H118" s="71">
        <f t="shared" si="23"/>
        <v>277916.40625000006</v>
      </c>
      <c r="I118" s="37">
        <f>F118/8</f>
        <v>162</v>
      </c>
      <c r="J118" s="71">
        <f>H118/E118</f>
        <v>46319.401041666679</v>
      </c>
      <c r="K118" s="37">
        <f>I118/E118</f>
        <v>27</v>
      </c>
    </row>
    <row r="119" spans="1:12" x14ac:dyDescent="0.2">
      <c r="B119" s="30">
        <f>SUM(B114:B118)*10000</f>
        <v>355732900</v>
      </c>
      <c r="F119" s="30">
        <f>SUM(F114:F118)*$E$1</f>
        <v>206080</v>
      </c>
      <c r="L119" s="30">
        <f>F119-B119</f>
        <v>-355526820</v>
      </c>
    </row>
    <row r="121" spans="1:12" x14ac:dyDescent="0.2">
      <c r="B121" s="31" t="s">
        <v>70</v>
      </c>
    </row>
    <row r="122" spans="1:12" x14ac:dyDescent="0.2">
      <c r="C122" s="113" t="str">
        <f>RIGHT(B121,LEN(B121)-3)&amp;"工作量测算"</f>
        <v>APP移动客户端工作量测算</v>
      </c>
      <c r="D122" s="113"/>
      <c r="E122" s="113"/>
      <c r="F122" s="113"/>
    </row>
    <row r="123" spans="1:12" x14ac:dyDescent="0.2">
      <c r="A123" s="32"/>
      <c r="C123" s="33" t="s">
        <v>47</v>
      </c>
      <c r="D123" s="44" t="s">
        <v>48</v>
      </c>
      <c r="E123" s="45" t="s">
        <v>49</v>
      </c>
      <c r="F123" s="44" t="s">
        <v>83</v>
      </c>
      <c r="G123" s="34" t="s">
        <v>50</v>
      </c>
      <c r="H123" s="70" t="s">
        <v>56</v>
      </c>
      <c r="I123" s="70" t="s">
        <v>59</v>
      </c>
      <c r="J123" s="70" t="s">
        <v>57</v>
      </c>
      <c r="K123" s="37"/>
    </row>
    <row r="124" spans="1:12" x14ac:dyDescent="0.2">
      <c r="A124" s="30" t="s">
        <v>43</v>
      </c>
      <c r="B124" s="30">
        <f>VLOOKUP($B121,计算用!A:G,2,FALSE)</f>
        <v>1422.93</v>
      </c>
      <c r="C124" s="35">
        <v>1</v>
      </c>
      <c r="D124" s="37" t="s">
        <v>51</v>
      </c>
      <c r="E124" s="35">
        <v>1</v>
      </c>
      <c r="F124" s="37">
        <v>104</v>
      </c>
      <c r="G124" s="71">
        <f>B124/$E$1*10000</f>
        <v>177866.25</v>
      </c>
      <c r="H124" s="71">
        <f>B124/$E$1*10000/8</f>
        <v>22233.28125</v>
      </c>
      <c r="I124" s="37">
        <f>F124/8</f>
        <v>13</v>
      </c>
      <c r="J124" s="71">
        <f>H124/E124</f>
        <v>22233.28125</v>
      </c>
      <c r="K124" s="37">
        <f>I124/E124</f>
        <v>13</v>
      </c>
    </row>
    <row r="125" spans="1:12" x14ac:dyDescent="0.2">
      <c r="A125" s="30" t="s">
        <v>42</v>
      </c>
      <c r="B125" s="30">
        <f>VLOOKUP($B121,计算用!A:G,3,FALSE)</f>
        <v>3557.33</v>
      </c>
      <c r="C125" s="35">
        <v>2</v>
      </c>
      <c r="D125" s="37" t="s">
        <v>52</v>
      </c>
      <c r="E125" s="35">
        <v>1</v>
      </c>
      <c r="F125" s="37">
        <v>256</v>
      </c>
      <c r="G125" s="71">
        <f t="shared" ref="G125:G128" si="24">B125/$E$1*10000</f>
        <v>444666.25</v>
      </c>
      <c r="H125" s="71">
        <f t="shared" ref="H125:H128" si="25">B125/$E$1*10000/8</f>
        <v>55583.28125</v>
      </c>
      <c r="I125" s="37">
        <f>F125/8</f>
        <v>32</v>
      </c>
      <c r="J125" s="71">
        <f>H125/E125</f>
        <v>55583.28125</v>
      </c>
      <c r="K125" s="37">
        <f>I125/E125</f>
        <v>32</v>
      </c>
    </row>
    <row r="126" spans="1:12" ht="51" x14ac:dyDescent="0.2">
      <c r="A126" s="38" t="s">
        <v>46</v>
      </c>
      <c r="B126" s="30">
        <f>VLOOKUP($B121,计算用!A:G,4,FALSE)</f>
        <v>8893.32</v>
      </c>
      <c r="C126" s="35">
        <v>3</v>
      </c>
      <c r="D126" s="42" t="s">
        <v>53</v>
      </c>
      <c r="E126" s="35">
        <v>2</v>
      </c>
      <c r="F126" s="37">
        <v>632</v>
      </c>
      <c r="G126" s="71">
        <f t="shared" si="24"/>
        <v>1111665</v>
      </c>
      <c r="H126" s="71">
        <f t="shared" si="25"/>
        <v>138958.125</v>
      </c>
      <c r="I126" s="37">
        <f>F126/8</f>
        <v>79</v>
      </c>
      <c r="J126" s="71">
        <f>H126/E126</f>
        <v>69479.0625</v>
      </c>
      <c r="K126" s="37">
        <f>I126/E126</f>
        <v>39.5</v>
      </c>
    </row>
    <row r="127" spans="1:12" x14ac:dyDescent="0.2">
      <c r="A127" s="30" t="s">
        <v>44</v>
      </c>
      <c r="B127" s="30">
        <f>VLOOKUP($B121,计算用!A:G,5,FALSE)</f>
        <v>3913.06</v>
      </c>
      <c r="C127" s="35">
        <v>4</v>
      </c>
      <c r="D127" s="42" t="s">
        <v>54</v>
      </c>
      <c r="E127" s="35">
        <v>1</v>
      </c>
      <c r="F127" s="37">
        <v>288</v>
      </c>
      <c r="G127" s="71">
        <f t="shared" si="24"/>
        <v>489132.5</v>
      </c>
      <c r="H127" s="71">
        <f t="shared" si="25"/>
        <v>61141.5625</v>
      </c>
      <c r="I127" s="37">
        <f>F127/8</f>
        <v>36</v>
      </c>
      <c r="J127" s="71">
        <f>H127/E127</f>
        <v>61141.5625</v>
      </c>
      <c r="K127" s="37">
        <f>I127/E127</f>
        <v>36</v>
      </c>
    </row>
    <row r="128" spans="1:12" x14ac:dyDescent="0.2">
      <c r="A128" s="32" t="s">
        <v>45</v>
      </c>
      <c r="B128" s="30">
        <f>VLOOKUP($B121,计算用!A:G,6,FALSE)</f>
        <v>17786.650000000001</v>
      </c>
      <c r="C128" s="35">
        <v>5</v>
      </c>
      <c r="D128" s="42" t="s">
        <v>55</v>
      </c>
      <c r="E128" s="35">
        <v>3</v>
      </c>
      <c r="F128" s="37">
        <v>1296</v>
      </c>
      <c r="G128" s="71">
        <f t="shared" si="24"/>
        <v>2223331.2500000005</v>
      </c>
      <c r="H128" s="71">
        <f t="shared" si="25"/>
        <v>277916.40625000006</v>
      </c>
      <c r="I128" s="37">
        <f>F128/8</f>
        <v>162</v>
      </c>
      <c r="J128" s="71">
        <f>H128/E128</f>
        <v>92638.802083333358</v>
      </c>
      <c r="K128" s="37">
        <f>I128/E128</f>
        <v>54</v>
      </c>
    </row>
    <row r="129" spans="2:13" x14ac:dyDescent="0.2">
      <c r="B129" s="30">
        <f>SUM(B124:B128)*10000</f>
        <v>355732900</v>
      </c>
      <c r="F129" s="30">
        <f>SUM(F124:F128)*$E$1</f>
        <v>206080</v>
      </c>
      <c r="L129" s="30">
        <f>F129-B129</f>
        <v>-355526820</v>
      </c>
    </row>
    <row r="130" spans="2:13" x14ac:dyDescent="0.2">
      <c r="L130" s="72">
        <f>L129+L119+L109+L99+L89+L79+L69+L59+L49+L39+L29+L19+L9</f>
        <v>-7595522740</v>
      </c>
      <c r="M130" s="30">
        <f>L130/80/8</f>
        <v>-11868004.28125</v>
      </c>
    </row>
  </sheetData>
  <mergeCells count="13">
    <mergeCell ref="C2:F2"/>
    <mergeCell ref="C12:F12"/>
    <mergeCell ref="C122:F122"/>
    <mergeCell ref="C112:F112"/>
    <mergeCell ref="C22:F22"/>
    <mergeCell ref="C32:F32"/>
    <mergeCell ref="C42:F42"/>
    <mergeCell ref="C52:F52"/>
    <mergeCell ref="C62:F62"/>
    <mergeCell ref="C72:F72"/>
    <mergeCell ref="C82:F82"/>
    <mergeCell ref="C92:F92"/>
    <mergeCell ref="C102:F102"/>
  </mergeCells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>
          <x14:formula1>
            <xm:f>报价函!$B$3:$B$15</xm:f>
          </x14:formula1>
          <xm:sqref>B1 B11 B21 B31 B41 B51 B61 B71 B81 B91 B101 B111 B121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 enableFormatConditionsCalculation="0"/>
  <dimension ref="A1:D9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7.83203125" bestFit="1" customWidth="1"/>
    <col min="2" max="4" width="13.83203125" bestFit="1" customWidth="1"/>
  </cols>
  <sheetData>
    <row r="1" spans="1:4" ht="23" x14ac:dyDescent="0.2">
      <c r="A1" s="48" t="s">
        <v>84</v>
      </c>
      <c r="B1" s="48" t="s">
        <v>85</v>
      </c>
      <c r="C1" s="48" t="s">
        <v>86</v>
      </c>
      <c r="D1" s="48" t="s">
        <v>87</v>
      </c>
    </row>
    <row r="2" spans="1:4" ht="23" x14ac:dyDescent="0.2">
      <c r="A2" s="49" t="s">
        <v>88</v>
      </c>
      <c r="B2" s="49">
        <v>1</v>
      </c>
      <c r="C2" s="49">
        <v>13</v>
      </c>
      <c r="D2" s="49">
        <v>107</v>
      </c>
    </row>
    <row r="3" spans="1:4" ht="23" x14ac:dyDescent="0.2">
      <c r="A3" s="49" t="s">
        <v>89</v>
      </c>
      <c r="B3" s="49">
        <v>1</v>
      </c>
      <c r="C3" s="49">
        <v>17</v>
      </c>
      <c r="D3" s="49">
        <v>131</v>
      </c>
    </row>
    <row r="4" spans="1:4" ht="23" x14ac:dyDescent="0.2">
      <c r="A4" s="49" t="s">
        <v>90</v>
      </c>
      <c r="B4" s="49">
        <v>1</v>
      </c>
      <c r="C4" s="49">
        <v>12</v>
      </c>
      <c r="D4" s="49">
        <v>80</v>
      </c>
    </row>
    <row r="5" spans="1:4" ht="23" x14ac:dyDescent="0.2">
      <c r="A5" s="49" t="s">
        <v>91</v>
      </c>
      <c r="B5" s="49">
        <v>1</v>
      </c>
      <c r="C5" s="49">
        <v>22</v>
      </c>
      <c r="D5" s="49">
        <v>188</v>
      </c>
    </row>
    <row r="6" spans="1:4" ht="23" x14ac:dyDescent="0.2">
      <c r="A6" s="49" t="s">
        <v>92</v>
      </c>
      <c r="B6" s="49">
        <v>1</v>
      </c>
      <c r="C6" s="49">
        <v>5</v>
      </c>
      <c r="D6" s="49">
        <v>23</v>
      </c>
    </row>
    <row r="7" spans="1:4" ht="23" x14ac:dyDescent="0.2">
      <c r="A7" s="49" t="s">
        <v>93</v>
      </c>
      <c r="B7" s="49">
        <v>1</v>
      </c>
      <c r="C7" s="49">
        <v>21</v>
      </c>
      <c r="D7" s="49">
        <v>142</v>
      </c>
    </row>
    <row r="8" spans="1:4" ht="24" x14ac:dyDescent="0.2">
      <c r="A8" s="69" t="s">
        <v>94</v>
      </c>
      <c r="B8" s="49">
        <v>1</v>
      </c>
      <c r="C8" s="49">
        <v>14</v>
      </c>
      <c r="D8" s="49">
        <v>122</v>
      </c>
    </row>
    <row r="9" spans="1:4" ht="24" x14ac:dyDescent="0.2">
      <c r="A9" s="69" t="s">
        <v>95</v>
      </c>
      <c r="B9" s="49">
        <v>1</v>
      </c>
      <c r="C9" s="49">
        <v>8</v>
      </c>
      <c r="D9" s="49">
        <v>47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报价函</vt:lpstr>
      <vt:lpstr>计算用</vt:lpstr>
      <vt:lpstr>各模块详细工作量测算</vt:lpstr>
      <vt:lpstr>各省单位数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用户</cp:lastModifiedBy>
  <dcterms:created xsi:type="dcterms:W3CDTF">2017-10-10T10:20:15Z</dcterms:created>
  <dcterms:modified xsi:type="dcterms:W3CDTF">2017-12-04T03:59:35Z</dcterms:modified>
</cp:coreProperties>
</file>