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sters, Schedule &amp; Results" sheetId="1" state="visible" r:id="rId2"/>
    <sheet name="Standings and Scoring Rules" sheetId="2" state="visible" r:id="rId3"/>
  </sheets>
  <definedNames>
    <definedName function="false" hidden="false" name="FPOSCORING" vbProcedure="false">'Standings and Scoring Rules'!$F$2:$H$57</definedName>
    <definedName function="false" hidden="false" name="MPOSCORING" vbProcedure="false">'Standings and Scoring Rules'!$B$2:$D$118</definedName>
    <definedName function="false" hidden="false" localSheetId="1" name="Z_1A77C310_B25C_4302_AB21_F27B995FED7B_.wvu.FilterData" vbProcedure="false">'Standings and Scoring Rules'!$B$2:$D$121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<sst xmlns="http://schemas.openxmlformats.org/spreadsheetml/2006/main" count="2865" uniqueCount="265">
  <si>
    <t xml:space="preserve">Team</t>
  </si>
  <si>
    <t xml:space="preserve">Drafted</t>
  </si>
  <si>
    <t xml:space="preserve">PDGA #</t>
  </si>
  <si>
    <t xml:space="preserve">Current Roster</t>
  </si>
  <si>
    <r>
      <rPr>
        <b val="true"/>
        <sz val="14"/>
        <color rgb="FF000000"/>
        <rFont val="Arial"/>
        <family val="0"/>
        <charset val="1"/>
      </rPr>
      <t xml:space="preserve">Waco Annual Charity Open
</t>
    </r>
    <r>
      <rPr>
        <sz val="12"/>
        <color rgb="FF000000"/>
        <rFont val="Arial"/>
        <family val="0"/>
        <charset val="1"/>
      </rPr>
      <t xml:space="preserve">March 11-13, Friday-Sunday
</t>
    </r>
    <r>
      <rPr>
        <sz val="10"/>
        <color rgb="FF000000"/>
        <rFont val="Arial"/>
        <family val="0"/>
        <charset val="1"/>
      </rPr>
      <t xml:space="preserve">Waivers: Wed Mar 9th</t>
    </r>
  </si>
  <si>
    <r>
      <rPr>
        <b val="true"/>
        <sz val="14"/>
        <color rgb="FF000000"/>
        <rFont val="Arial"/>
        <family val="0"/>
        <charset val="1"/>
      </rPr>
      <t xml:space="preserve">Texas State Championships
</t>
    </r>
    <r>
      <rPr>
        <sz val="12"/>
        <color rgb="FF000000"/>
        <rFont val="Arial"/>
        <family val="0"/>
        <charset val="1"/>
      </rPr>
      <t xml:space="preserve">March 25-27, Friday-Sunday
</t>
    </r>
    <r>
      <rPr>
        <sz val="10"/>
        <color rgb="FF000000"/>
        <rFont val="Arial"/>
        <family val="0"/>
        <charset val="1"/>
      </rPr>
      <t xml:space="preserve">Waivers: Wed Mar 23rd</t>
    </r>
  </si>
  <si>
    <r>
      <rPr>
        <b val="true"/>
        <sz val="14"/>
        <color rgb="FF000000"/>
        <rFont val="Arial"/>
        <family val="0"/>
        <charset val="1"/>
      </rPr>
      <t xml:space="preserve">PDGA Champions Cup
</t>
    </r>
    <r>
      <rPr>
        <sz val="12"/>
        <color rgb="FF000000"/>
        <rFont val="Arial"/>
        <family val="0"/>
        <charset val="1"/>
      </rPr>
      <t xml:space="preserve">April 14-17, Thursday-Sunday
</t>
    </r>
    <r>
      <rPr>
        <sz val="10"/>
        <color rgb="FF000000"/>
        <rFont val="Arial"/>
        <family val="0"/>
        <charset val="1"/>
      </rPr>
      <t xml:space="preserve">Waivers: Tue April 12th</t>
    </r>
  </si>
  <si>
    <r>
      <rPr>
        <b val="true"/>
        <sz val="14"/>
        <color rgb="FF000000"/>
        <rFont val="Arial"/>
        <family val="0"/>
        <charset val="1"/>
      </rPr>
      <t xml:space="preserve">Jonesboro Open
</t>
    </r>
    <r>
      <rPr>
        <sz val="12"/>
        <color rgb="FF000000"/>
        <rFont val="Arial"/>
        <family val="0"/>
        <charset val="1"/>
      </rPr>
      <t xml:space="preserve">April 22-24, Friday-Sunday
</t>
    </r>
    <r>
      <rPr>
        <sz val="10"/>
        <color rgb="FF000000"/>
        <rFont val="Arial"/>
        <family val="0"/>
        <charset val="1"/>
      </rPr>
      <t xml:space="preserve">Waivers: Wed April 20th</t>
    </r>
  </si>
  <si>
    <r>
      <rPr>
        <b val="true"/>
        <sz val="14"/>
        <color rgb="FF000000"/>
        <rFont val="Arial"/>
        <family val="0"/>
        <charset val="1"/>
      </rPr>
      <t xml:space="preserve">Dynamic Discs Open
</t>
    </r>
    <r>
      <rPr>
        <sz val="12"/>
        <color rgb="FF000000"/>
        <rFont val="Arial"/>
        <family val="0"/>
        <charset val="1"/>
      </rPr>
      <t xml:space="preserve">April 28-May 1, Thursday-Sunday
</t>
    </r>
    <r>
      <rPr>
        <sz val="10"/>
        <color rgb="FF000000"/>
        <rFont val="Arial"/>
        <family val="0"/>
        <charset val="1"/>
      </rPr>
      <t xml:space="preserve">Waivers: Tue April 26th</t>
    </r>
  </si>
  <si>
    <r>
      <rPr>
        <b val="true"/>
        <sz val="14"/>
        <color rgb="FF000000"/>
        <rFont val="Arial"/>
        <family val="0"/>
        <charset val="1"/>
      </rPr>
      <t xml:space="preserve">OTB Open
</t>
    </r>
    <r>
      <rPr>
        <sz val="12"/>
        <color rgb="FF000000"/>
        <rFont val="Arial"/>
        <family val="0"/>
        <charset val="1"/>
      </rPr>
      <t xml:space="preserve">May 20-22, Friday-Sunday
</t>
    </r>
    <r>
      <rPr>
        <sz val="10"/>
        <color rgb="FF000000"/>
        <rFont val="Arial"/>
        <family val="0"/>
        <charset val="1"/>
      </rPr>
      <t xml:space="preserve">Waivers: Wed May 18th</t>
    </r>
  </si>
  <si>
    <r>
      <rPr>
        <b val="true"/>
        <sz val="14"/>
        <color rgb="FF000000"/>
        <rFont val="Arial"/>
        <family val="0"/>
        <charset val="1"/>
      </rPr>
      <t xml:space="preserve">Portland Open
</t>
    </r>
    <r>
      <rPr>
        <sz val="12"/>
        <color rgb="FF000000"/>
        <rFont val="Arial"/>
        <family val="0"/>
        <charset val="1"/>
      </rPr>
      <t xml:space="preserve">June 2-5, Thursday-Sunday
</t>
    </r>
    <r>
      <rPr>
        <sz val="10"/>
        <color rgb="FF000000"/>
        <rFont val="Arial"/>
        <family val="0"/>
        <charset val="1"/>
      </rPr>
      <t xml:space="preserve">Waivers: Tue May 31st</t>
    </r>
  </si>
  <si>
    <r>
      <rPr>
        <b val="true"/>
        <sz val="14"/>
        <color rgb="FF000000"/>
        <rFont val="Arial"/>
        <family val="0"/>
        <charset val="1"/>
      </rPr>
      <t xml:space="preserve">The Preserve Championship
</t>
    </r>
    <r>
      <rPr>
        <sz val="12"/>
        <color rgb="FF000000"/>
        <rFont val="Arial"/>
        <family val="0"/>
        <charset val="1"/>
      </rPr>
      <t xml:space="preserve">June 24-26th, Friday-Sunday
</t>
    </r>
    <r>
      <rPr>
        <sz val="10"/>
        <color rgb="FF000000"/>
        <rFont val="Arial"/>
        <family val="0"/>
        <charset val="1"/>
      </rPr>
      <t xml:space="preserve">Waivers: Wed June 22nd</t>
    </r>
  </si>
  <si>
    <r>
      <rPr>
        <b val="true"/>
        <sz val="14"/>
        <color rgb="FF000000"/>
        <rFont val="Arial"/>
        <family val="0"/>
        <charset val="1"/>
      </rPr>
      <t xml:space="preserve">USWDGC
</t>
    </r>
    <r>
      <rPr>
        <sz val="12"/>
        <color rgb="FF000000"/>
        <rFont val="Arial"/>
        <family val="0"/>
        <charset val="1"/>
      </rPr>
      <t xml:space="preserve">June 30-July 3, Thursday-Sunday
</t>
    </r>
    <r>
      <rPr>
        <sz val="10"/>
        <color rgb="FF000000"/>
        <rFont val="Arial"/>
        <family val="0"/>
        <charset val="1"/>
      </rPr>
      <t xml:space="preserve">Waivers: Tue June 28th</t>
    </r>
  </si>
  <si>
    <r>
      <rPr>
        <b val="true"/>
        <sz val="14"/>
        <color rgb="FF000000"/>
        <rFont val="Arial"/>
        <family val="0"/>
        <charset val="1"/>
      </rPr>
      <t xml:space="preserve">Idlewild
</t>
    </r>
    <r>
      <rPr>
        <sz val="12"/>
        <color rgb="FF000000"/>
        <rFont val="Arial"/>
        <family val="0"/>
        <charset val="1"/>
      </rPr>
      <t xml:space="preserve">July 8-10, Friday-Sunday
</t>
    </r>
    <r>
      <rPr>
        <sz val="10"/>
        <color rgb="FF000000"/>
        <rFont val="Arial"/>
        <family val="0"/>
        <charset val="1"/>
      </rPr>
      <t xml:space="preserve">Waivers: Wed July 6th</t>
    </r>
  </si>
  <si>
    <r>
      <rPr>
        <b val="true"/>
        <sz val="14"/>
        <color rgb="FF000000"/>
        <rFont val="Arial"/>
        <family val="0"/>
        <charset val="1"/>
      </rPr>
      <t xml:space="preserve">Great Lakes Open
</t>
    </r>
    <r>
      <rPr>
        <sz val="12"/>
        <color rgb="FF000000"/>
        <rFont val="Arial"/>
        <family val="0"/>
        <charset val="1"/>
      </rPr>
      <t xml:space="preserve">July 29-31, Friday-Sunday
</t>
    </r>
    <r>
      <rPr>
        <sz val="10"/>
        <color rgb="FF000000"/>
        <rFont val="Arial"/>
        <family val="0"/>
        <charset val="1"/>
      </rPr>
      <t xml:space="preserve">Waivers: Wed July 27th</t>
    </r>
  </si>
  <si>
    <r>
      <rPr>
        <b val="true"/>
        <sz val="14"/>
        <color rgb="FF000000"/>
        <rFont val="Arial"/>
        <family val="0"/>
        <charset val="1"/>
      </rPr>
      <t xml:space="preserve">Ledgestone
</t>
    </r>
    <r>
      <rPr>
        <sz val="12"/>
        <color rgb="FF000000"/>
        <rFont val="Arial"/>
        <family val="0"/>
        <charset val="1"/>
      </rPr>
      <t xml:space="preserve">August 11-14, Thursday-Sunday
</t>
    </r>
    <r>
      <rPr>
        <sz val="10"/>
        <color rgb="FF000000"/>
        <rFont val="Arial"/>
        <family val="0"/>
        <charset val="1"/>
      </rPr>
      <t xml:space="preserve">Waivers: Tue August 9th</t>
    </r>
  </si>
  <si>
    <r>
      <rPr>
        <b val="true"/>
        <sz val="14"/>
        <color rgb="FF000000"/>
        <rFont val="Arial"/>
        <family val="0"/>
        <charset val="1"/>
      </rPr>
      <t xml:space="preserve">Des Moines Challenge
</t>
    </r>
    <r>
      <rPr>
        <sz val="12"/>
        <color rgb="FF000000"/>
        <rFont val="Arial"/>
        <family val="0"/>
        <charset val="1"/>
      </rPr>
      <t xml:space="preserve">August 19-21, Friday-Sunday
</t>
    </r>
    <r>
      <rPr>
        <sz val="10"/>
        <color rgb="FF000000"/>
        <rFont val="Arial"/>
        <family val="0"/>
        <charset val="1"/>
      </rPr>
      <t xml:space="preserve">Waivers: Wed August 17th</t>
    </r>
  </si>
  <si>
    <r>
      <rPr>
        <b val="true"/>
        <sz val="14"/>
        <color rgb="FF000000"/>
        <rFont val="Arial"/>
        <family val="0"/>
        <charset val="1"/>
      </rPr>
      <t xml:space="preserve">PDGA Worlds
</t>
    </r>
    <r>
      <rPr>
        <sz val="12"/>
        <color rgb="FF000000"/>
        <rFont val="Arial"/>
        <family val="0"/>
        <charset val="1"/>
      </rPr>
      <t xml:space="preserve">August 30-September 3, Tuesday-Saturday
</t>
    </r>
    <r>
      <rPr>
        <sz val="10"/>
        <color rgb="FF000000"/>
        <rFont val="Arial"/>
        <family val="0"/>
        <charset val="1"/>
      </rPr>
      <t xml:space="preserve">Waivers: Sunday August 28th</t>
    </r>
  </si>
  <si>
    <r>
      <rPr>
        <b val="true"/>
        <sz val="14"/>
        <color rgb="FF000000"/>
        <rFont val="Arial"/>
        <family val="0"/>
        <charset val="1"/>
      </rPr>
      <t xml:space="preserve">Green Mountain Championship
</t>
    </r>
    <r>
      <rPr>
        <sz val="12"/>
        <color rgb="FF000000"/>
        <rFont val="Arial"/>
        <family val="0"/>
        <charset val="1"/>
      </rPr>
      <t xml:space="preserve">September 15-18, Thursday-Sunday
</t>
    </r>
    <r>
      <rPr>
        <sz val="10"/>
        <color rgb="FF000000"/>
        <rFont val="Arial"/>
        <family val="0"/>
        <charset val="1"/>
      </rPr>
      <t xml:space="preserve">Waivers: Tue Septemper 13th</t>
    </r>
  </si>
  <si>
    <r>
      <rPr>
        <b val="true"/>
        <sz val="14"/>
        <color rgb="FF000000"/>
        <rFont val="Arial"/>
        <family val="0"/>
        <charset val="1"/>
      </rPr>
      <t xml:space="preserve">MVP Open Maple Hill
</t>
    </r>
    <r>
      <rPr>
        <sz val="12"/>
        <color rgb="FF000000"/>
        <rFont val="Arial"/>
        <family val="0"/>
        <charset val="1"/>
      </rPr>
      <t xml:space="preserve">September 22-25, Thursday-Sunday
</t>
    </r>
    <r>
      <rPr>
        <sz val="10"/>
        <color rgb="FF000000"/>
        <rFont val="Arial"/>
        <family val="0"/>
        <charset val="1"/>
      </rPr>
      <t xml:space="preserve">Waivers: Tue September 20th</t>
    </r>
  </si>
  <si>
    <r>
      <rPr>
        <b val="true"/>
        <sz val="14"/>
        <color rgb="FF000000"/>
        <rFont val="Arial"/>
        <family val="0"/>
        <charset val="1"/>
      </rPr>
      <t xml:space="preserve">USDGC/Throw Pink
</t>
    </r>
    <r>
      <rPr>
        <sz val="12"/>
        <color rgb="FF000000"/>
        <rFont val="Arial"/>
        <family val="0"/>
        <charset val="1"/>
      </rPr>
      <t xml:space="preserve">October 6-9, Thursday-Sunday
</t>
    </r>
    <r>
      <rPr>
        <sz val="10"/>
        <color rgb="FF000000"/>
        <rFont val="Arial"/>
        <family val="0"/>
        <charset val="1"/>
      </rPr>
      <t xml:space="preserve">Waivers: Tue October 4th</t>
    </r>
  </si>
  <si>
    <t xml:space="preserve">https://docs.google.com/spreadsheets/d/1-a24YGWwXiO1LNvO4rbrFI-vMhe6ongd4-Cu-5XeUP4/edit#gid=0</t>
  </si>
  <si>
    <t xml:space="preserve">Current Roster #</t>
  </si>
  <si>
    <t xml:space="preserve">Weight</t>
  </si>
  <si>
    <t xml:space="preserve">Player</t>
  </si>
  <si>
    <t xml:space="preserve">Place</t>
  </si>
  <si>
    <t xml:space="preserve">Score</t>
  </si>
  <si>
    <t xml:space="preserve">Calvin Heimburg</t>
  </si>
  <si>
    <t xml:space="preserve">Kona Panis</t>
  </si>
  <si>
    <t xml:space="preserve">FPO1</t>
  </si>
  <si>
    <t xml:space="preserve">DNF</t>
  </si>
  <si>
    <t xml:space="preserve">---</t>
  </si>
  <si>
    <t xml:space="preserve">Drew Gibson</t>
  </si>
  <si>
    <t xml:space="preserve">Maria Oliva</t>
  </si>
  <si>
    <t xml:space="preserve">FPO2</t>
  </si>
  <si>
    <t xml:space="preserve">Calvin H</t>
  </si>
  <si>
    <t xml:space="preserve">MPO1</t>
  </si>
  <si>
    <t xml:space="preserve">FPO3</t>
  </si>
  <si>
    <t xml:space="preserve">Thomas Gilbert</t>
  </si>
  <si>
    <t xml:space="preserve">MPO2</t>
  </si>
  <si>
    <t xml:space="preserve">Bench1</t>
  </si>
  <si>
    <t xml:space="preserve">Juliana Korver</t>
  </si>
  <si>
    <t xml:space="preserve">MPO3</t>
  </si>
  <si>
    <t xml:space="preserve">Bench2</t>
  </si>
  <si>
    <t xml:space="preserve">Chandler Fry</t>
  </si>
  <si>
    <t xml:space="preserve">MPO4</t>
  </si>
  <si>
    <t xml:space="preserve">Bench3</t>
  </si>
  <si>
    <t xml:space="preserve">Conor O'Reilly</t>
  </si>
  <si>
    <t xml:space="preserve">Flex</t>
  </si>
  <si>
    <t xml:space="preserve">Bench4</t>
  </si>
  <si>
    <t xml:space="preserve">Cole Redalen</t>
  </si>
  <si>
    <t xml:space="preserve">Bench5</t>
  </si>
  <si>
    <t xml:space="preserve">Connor O'Reilly</t>
  </si>
  <si>
    <t xml:space="preserve">Bench6</t>
  </si>
  <si>
    <t xml:space="preserve">Clint Calvin</t>
  </si>
  <si>
    <t xml:space="preserve">Bench7</t>
  </si>
  <si>
    <t xml:space="preserve">https://docs.google.com/spreadsheets/d/1jXZuJHYOevnaN2YrhCADV8Ck548ax-RAWaOVUhea8rs/edit</t>
  </si>
  <si>
    <t xml:space="preserve">Paige Pierce </t>
  </si>
  <si>
    <t xml:space="preserve">Paige pierce</t>
  </si>
  <si>
    <t xml:space="preserve">Kyle Klein</t>
  </si>
  <si>
    <t xml:space="preserve">Heather young</t>
  </si>
  <si>
    <t xml:space="preserve">Heather Young</t>
  </si>
  <si>
    <t xml:space="preserve">Bradley Williams </t>
  </si>
  <si>
    <t xml:space="preserve">B. Will</t>
  </si>
  <si>
    <t xml:space="preserve">Chris Clemons </t>
  </si>
  <si>
    <t xml:space="preserve">Chris Clemons</t>
  </si>
  <si>
    <t xml:space="preserve">Nathan Queen</t>
  </si>
  <si>
    <t xml:space="preserve">Colten Monty</t>
  </si>
  <si>
    <t xml:space="preserve">Colten Montgomery </t>
  </si>
  <si>
    <t xml:space="preserve">Luke humphries</t>
  </si>
  <si>
    <t xml:space="preserve">Erika Stinchcomb</t>
  </si>
  <si>
    <t xml:space="preserve">Erika  stinchcomb</t>
  </si>
  <si>
    <t xml:space="preserve">Luke Humphries</t>
  </si>
  <si>
    <t xml:space="preserve">Nathan queen</t>
  </si>
  <si>
    <t xml:space="preserve">Albert Tamm</t>
  </si>
  <si>
    <t xml:space="preserve">Albert tamm</t>
  </si>
  <si>
    <t xml:space="preserve">https://docs.google.com/spreadsheets/d/1IpsvYdjk1s3ZbeL6GiXJbh08BoLuq6j8_oGFQd8nQyA/edit#gid=0</t>
  </si>
  <si>
    <t xml:space="preserve">Catrina Allen</t>
  </si>
  <si>
    <t xml:space="preserve">Eveliina Sollonen</t>
  </si>
  <si>
    <t xml:space="preserve">Eveliina salonen</t>
  </si>
  <si>
    <t xml:space="preserve">Gannon Buhr</t>
  </si>
  <si>
    <t xml:space="preserve">Ganon Buhr</t>
  </si>
  <si>
    <t xml:space="preserve">Andrew Marwede</t>
  </si>
  <si>
    <t xml:space="preserve">Holyn Handley</t>
  </si>
  <si>
    <t xml:space="preserve">Brodie Smith</t>
  </si>
  <si>
    <t xml:space="preserve">Garrett Gurthie</t>
  </si>
  <si>
    <t xml:space="preserve">Garret Gurthie</t>
  </si>
  <si>
    <t xml:space="preserve">Zackeriath Johnson</t>
  </si>
  <si>
    <t xml:space="preserve">Zack johnson</t>
  </si>
  <si>
    <t xml:space="preserve">Eveliina</t>
  </si>
  <si>
    <t xml:space="preserve">Seppo Paju</t>
  </si>
  <si>
    <t xml:space="preserve">Rebecca cox</t>
  </si>
  <si>
    <t xml:space="preserve">Ben Callaway </t>
  </si>
  <si>
    <t xml:space="preserve">Rebecca Cox</t>
  </si>
  <si>
    <t xml:space="preserve">Sepo</t>
  </si>
  <si>
    <t xml:space="preserve">Marwede</t>
  </si>
  <si>
    <t xml:space="preserve">https://docs.google.com/spreadsheets/d/1bDX00tTYCxy1N3XK2riRgoNSSwoPIlxTfvXctcv3ROQ/edit#gid=0</t>
  </si>
  <si>
    <t xml:space="preserve">Eagle 🦅 </t>
  </si>
  <si>
    <t xml:space="preserve">Lisa F</t>
  </si>
  <si>
    <t xml:space="preserve">Henna Blomroos</t>
  </si>
  <si>
    <t xml:space="preserve">Callie</t>
  </si>
  <si>
    <t xml:space="preserve">Scott Withers</t>
  </si>
  <si>
    <t xml:space="preserve">Scott withers</t>
  </si>
  <si>
    <t xml:space="preserve">Lisa Fajkus</t>
  </si>
  <si>
    <t xml:space="preserve">Corey ellis</t>
  </si>
  <si>
    <t xml:space="preserve">James Proctor </t>
  </si>
  <si>
    <t xml:space="preserve">Andrew fish</t>
  </si>
  <si>
    <t xml:space="preserve">Niklas Anttila</t>
  </si>
  <si>
    <t xml:space="preserve">N/A</t>
  </si>
  <si>
    <t xml:space="preserve">Deann Carey</t>
  </si>
  <si>
    <t xml:space="preserve">Deann C</t>
  </si>
  <si>
    <t xml:space="preserve">Corey Ellis</t>
  </si>
  <si>
    <t xml:space="preserve">Andrew Fish</t>
  </si>
  <si>
    <t xml:space="preserve">Callie McMorran</t>
  </si>
  <si>
    <t xml:space="preserve">----</t>
  </si>
  <si>
    <t xml:space="preserve">https://docs.google.com/spreadsheets/d/1SdVLr45zNEd0DqNAWPXiiWQGErCHuSk5TY5tZZHEzUw/edit#gid=0</t>
  </si>
  <si>
    <t xml:space="preserve">Ricky Wysocki </t>
  </si>
  <si>
    <t xml:space="preserve">Ohn Scoggins</t>
  </si>
  <si>
    <t xml:space="preserve">Ohn Scoggins </t>
  </si>
  <si>
    <t xml:space="preserve">Ella Hansen</t>
  </si>
  <si>
    <t xml:space="preserve">Ricky Wysocki</t>
  </si>
  <si>
    <t xml:space="preserve">Jeremy Koling</t>
  </si>
  <si>
    <t xml:space="preserve">Andrew Presnell</t>
  </si>
  <si>
    <t xml:space="preserve">Paul Ulibari </t>
  </si>
  <si>
    <t xml:space="preserve">Paul Ulibarri</t>
  </si>
  <si>
    <t xml:space="preserve">Madison Walker</t>
  </si>
  <si>
    <t xml:space="preserve">Tim Barham</t>
  </si>
  <si>
    <t xml:space="preserve">Luke Samson</t>
  </si>
  <si>
    <t xml:space="preserve">Austin Hannum </t>
  </si>
  <si>
    <t xml:space="preserve">Austin Hannum</t>
  </si>
  <si>
    <t xml:space="preserve">https://docs.google.com/spreadsheets/d/1sti2ILBzkVQ8KvxRjtToQy2VIhiBgrMKWTWNFyx4YQE/edit#gid=0</t>
  </si>
  <si>
    <t xml:space="preserve">Adam Hammes </t>
  </si>
  <si>
    <t xml:space="preserve">Sarah Hokom</t>
  </si>
  <si>
    <t xml:space="preserve">Sarah Hokum</t>
  </si>
  <si>
    <t xml:space="preserve">Valerie Mandujano</t>
  </si>
  <si>
    <t xml:space="preserve">Valerie Mandujano </t>
  </si>
  <si>
    <t xml:space="preserve">Adam Hammes</t>
  </si>
  <si>
    <t xml:space="preserve">Linus Carlson</t>
  </si>
  <si>
    <t xml:space="preserve">Linus Carlsson</t>
  </si>
  <si>
    <t xml:space="preserve">Joel Freeman</t>
  </si>
  <si>
    <t xml:space="preserve">Vaino Makela</t>
  </si>
  <si>
    <t xml:space="preserve">Lauri Lehtinen</t>
  </si>
  <si>
    <t xml:space="preserve">Keiti Tatte</t>
  </si>
  <si>
    <t xml:space="preserve">Tristan Tanner</t>
  </si>
  <si>
    <t xml:space="preserve">Austin Turner</t>
  </si>
  <si>
    <t xml:space="preserve">https://docs.google.com/spreadsheets/d/1Jb5IqEEPIrN_sW63kLfRYK0S2Q8jt2Nl3M3vC9Ml67M/edit#gid=0</t>
  </si>
  <si>
    <t xml:space="preserve">Chris Dickerson </t>
  </si>
  <si>
    <t xml:space="preserve">Jen Allen</t>
  </si>
  <si>
    <t xml:space="preserve">Kevin Jones</t>
  </si>
  <si>
    <t xml:space="preserve">Paige shue</t>
  </si>
  <si>
    <t xml:space="preserve">Jennifer Allen</t>
  </si>
  <si>
    <t xml:space="preserve">Chris Dickerson</t>
  </si>
  <si>
    <t xml:space="preserve">Dnf</t>
  </si>
  <si>
    <t xml:space="preserve">Nate Sexton</t>
  </si>
  <si>
    <t xml:space="preserve">Ezra Aderhold</t>
  </si>
  <si>
    <t xml:space="preserve">Philo Brathwaite</t>
  </si>
  <si>
    <t xml:space="preserve">Philo brathwaite</t>
  </si>
  <si>
    <t xml:space="preserve">Gregg Barsby</t>
  </si>
  <si>
    <t xml:space="preserve">Paige Shue</t>
  </si>
  <si>
    <t xml:space="preserve">Scott stokley</t>
  </si>
  <si>
    <t xml:space="preserve">Nate sexton</t>
  </si>
  <si>
    <t xml:space="preserve">Scott Strokely</t>
  </si>
  <si>
    <t xml:space="preserve">Christine Jennings</t>
  </si>
  <si>
    <t xml:space="preserve">Gregg barsby</t>
  </si>
  <si>
    <t xml:space="preserve">dnf</t>
  </si>
  <si>
    <t xml:space="preserve">https://docs.google.com/spreadsheets/d/1mJjwNZbuAJvJEygKBUHpVAZNicuytfEabfbA_nK9hIw/edit#gid=0</t>
  </si>
  <si>
    <t xml:space="preserve">James Conrad</t>
  </si>
  <si>
    <t xml:space="preserve">Jessica Weese</t>
  </si>
  <si>
    <t xml:space="preserve">Hailey King</t>
  </si>
  <si>
    <t xml:space="preserve">Natalie Ryan</t>
  </si>
  <si>
    <t xml:space="preserve">Mason Ford</t>
  </si>
  <si>
    <t xml:space="preserve">Matt Bell</t>
  </si>
  <si>
    <t xml:space="preserve">Casey White</t>
  </si>
  <si>
    <t xml:space="preserve">Eric Oakley</t>
  </si>
  <si>
    <t xml:space="preserve">Kat Mertsch</t>
  </si>
  <si>
    <t xml:space="preserve">Noah Meintsma</t>
  </si>
  <si>
    <t xml:space="preserve">https://docs.google.com/spreadsheets/d/1yMAZE7QNd9R_63XrvxnrQBYybKAct1lY33YxvXnf1rs/edit#gid=0</t>
  </si>
  <si>
    <t xml:space="preserve">Kristin Tattar </t>
  </si>
  <si>
    <t xml:space="preserve">Kristin Tattar</t>
  </si>
  <si>
    <t xml:space="preserve">Matty Orum</t>
  </si>
  <si>
    <t xml:space="preserve">Holly Finley</t>
  </si>
  <si>
    <t xml:space="preserve">Simon Lizotte</t>
  </si>
  <si>
    <t xml:space="preserve">Nikko Locastro </t>
  </si>
  <si>
    <t xml:space="preserve">Nikko Locastro</t>
  </si>
  <si>
    <t xml:space="preserve">Holly Finley </t>
  </si>
  <si>
    <t xml:space="preserve">Emerson Keith</t>
  </si>
  <si>
    <t xml:space="preserve">Gavin Rathbun</t>
  </si>
  <si>
    <t xml:space="preserve">Zach Melton</t>
  </si>
  <si>
    <t xml:space="preserve">Raven Newsome </t>
  </si>
  <si>
    <t xml:space="preserve">Emily Beach</t>
  </si>
  <si>
    <t xml:space="preserve">Raven Newsome</t>
  </si>
  <si>
    <t xml:space="preserve">https://docs.google.com/spreadsheets/d/1umSi3peeJoOWT8gq3hzQbuetm8OOOSt3jowfpgduwA8/edit#gid=0</t>
  </si>
  <si>
    <t xml:space="preserve">Paul McBeth</t>
  </si>
  <si>
    <t xml:space="preserve">Missy Gannon</t>
  </si>
  <si>
    <t xml:space="preserve">Alexis Mandujano</t>
  </si>
  <si>
    <t xml:space="preserve">Cale Leviska </t>
  </si>
  <si>
    <t xml:space="preserve">Paul Mcbeth</t>
  </si>
  <si>
    <t xml:space="preserve">Alexis Mandujano </t>
  </si>
  <si>
    <t xml:space="preserve">Cale Leiviska</t>
  </si>
  <si>
    <t xml:space="preserve">Anthony Barela </t>
  </si>
  <si>
    <t xml:space="preserve">Aaron Gossage</t>
  </si>
  <si>
    <t xml:space="preserve">Ben Calloway</t>
  </si>
  <si>
    <t xml:space="preserve">Ben Callaway</t>
  </si>
  <si>
    <t xml:space="preserve">Macie Velediaz</t>
  </si>
  <si>
    <t xml:space="preserve">Ellen Widboom</t>
  </si>
  <si>
    <t xml:space="preserve">Ellen Widboom </t>
  </si>
  <si>
    <t xml:space="preserve">Terry Rothlesberger</t>
  </si>
  <si>
    <t xml:space="preserve">Terry Rothlisberger</t>
  </si>
  <si>
    <t xml:space="preserve">Anthony Barela</t>
  </si>
  <si>
    <t xml:space="preserve">STANDINGS</t>
  </si>
  <si>
    <t xml:space="preserve">MPO Scoring</t>
  </si>
  <si>
    <t xml:space="preserve">FPO Scoring</t>
  </si>
  <si>
    <t xml:space="preserve">Regular</t>
  </si>
  <si>
    <t xml:space="preserve">Worlds</t>
  </si>
  <si>
    <t xml:space="preserve">Total Points</t>
  </si>
  <si>
    <t xml:space="preserve">Bonus</t>
  </si>
  <si>
    <t xml:space="preserve">Waco</t>
  </si>
  <si>
    <t xml:space="preserve">Texas States</t>
  </si>
  <si>
    <t xml:space="preserve">Champs Cup</t>
  </si>
  <si>
    <t xml:space="preserve">Jonesboro</t>
  </si>
  <si>
    <t xml:space="preserve">DDO</t>
  </si>
  <si>
    <t xml:space="preserve">OTB</t>
  </si>
  <si>
    <t xml:space="preserve">Portland</t>
  </si>
  <si>
    <t xml:space="preserve">Preserve</t>
  </si>
  <si>
    <t xml:space="preserve">USWDGCs</t>
  </si>
  <si>
    <t xml:space="preserve">Idlewild</t>
  </si>
  <si>
    <t xml:space="preserve">DCGLO</t>
  </si>
  <si>
    <t xml:space="preserve">Ledgestone</t>
  </si>
  <si>
    <t xml:space="preserve">Des Moines</t>
  </si>
  <si>
    <t xml:space="preserve">GMCs</t>
  </si>
  <si>
    <t xml:space="preserve">MVP Open</t>
  </si>
  <si>
    <t xml:space="preserve">USDGCs</t>
  </si>
  <si>
    <t xml:space="preserve">Total</t>
  </si>
  <si>
    <t xml:space="preserve">Backhanded Compliments (Tyler)</t>
  </si>
  <si>
    <t xml:space="preserve">Catoutofthebuhrdiebag (Brandon)</t>
  </si>
  <si>
    <t xml:space="preserve">Hogan's Humans (Sean)</t>
  </si>
  <si>
    <t xml:space="preserve">Big Barri Tea Time (Danelle)</t>
  </si>
  <si>
    <t xml:space="preserve">Emmer-Mommy (Aleeza)</t>
  </si>
  <si>
    <t xml:space="preserve">Don't Trust a Hokom (Courtney)</t>
  </si>
  <si>
    <t xml:space="preserve">I Use My Left Hand (Aaron G)</t>
  </si>
  <si>
    <t xml:space="preserve">The_Legit_Pat</t>
  </si>
  <si>
    <t xml:space="preserve">PUTTER? HARDLY KNOW HER (Wyatt)</t>
  </si>
  <si>
    <t xml:space="preserve">The Autodrafters (Jake)</t>
  </si>
  <si>
    <t xml:space="preserve">Event Results </t>
  </si>
  <si>
    <r>
      <rPr>
        <sz val="16"/>
        <color rgb="FF000000"/>
        <rFont val="Arial"/>
        <family val="0"/>
        <charset val="1"/>
      </rPr>
      <t xml:space="preserve">GMCs </t>
    </r>
    <r>
      <rPr>
        <sz val="12"/>
        <color rgb="FF000000"/>
        <rFont val="Arial"/>
        <family val="0"/>
        <charset val="1"/>
      </rPr>
      <t xml:space="preserve">(Playoffs Round 1)</t>
    </r>
  </si>
  <si>
    <t xml:space="preserve">Backhanded Compliments (BYE)</t>
  </si>
  <si>
    <t xml:space="preserve">Catoutofthebuhrdiebag (BYE)</t>
  </si>
  <si>
    <t xml:space="preserve">Hogan's Humans</t>
  </si>
  <si>
    <t xml:space="preserve">Big Barri Tea Time</t>
  </si>
  <si>
    <t xml:space="preserve">Emmer-Mommy</t>
  </si>
  <si>
    <t xml:space="preserve">Don't Trust a Hokom</t>
  </si>
  <si>
    <t xml:space="preserve">Backhanded Compliments </t>
  </si>
  <si>
    <t xml:space="preserve">Catoutofthebuhrdiebag</t>
  </si>
  <si>
    <t xml:space="preserve">PUTTER? HARDLY KNOW HER</t>
  </si>
  <si>
    <t xml:space="preserve">I Use My Left Hand</t>
  </si>
  <si>
    <t xml:space="preserve">The Autodrafters</t>
  </si>
  <si>
    <t xml:space="preserve">Discraft Great Lakes Open</t>
  </si>
  <si>
    <t xml:space="preserve">Preserve Championship</t>
  </si>
  <si>
    <t xml:space="preserve">Portland Open</t>
  </si>
  <si>
    <t xml:space="preserve">Dynamics Discs Open</t>
  </si>
  <si>
    <t xml:space="preserve">Jonesboro Open</t>
  </si>
  <si>
    <t xml:space="preserve">PDGA Champions Cup</t>
  </si>
  <si>
    <t xml:space="preserve">Brandon</t>
  </si>
  <si>
    <t xml:space="preserve">Putter? I Hardly Know Her</t>
  </si>
  <si>
    <t xml:space="preserve">Autodrafters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</si>
</sst>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EA4335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22"/>
      <color rgb="FF000000"/>
      <name val="Arial"/>
      <family val="0"/>
      <charset val="1"/>
    </font>
    <font>
      <sz val="16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EAD1DC"/>
      </patternFill>
    </fill>
    <fill>
      <patternFill patternType="solid">
        <fgColor rgb="FFFFF2CC"/>
        <bgColor rgb="FFFCE5CD"/>
      </patternFill>
    </fill>
    <fill>
      <patternFill patternType="solid">
        <fgColor rgb="FFE6B8AF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CDDCEA"/>
      </patternFill>
    </fill>
    <fill>
      <patternFill patternType="solid">
        <fgColor rgb="FFC9DAF8"/>
        <bgColor rgb="FFCDDCEA"/>
      </patternFill>
    </fill>
    <fill>
      <patternFill patternType="solid">
        <fgColor rgb="FFCFE2F3"/>
        <bgColor rgb="FFD0E0E3"/>
      </patternFill>
    </fill>
    <fill>
      <patternFill patternType="solid">
        <fgColor rgb="FFD9D2E9"/>
        <bgColor rgb="FFCDDCEA"/>
      </patternFill>
    </fill>
    <fill>
      <patternFill patternType="solid">
        <fgColor rgb="FFEAD1DC"/>
        <bgColor rgb="FFF4CCCC"/>
      </patternFill>
    </fill>
    <fill>
      <patternFill patternType="solid">
        <fgColor rgb="FFFFFFFF"/>
        <bgColor rgb="FFFFF2CC"/>
      </patternFill>
    </fill>
    <fill>
      <patternFill patternType="solid">
        <fgColor rgb="FFCCCCCC"/>
        <bgColor rgb="FFD9D2E9"/>
      </patternFill>
    </fill>
    <fill>
      <patternFill patternType="solid">
        <fgColor rgb="FF4A86E8"/>
        <bgColor rgb="FF666699"/>
      </patternFill>
    </fill>
    <fill>
      <patternFill patternType="solid">
        <fgColor rgb="FF93C47D"/>
        <bgColor rgb="FFB5CBD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CDDCEA"/>
      </bottom>
      <diagonal/>
    </border>
    <border diagonalUp="false" diagonalDown="false">
      <left/>
      <right/>
      <top style="thin">
        <color rgb="FFCCCCCC"/>
      </top>
      <bottom style="thin">
        <color rgb="FFCDDCEA"/>
      </bottom>
      <diagonal/>
    </border>
    <border diagonalUp="false" diagonalDown="false">
      <left/>
      <right/>
      <top style="thin">
        <color rgb="FFCCCCCC"/>
      </top>
      <bottom style="thin">
        <color rgb="FFB5CBDE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10" fillId="1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10" fillId="11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CDDCEA"/>
      <rgbColor rgb="FF993366"/>
      <rgbColor rgb="FFFFF2CC"/>
      <rgbColor rgb="FFCFE2F3"/>
      <rgbColor rgb="FF660066"/>
      <rgbColor rgb="FFEAD1DC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B5CBDE"/>
      <rgbColor rgb="FFE6B8AF"/>
      <rgbColor rgb="FFD9D2E9"/>
      <rgbColor rgb="FFF4CCCC"/>
      <rgbColor rgb="FF4A86E8"/>
      <rgbColor rgb="FF33CCCC"/>
      <rgbColor rgb="FF99CC00"/>
      <rgbColor rgb="FFFFCC00"/>
      <rgbColor rgb="FFFF9900"/>
      <rgbColor rgb="FFEA4335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-a24YGWwXiO1LNvO4rbrFI-vMhe6ongd4-Cu-5XeUP4/edit" TargetMode="External"/><Relationship Id="rId2" Type="http://schemas.openxmlformats.org/officeDocument/2006/relationships/hyperlink" Target="https://docs.google.com/spreadsheets/d/1jXZuJHYOevnaN2YrhCADV8Ck548ax-RAWaOVUhea8rs/edit" TargetMode="External"/><Relationship Id="rId3" Type="http://schemas.openxmlformats.org/officeDocument/2006/relationships/hyperlink" Target="https://docs.google.com/spreadsheets/d/1IpsvYdjk1s3ZbeL6GiXJbh08BoLuq6j8_oGFQd8nQyA/edit" TargetMode="External"/><Relationship Id="rId4" Type="http://schemas.openxmlformats.org/officeDocument/2006/relationships/hyperlink" Target="https://docs.google.com/spreadsheets/d/1bDX00tTYCxy1N3XK2riRgoNSSwoPIlxTfvXctcv3ROQ/edit" TargetMode="External"/><Relationship Id="rId5" Type="http://schemas.openxmlformats.org/officeDocument/2006/relationships/hyperlink" Target="https://docs.google.com/spreadsheets/d/1SdVLr45zNEd0DqNAWPXiiWQGErCHuSk5TY5tZZHEzUw/edit" TargetMode="External"/><Relationship Id="rId6" Type="http://schemas.openxmlformats.org/officeDocument/2006/relationships/hyperlink" Target="https://docs.google.com/spreadsheets/d/1sti2ILBzkVQ8KvxRjtToQy2VIhiBgrMKWTWNFyx4YQE/edit" TargetMode="External"/><Relationship Id="rId7" Type="http://schemas.openxmlformats.org/officeDocument/2006/relationships/hyperlink" Target="https://docs.google.com/spreadsheets/d/1Jb5IqEEPIrN_sW63kLfRYK0S2Q8jt2Nl3M3vC9Ml67M/edit" TargetMode="External"/><Relationship Id="rId8" Type="http://schemas.openxmlformats.org/officeDocument/2006/relationships/hyperlink" Target="https://docs.google.com/spreadsheets/d/1mJjwNZbuAJvJEygKBUHpVAZNicuytfEabfbA_nK9hIw/edit" TargetMode="External"/><Relationship Id="rId9" Type="http://schemas.openxmlformats.org/officeDocument/2006/relationships/hyperlink" Target="https://docs.google.com/spreadsheets/d/1yMAZE7QNd9R_63XrvxnrQBYybKAct1lY33YxvXnf1rs/edit" TargetMode="External"/><Relationship Id="rId10" Type="http://schemas.openxmlformats.org/officeDocument/2006/relationships/hyperlink" Target="https://docs.google.com/spreadsheets/d/1umSi3peeJoOWT8gq3hzQbuetm8OOOSt3jowfpgduwA8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79"/>
    <col collapsed="false" customWidth="true" hidden="false" outlineLevel="0" max="2" min="2" style="1" width="18.27"/>
    <col collapsed="false" customWidth="true" hidden="false" outlineLevel="0" max="4" min="3" style="1" width="16.39"/>
    <col collapsed="false" customWidth="true" hidden="false" outlineLevel="0" max="5" min="5" style="1" width="15.22"/>
    <col collapsed="false" customWidth="true" hidden="false" outlineLevel="0" max="6" min="6" style="1" width="10.13"/>
    <col collapsed="false" customWidth="true" hidden="false" outlineLevel="0" max="7" min="7" style="1" width="31.66"/>
    <col collapsed="false" customWidth="true" hidden="false" outlineLevel="0" max="8" min="8" style="1" width="7.64"/>
    <col collapsed="false" customWidth="true" hidden="false" outlineLevel="0" max="9" min="9" style="1" width="9.14"/>
    <col collapsed="false" customWidth="true" hidden="false" outlineLevel="0" max="10" min="10" style="1" width="9.26"/>
    <col collapsed="false" customWidth="true" hidden="false" outlineLevel="0" max="11" min="11" style="1" width="29.4"/>
    <col collapsed="false" customWidth="true" hidden="false" outlineLevel="0" max="12" min="12" style="1" width="7.64"/>
    <col collapsed="false" customWidth="true" hidden="false" outlineLevel="0" max="13" min="13" style="1" width="9.14"/>
    <col collapsed="false" customWidth="true" hidden="false" outlineLevel="0" max="14" min="14" style="1" width="8.76"/>
    <col collapsed="false" customWidth="true" hidden="false" outlineLevel="0" max="15" min="15" style="1" width="30.39"/>
    <col collapsed="false" customWidth="true" hidden="false" outlineLevel="0" max="16" min="16" style="1" width="7.64"/>
    <col collapsed="false" customWidth="true" hidden="false" outlineLevel="0" max="17" min="17" style="1" width="9.14"/>
    <col collapsed="false" customWidth="true" hidden="false" outlineLevel="0" max="18" min="18" style="1" width="10.39"/>
    <col collapsed="false" customWidth="true" hidden="false" outlineLevel="0" max="19" min="19" style="1" width="32.03"/>
    <col collapsed="false" customWidth="true" hidden="false" outlineLevel="0" max="20" min="20" style="1" width="7.64"/>
    <col collapsed="false" customWidth="true" hidden="false" outlineLevel="0" max="21" min="21" style="1" width="9.14"/>
    <col collapsed="false" customWidth="true" hidden="false" outlineLevel="0" max="22" min="22" style="1" width="9.26"/>
    <col collapsed="false" customWidth="true" hidden="false" outlineLevel="0" max="23" min="23" style="1" width="30.28"/>
    <col collapsed="false" customWidth="true" hidden="false" outlineLevel="0" max="24" min="24" style="1" width="7.64"/>
    <col collapsed="false" customWidth="true" hidden="false" outlineLevel="0" max="25" min="25" style="1" width="9.14"/>
    <col collapsed="false" customWidth="true" hidden="false" outlineLevel="0" max="26" min="26" style="1" width="6.25"/>
    <col collapsed="false" customWidth="true" hidden="false" outlineLevel="0" max="27" min="27" style="1" width="8.64"/>
    <col collapsed="false" customWidth="true" hidden="false" outlineLevel="0" max="28" min="28" style="1" width="32.53"/>
    <col collapsed="false" customWidth="true" hidden="false" outlineLevel="0" max="29" min="29" style="1" width="7.64"/>
    <col collapsed="false" customWidth="true" hidden="false" outlineLevel="0" max="30" min="30" style="1" width="9.14"/>
    <col collapsed="false" customWidth="true" hidden="false" outlineLevel="0" max="31" min="31" style="1" width="6.12"/>
    <col collapsed="false" customWidth="true" hidden="false" outlineLevel="0" max="32" min="32" style="1" width="10.39"/>
    <col collapsed="false" customWidth="true" hidden="false" outlineLevel="0" max="33" min="33" style="1" width="30.04"/>
    <col collapsed="false" customWidth="true" hidden="false" outlineLevel="0" max="34" min="34" style="1" width="7.64"/>
    <col collapsed="false" customWidth="true" hidden="false" outlineLevel="0" max="35" min="35" style="1" width="9.14"/>
    <col collapsed="false" customWidth="true" hidden="false" outlineLevel="0" max="36" min="36" style="1" width="8.51"/>
    <col collapsed="false" customWidth="true" hidden="false" outlineLevel="0" max="37" min="37" style="1" width="10.39"/>
    <col collapsed="false" customWidth="true" hidden="false" outlineLevel="0" max="38" min="38" style="1" width="32.03"/>
    <col collapsed="false" customWidth="true" hidden="false" outlineLevel="0" max="39" min="39" style="1" width="7.64"/>
    <col collapsed="false" customWidth="true" hidden="false" outlineLevel="0" max="40" min="40" style="1" width="9.14"/>
    <col collapsed="false" customWidth="true" hidden="false" outlineLevel="0" max="41" min="41" style="1" width="6.25"/>
    <col collapsed="false" customWidth="true" hidden="false" outlineLevel="0" max="42" min="42" style="1" width="10.64"/>
    <col collapsed="false" customWidth="true" hidden="false" outlineLevel="0" max="43" min="43" style="1" width="32.03"/>
    <col collapsed="false" customWidth="true" hidden="false" outlineLevel="0" max="44" min="44" style="1" width="7.64"/>
    <col collapsed="false" customWidth="true" hidden="false" outlineLevel="0" max="45" min="45" style="1" width="9.14"/>
    <col collapsed="false" customWidth="true" hidden="false" outlineLevel="0" max="46" min="46" style="1" width="6.51"/>
    <col collapsed="false" customWidth="true" hidden="false" outlineLevel="0" max="47" min="47" style="1" width="9.76"/>
    <col collapsed="false" customWidth="true" hidden="false" outlineLevel="0" max="48" min="48" style="1" width="31.42"/>
    <col collapsed="false" customWidth="true" hidden="false" outlineLevel="0" max="49" min="49" style="1" width="7.64"/>
    <col collapsed="false" customWidth="true" hidden="false" outlineLevel="0" max="51" min="50" style="1" width="9.14"/>
    <col collapsed="false" customWidth="true" hidden="false" outlineLevel="0" max="52" min="52" style="1" width="9.76"/>
    <col collapsed="false" customWidth="true" hidden="false" outlineLevel="0" max="53" min="53" style="1" width="29.53"/>
    <col collapsed="false" customWidth="true" hidden="false" outlineLevel="0" max="56" min="54" style="1" width="9.14"/>
    <col collapsed="false" customWidth="true" hidden="false" outlineLevel="0" max="57" min="57" style="1" width="11.64"/>
    <col collapsed="false" customWidth="true" hidden="false" outlineLevel="0" max="58" min="58" style="1" width="29.03"/>
    <col collapsed="false" customWidth="true" hidden="false" outlineLevel="0" max="61" min="59" style="1" width="9.14"/>
    <col collapsed="false" customWidth="true" hidden="false" outlineLevel="0" max="62" min="62" style="1" width="12.01"/>
    <col collapsed="false" customWidth="true" hidden="false" outlineLevel="0" max="63" min="63" style="1" width="30.39"/>
    <col collapsed="false" customWidth="true" hidden="false" outlineLevel="0" max="66" min="64" style="1" width="9.14"/>
    <col collapsed="false" customWidth="true" hidden="false" outlineLevel="0" max="67" min="67" style="1" width="10.51"/>
    <col collapsed="false" customWidth="true" hidden="false" outlineLevel="0" max="68" min="68" style="1" width="30.39"/>
    <col collapsed="false" customWidth="true" hidden="false" outlineLevel="0" max="72" min="69" style="1" width="9.14"/>
    <col collapsed="false" customWidth="true" hidden="false" outlineLevel="0" max="73" min="73" style="1" width="32.03"/>
    <col collapsed="false" customWidth="true" hidden="false" outlineLevel="0" max="76" min="74" style="1" width="9.14"/>
    <col collapsed="false" customWidth="true" hidden="false" outlineLevel="0" max="77" min="77" style="1" width="8.51"/>
    <col collapsed="false" customWidth="true" hidden="false" outlineLevel="0" max="78" min="78" style="1" width="31.16"/>
    <col collapsed="false" customWidth="true" hidden="false" outlineLevel="0" max="81" min="79" style="1" width="9.14"/>
    <col collapsed="false" customWidth="true" hidden="false" outlineLevel="0" max="82" min="82" style="1" width="10.64"/>
    <col collapsed="false" customWidth="true" hidden="false" outlineLevel="0" max="83" min="83" style="1" width="29.4"/>
    <col collapsed="false" customWidth="true" hidden="false" outlineLevel="0" max="86" min="84" style="1" width="9.14"/>
    <col collapsed="false" customWidth="true" hidden="false" outlineLevel="0" max="1021" min="87" style="1" width="12.64"/>
  </cols>
  <sheetData>
    <row r="1" customFormat="false" ht="36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/>
      <c r="F1" s="4" t="s">
        <v>4</v>
      </c>
      <c r="G1" s="4"/>
      <c r="H1" s="4"/>
      <c r="I1" s="4"/>
      <c r="J1" s="5" t="s">
        <v>5</v>
      </c>
      <c r="K1" s="5"/>
      <c r="L1" s="5"/>
      <c r="M1" s="5"/>
      <c r="N1" s="6" t="s">
        <v>6</v>
      </c>
      <c r="O1" s="6"/>
      <c r="P1" s="6"/>
      <c r="Q1" s="6"/>
      <c r="R1" s="7" t="s">
        <v>7</v>
      </c>
      <c r="S1" s="7"/>
      <c r="T1" s="7"/>
      <c r="U1" s="7"/>
      <c r="V1" s="8" t="s">
        <v>8</v>
      </c>
      <c r="W1" s="8"/>
      <c r="X1" s="8"/>
      <c r="Y1" s="8"/>
      <c r="Z1" s="9"/>
      <c r="AA1" s="10" t="s">
        <v>9</v>
      </c>
      <c r="AB1" s="10"/>
      <c r="AC1" s="10"/>
      <c r="AD1" s="10"/>
      <c r="AE1" s="9"/>
      <c r="AF1" s="11" t="s">
        <v>10</v>
      </c>
      <c r="AG1" s="11"/>
      <c r="AH1" s="11"/>
      <c r="AI1" s="11"/>
      <c r="AJ1" s="9"/>
      <c r="AK1" s="12" t="s">
        <v>11</v>
      </c>
      <c r="AL1" s="12"/>
      <c r="AM1" s="12"/>
      <c r="AN1" s="12"/>
      <c r="AO1" s="9"/>
      <c r="AP1" s="13" t="s">
        <v>12</v>
      </c>
      <c r="AQ1" s="13"/>
      <c r="AR1" s="13"/>
      <c r="AS1" s="13"/>
      <c r="AT1" s="9"/>
      <c r="AU1" s="14" t="s">
        <v>13</v>
      </c>
      <c r="AV1" s="14"/>
      <c r="AW1" s="14"/>
      <c r="AX1" s="14"/>
      <c r="AY1" s="9"/>
      <c r="AZ1" s="4" t="s">
        <v>14</v>
      </c>
      <c r="BA1" s="4"/>
      <c r="BB1" s="4"/>
      <c r="BC1" s="4"/>
      <c r="BD1" s="9"/>
      <c r="BE1" s="6" t="s">
        <v>15</v>
      </c>
      <c r="BF1" s="6"/>
      <c r="BG1" s="6"/>
      <c r="BH1" s="6"/>
      <c r="BI1" s="9"/>
      <c r="BJ1" s="7" t="s">
        <v>16</v>
      </c>
      <c r="BK1" s="7"/>
      <c r="BL1" s="7"/>
      <c r="BM1" s="7"/>
      <c r="BN1" s="9"/>
      <c r="BO1" s="8" t="s">
        <v>17</v>
      </c>
      <c r="BP1" s="8"/>
      <c r="BQ1" s="8"/>
      <c r="BR1" s="8"/>
      <c r="BS1" s="15"/>
      <c r="BT1" s="10" t="s">
        <v>18</v>
      </c>
      <c r="BU1" s="10"/>
      <c r="BV1" s="10"/>
      <c r="BW1" s="10"/>
      <c r="BX1" s="9"/>
      <c r="BY1" s="11" t="s">
        <v>19</v>
      </c>
      <c r="BZ1" s="11"/>
      <c r="CA1" s="11"/>
      <c r="CB1" s="11"/>
      <c r="CC1" s="9"/>
      <c r="CD1" s="12" t="s">
        <v>20</v>
      </c>
      <c r="CE1" s="12"/>
      <c r="CF1" s="12"/>
      <c r="CG1" s="12"/>
      <c r="CH1" s="15"/>
    </row>
    <row r="2" customFormat="false" ht="29.15" hidden="false" customHeight="false" outlineLevel="0" collapsed="false">
      <c r="A2" s="2"/>
      <c r="B2" s="2"/>
      <c r="C2" s="2"/>
      <c r="D2" s="2"/>
      <c r="E2" s="2"/>
      <c r="F2" s="4"/>
      <c r="G2" s="4"/>
      <c r="H2" s="4"/>
      <c r="I2" s="4"/>
      <c r="J2" s="5"/>
      <c r="K2" s="5"/>
      <c r="L2" s="5"/>
      <c r="M2" s="5"/>
      <c r="N2" s="6"/>
      <c r="O2" s="6"/>
      <c r="P2" s="6"/>
      <c r="Q2" s="6"/>
      <c r="R2" s="7"/>
      <c r="S2" s="7"/>
      <c r="T2" s="7"/>
      <c r="U2" s="7"/>
      <c r="V2" s="8"/>
      <c r="W2" s="8"/>
      <c r="X2" s="8"/>
      <c r="Y2" s="8"/>
      <c r="Z2" s="9"/>
      <c r="AA2" s="10"/>
      <c r="AB2" s="10"/>
      <c r="AC2" s="10"/>
      <c r="AD2" s="10"/>
      <c r="AE2" s="9"/>
      <c r="AF2" s="11"/>
      <c r="AG2" s="11"/>
      <c r="AH2" s="11"/>
      <c r="AI2" s="11"/>
      <c r="AJ2" s="9"/>
      <c r="AK2" s="12"/>
      <c r="AL2" s="12"/>
      <c r="AM2" s="12"/>
      <c r="AN2" s="12"/>
      <c r="AO2" s="9"/>
      <c r="AP2" s="13"/>
      <c r="AQ2" s="13"/>
      <c r="AR2" s="13"/>
      <c r="AS2" s="13"/>
      <c r="AT2" s="9"/>
      <c r="AU2" s="14"/>
      <c r="AV2" s="14"/>
      <c r="AW2" s="14"/>
      <c r="AX2" s="14"/>
      <c r="AY2" s="9"/>
      <c r="AZ2" s="4"/>
      <c r="BA2" s="4"/>
      <c r="BB2" s="4"/>
      <c r="BC2" s="4"/>
      <c r="BD2" s="9"/>
      <c r="BE2" s="6"/>
      <c r="BF2" s="6"/>
      <c r="BG2" s="6"/>
      <c r="BH2" s="6"/>
      <c r="BI2" s="9"/>
      <c r="BJ2" s="7"/>
      <c r="BK2" s="7"/>
      <c r="BL2" s="7"/>
      <c r="BM2" s="7"/>
      <c r="BN2" s="9"/>
      <c r="BO2" s="8"/>
      <c r="BP2" s="8"/>
      <c r="BQ2" s="8"/>
      <c r="BR2" s="8"/>
      <c r="BS2" s="15"/>
      <c r="BT2" s="10"/>
      <c r="BU2" s="10"/>
      <c r="BV2" s="10"/>
      <c r="BW2" s="10"/>
      <c r="BX2" s="9"/>
      <c r="BY2" s="11"/>
      <c r="BZ2" s="11"/>
      <c r="CA2" s="11"/>
      <c r="CB2" s="11"/>
      <c r="CC2" s="9"/>
      <c r="CD2" s="12"/>
      <c r="CE2" s="12"/>
      <c r="CF2" s="12"/>
      <c r="CG2" s="12"/>
      <c r="CH2" s="15"/>
    </row>
    <row r="3" customFormat="false" ht="13.85" hidden="true" customHeight="false" outlineLevel="0" collapsed="false">
      <c r="A3" s="16" t="s">
        <v>21</v>
      </c>
      <c r="B3" s="17"/>
      <c r="C3" s="17"/>
      <c r="D3" s="17"/>
      <c r="E3" s="17"/>
      <c r="BS3" s="18"/>
      <c r="CH3" s="18"/>
    </row>
    <row r="4" customFormat="false" ht="15" hidden="false" customHeight="false" outlineLevel="0" collapsed="false">
      <c r="A4" s="19" t="s">
        <v>0</v>
      </c>
      <c r="B4" s="3" t="s">
        <v>1</v>
      </c>
      <c r="C4" s="3" t="s">
        <v>2</v>
      </c>
      <c r="D4" s="3" t="s">
        <v>22</v>
      </c>
      <c r="E4" s="3" t="s">
        <v>3</v>
      </c>
      <c r="F4" s="20" t="s">
        <v>23</v>
      </c>
      <c r="G4" s="20" t="s">
        <v>24</v>
      </c>
      <c r="H4" s="21" t="s">
        <v>25</v>
      </c>
      <c r="I4" s="21" t="s">
        <v>26</v>
      </c>
      <c r="J4" s="20" t="str">
        <f aca="false">IFERROR(__xludf.dummyfunction("IMPORTRANGE(A5,""a1"")"),"I use my left hand (Aaron G)")</f>
        <v>I use my left hand (Aaron G)</v>
      </c>
      <c r="K4" s="20"/>
      <c r="L4" s="22" t="s">
        <v>25</v>
      </c>
      <c r="M4" s="22" t="s">
        <v>26</v>
      </c>
      <c r="N4" s="20" t="str">
        <f aca="false">IFERROR(__xludf.dummyfunction("IMPORTRANGE(A5,""a1"")"),"I use my left hand (Aaron G)")</f>
        <v>I use my left hand (Aaron G)</v>
      </c>
      <c r="O4" s="20"/>
      <c r="P4" s="23" t="s">
        <v>25</v>
      </c>
      <c r="Q4" s="23" t="s">
        <v>26</v>
      </c>
      <c r="R4" s="24" t="str">
        <f aca="false">IFERROR(__xludf.dummyfunction("IMPORTRANGE(A5,""a1"")"),"I use my left hand (Aaron G)")</f>
        <v>I use my left hand (Aaron G)</v>
      </c>
      <c r="S4" s="24"/>
      <c r="T4" s="25" t="s">
        <v>25</v>
      </c>
      <c r="U4" s="25" t="s">
        <v>26</v>
      </c>
      <c r="V4" s="24" t="str">
        <f aca="false">IFERROR(__xludf.dummyfunction("IMPORTRANGE(A5,""a1"")"),"I use my left hand (Aaron G)")</f>
        <v>I use my left hand (Aaron G)</v>
      </c>
      <c r="W4" s="24"/>
      <c r="X4" s="26" t="s">
        <v>25</v>
      </c>
      <c r="Y4" s="26" t="s">
        <v>26</v>
      </c>
      <c r="AA4" s="24" t="str">
        <f aca="false">IFERROR(__xludf.dummyfunction("IMPORTRANGE(A5,""a1"")"),"I use my left hand (Aaron G)")</f>
        <v>I use my left hand (Aaron G)</v>
      </c>
      <c r="AB4" s="24"/>
      <c r="AC4" s="27" t="s">
        <v>25</v>
      </c>
      <c r="AD4" s="27" t="s">
        <v>26</v>
      </c>
      <c r="AF4" s="24" t="str">
        <f aca="false">IFERROR(__xludf.dummyfunction("IMPORTRANGE(A5,""a1"")"),"I use my left hand (Aaron G)")</f>
        <v>I use my left hand (Aaron G)</v>
      </c>
      <c r="AG4" s="24"/>
      <c r="AH4" s="28" t="s">
        <v>25</v>
      </c>
      <c r="AI4" s="28" t="s">
        <v>26</v>
      </c>
      <c r="AK4" s="24" t="str">
        <f aca="false">IFERROR(__xludf.dummyfunction("IMPORTRANGE(A5,""a1"")"),"I use my left hand (Aaron G)")</f>
        <v>I use my left hand (Aaron G)</v>
      </c>
      <c r="AL4" s="24"/>
      <c r="AM4" s="29" t="s">
        <v>25</v>
      </c>
      <c r="AN4" s="29" t="s">
        <v>26</v>
      </c>
      <c r="AP4" s="24" t="str">
        <f aca="false">IFERROR(__xludf.dummyfunction("IMPORTRANGE(A5,""a1"")"),"I use my left hand (Aaron G)")</f>
        <v>I use my left hand (Aaron G)</v>
      </c>
      <c r="AQ4" s="24"/>
      <c r="AR4" s="30" t="s">
        <v>25</v>
      </c>
      <c r="AS4" s="30" t="s">
        <v>26</v>
      </c>
      <c r="AU4" s="24" t="str">
        <f aca="false">IFERROR(__xludf.dummyfunction("IMPORTRANGE(A5,""a1"")"),"I use my left hand (Aaron G)")</f>
        <v>I use my left hand (Aaron G)</v>
      </c>
      <c r="AV4" s="24"/>
      <c r="AW4" s="31" t="s">
        <v>25</v>
      </c>
      <c r="AX4" s="31" t="s">
        <v>26</v>
      </c>
      <c r="AY4" s="32"/>
      <c r="AZ4" s="24" t="str">
        <f aca="false">IFERROR(__xludf.dummyfunction("IMPORTRANGE(A5,""a1"")"),"I use my left hand (Aaron G)")</f>
        <v>I use my left hand (Aaron G)</v>
      </c>
      <c r="BA4" s="24"/>
      <c r="BB4" s="21" t="s">
        <v>25</v>
      </c>
      <c r="BC4" s="21" t="s">
        <v>26</v>
      </c>
      <c r="BD4" s="32"/>
      <c r="BE4" s="24" t="str">
        <f aca="false">IFERROR(__xludf.dummyfunction("IMPORTRANGE(A5,""a1"")"),"I use my left hand (Aaron G)")</f>
        <v>I use my left hand (Aaron G)</v>
      </c>
      <c r="BF4" s="24"/>
      <c r="BG4" s="23" t="s">
        <v>25</v>
      </c>
      <c r="BH4" s="23" t="s">
        <v>26</v>
      </c>
      <c r="BI4" s="32"/>
      <c r="BJ4" s="24" t="str">
        <f aca="false">IFERROR(__xludf.dummyfunction("IMPORTRANGE(A5,""a1"")"),"I use my left hand (Aaron G)")</f>
        <v>I use my left hand (Aaron G)</v>
      </c>
      <c r="BK4" s="24"/>
      <c r="BL4" s="31" t="s">
        <v>25</v>
      </c>
      <c r="BM4" s="31" t="s">
        <v>26</v>
      </c>
      <c r="BN4" s="32"/>
      <c r="BO4" s="24" t="str">
        <f aca="false">IFERROR(__xludf.dummyfunction("IMPORTRANGE(A5,""a1"")"),"I use my left hand (Aaron G)")</f>
        <v>I use my left hand (Aaron G)</v>
      </c>
      <c r="BP4" s="24"/>
      <c r="BQ4" s="31" t="s">
        <v>25</v>
      </c>
      <c r="BR4" s="31" t="s">
        <v>26</v>
      </c>
      <c r="BS4" s="33"/>
      <c r="BT4" s="24" t="str">
        <f aca="false">IFERROR(__xludf.dummyfunction("IMPORTRANGE(A5,""a1"")"),"I use my left hand (Aaron G)")</f>
        <v>I use my left hand (Aaron G)</v>
      </c>
      <c r="BU4" s="24"/>
      <c r="BV4" s="31" t="s">
        <v>25</v>
      </c>
      <c r="BW4" s="31" t="s">
        <v>26</v>
      </c>
      <c r="BX4" s="32"/>
      <c r="BY4" s="24" t="str">
        <f aca="false">IFERROR(__xludf.dummyfunction("IMPORTRANGE(A5,""a1"")"),"I use my left hand (Aaron G)")</f>
        <v>I use my left hand (Aaron G)</v>
      </c>
      <c r="BZ4" s="24"/>
      <c r="CA4" s="31" t="s">
        <v>25</v>
      </c>
      <c r="CB4" s="31" t="s">
        <v>26</v>
      </c>
      <c r="CC4" s="32"/>
      <c r="CD4" s="24" t="str">
        <f aca="false">IFERROR(__xludf.dummyfunction("IMPORTRANGE(A5,""a1"")"),"I use my left hand (Aaron G)")</f>
        <v>I use my left hand (Aaron G)</v>
      </c>
      <c r="CE4" s="24"/>
      <c r="CF4" s="31" t="s">
        <v>25</v>
      </c>
      <c r="CG4" s="31" t="s">
        <v>26</v>
      </c>
      <c r="CH4" s="33"/>
    </row>
    <row r="5" customFormat="false" ht="18" hidden="false" customHeight="true" outlineLevel="0" collapsed="false">
      <c r="A5" s="19" t="str">
        <f aca="false">IFERROR(__xludf.dummyfunction("IMPORTRANGE(A5,""a1"")"),"I use my left hand (Aaron G)")</f>
        <v>I use my left hand (Aaron G)</v>
      </c>
      <c r="B5" s="34" t="s">
        <v>27</v>
      </c>
      <c r="C5" s="34" t="n">
        <v>45971</v>
      </c>
      <c r="D5" s="34" t="n">
        <v>1</v>
      </c>
      <c r="E5" s="35" t="s">
        <v>28</v>
      </c>
      <c r="F5" s="36" t="s">
        <v>29</v>
      </c>
      <c r="G5" s="35" t="s">
        <v>28</v>
      </c>
      <c r="H5" s="37" t="n">
        <v>33</v>
      </c>
      <c r="I5" s="38" t="n">
        <f aca="false">VLOOKUP(H5,FPOSCORING,2, 0)</f>
        <v>0</v>
      </c>
      <c r="J5" s="39" t="s">
        <v>29</v>
      </c>
      <c r="K5" s="40" t="str">
        <f aca="false">IFERROR(__xludf.dummyfunction("IMPORTRANGE(A5,""AE6"")"),"Kona Panis")</f>
        <v>Kona Panis</v>
      </c>
      <c r="L5" s="41" t="n">
        <v>10</v>
      </c>
      <c r="M5" s="38" t="n">
        <f aca="false">VLOOKUP(L5,FPOSCORING,2, 0)</f>
        <v>58</v>
      </c>
      <c r="N5" s="42" t="s">
        <v>29</v>
      </c>
      <c r="O5" s="43" t="str">
        <f aca="false">IFERROR(__xludf.dummyfunction("IMPORTRANGE(A5,""W6"")"),"Kona Panis")</f>
        <v>Kona Panis</v>
      </c>
      <c r="P5" s="44" t="n">
        <v>8</v>
      </c>
      <c r="Q5" s="38" t="n">
        <f aca="false">VLOOKUP(P5,FPOSCORING,2, 0)</f>
        <v>67</v>
      </c>
      <c r="R5" s="34" t="s">
        <v>29</v>
      </c>
      <c r="S5" s="45" t="str">
        <f aca="false">IFERROR(__xludf.dummyfunction("IMPORTRANGE(A5,""AE6"")"),"Kona Panis")</f>
        <v>Kona Panis</v>
      </c>
      <c r="T5" s="46" t="n">
        <v>16</v>
      </c>
      <c r="U5" s="47" t="n">
        <f aca="false">VLOOKUP(T5,FPOSCORING,2, 0)</f>
        <v>29</v>
      </c>
      <c r="V5" s="48" t="s">
        <v>29</v>
      </c>
      <c r="W5" s="49" t="str">
        <f aca="false">IFERROR(__xludf.dummyfunction("IMPORTRANGE(A5,""Am6"")"),"Kona Panis")</f>
        <v>Kona Panis</v>
      </c>
      <c r="X5" s="50" t="s">
        <v>30</v>
      </c>
      <c r="Y5" s="26" t="n">
        <f aca="false">VLOOKUP(X5,FPOSCORING,2, 0)</f>
        <v>0</v>
      </c>
      <c r="Z5" s="51"/>
      <c r="AA5" s="52" t="s">
        <v>29</v>
      </c>
      <c r="AB5" s="53" t="str">
        <f aca="false">IFERROR(__xludf.dummyfunction("IMPORTRANGE(A5,""Au6"")"),"Kona Panis")</f>
        <v>Kona Panis</v>
      </c>
      <c r="AC5" s="54" t="n">
        <v>13</v>
      </c>
      <c r="AD5" s="27" t="n">
        <f aca="false">VLOOKUP(AC5,FPOSCORING,2, 0)</f>
        <v>42</v>
      </c>
      <c r="AE5" s="51"/>
      <c r="AF5" s="55" t="s">
        <v>29</v>
      </c>
      <c r="AG5" s="56" t="str">
        <f aca="false">IFERROR(__xludf.dummyfunction("IMPORTRANGE(A5,""bc6"")"),"Kona Panis")</f>
        <v>Kona Panis</v>
      </c>
      <c r="AH5" s="57" t="n">
        <v>17</v>
      </c>
      <c r="AI5" s="28" t="n">
        <f aca="false">VLOOKUP(AH5,FPOSCORING,2, 0)</f>
        <v>24</v>
      </c>
      <c r="AJ5" s="51"/>
      <c r="AK5" s="58" t="s">
        <v>29</v>
      </c>
      <c r="AL5" s="59" t="str">
        <f aca="false">IFERROR(__xludf.dummyfunction("IMPORTRANGE(A5,""bk6"")"),"Kona Panis")</f>
        <v>Kona Panis</v>
      </c>
      <c r="AM5" s="60" t="n">
        <v>28</v>
      </c>
      <c r="AN5" s="29" t="n">
        <f aca="false">VLOOKUP(AM5,FPOSCORING,2, 0)</f>
        <v>0</v>
      </c>
      <c r="AO5" s="51"/>
      <c r="AP5" s="61" t="s">
        <v>29</v>
      </c>
      <c r="AQ5" s="62" t="str">
        <f aca="false">IFERROR(__xludf.dummyfunction("IMPORTRANGE(A5,""bs6"")"),"Kona Panis")</f>
        <v>Kona Panis</v>
      </c>
      <c r="AR5" s="63" t="n">
        <v>39</v>
      </c>
      <c r="AS5" s="30" t="n">
        <f aca="false">VLOOKUP(AR5,MPOSCORING,2, 0)</f>
        <v>30</v>
      </c>
      <c r="AT5" s="51"/>
      <c r="AU5" s="64" t="s">
        <v>29</v>
      </c>
      <c r="AV5" s="65" t="str">
        <f aca="false">IFERROR(__xludf.dummyfunction("IMPORTRANGE(A5,""ca6"")"),"Kona Panis")</f>
        <v>Kona Panis</v>
      </c>
      <c r="AW5" s="66" t="n">
        <v>42</v>
      </c>
      <c r="AX5" s="31" t="n">
        <f aca="false">VLOOKUP(AW5,FPOSCORING,2, 0)</f>
        <v>0</v>
      </c>
      <c r="AY5" s="32"/>
      <c r="AZ5" s="36" t="s">
        <v>29</v>
      </c>
      <c r="BA5" s="67" t="str">
        <f aca="false">IFERROR(__xludf.dummyfunction("IMPORTRANGE(A5,""ci6"")"),"Kona Panis")</f>
        <v>Kona Panis</v>
      </c>
      <c r="BB5" s="37" t="n">
        <v>15</v>
      </c>
      <c r="BC5" s="21" t="n">
        <f aca="false">VLOOKUP(BB5,FPOSCORING,2, 0)</f>
        <v>34</v>
      </c>
      <c r="BD5" s="32"/>
      <c r="BE5" s="42" t="s">
        <v>29</v>
      </c>
      <c r="BF5" s="68" t="str">
        <f aca="false">IFERROR(__xludf.dummyfunction("IMPORTRANGE(A5,""cq6"")"),"Kona Panis")</f>
        <v>Kona Panis</v>
      </c>
      <c r="BG5" s="44" t="n">
        <v>36</v>
      </c>
      <c r="BH5" s="23" t="n">
        <f aca="false">VLOOKUP(BG5,FPOSCORING,2, 0)</f>
        <v>0</v>
      </c>
      <c r="BI5" s="32"/>
      <c r="BJ5" s="64" t="s">
        <v>29</v>
      </c>
      <c r="BK5" s="65" t="str">
        <f aca="false">IFERROR(__xludf.dummyfunction("IMPORTRANGE(A5,""cy6"")"),"Kona Panis")</f>
        <v>Kona Panis</v>
      </c>
      <c r="BL5" s="66" t="n">
        <v>8</v>
      </c>
      <c r="BM5" s="31" t="n">
        <f aca="false">VLOOKUP(BL5,FPOSCORING,2, 0)</f>
        <v>67</v>
      </c>
      <c r="BN5" s="32"/>
      <c r="BO5" s="64" t="s">
        <v>29</v>
      </c>
      <c r="BP5" s="65" t="str">
        <f aca="false">IFERROR(__xludf.dummyfunction("IMPORTRANGE(A5,""dg6"")"),"Kona Panis")</f>
        <v>Kona Panis</v>
      </c>
      <c r="BQ5" s="66" t="n">
        <v>40</v>
      </c>
      <c r="BR5" s="31" t="n">
        <f aca="false">VLOOKUP(BQ5,FPOSCORING,3, 0)</f>
        <v>0</v>
      </c>
      <c r="BS5" s="33"/>
      <c r="BT5" s="64" t="s">
        <v>29</v>
      </c>
      <c r="BU5" s="65" t="str">
        <f aca="false">IFERROR(__xludf.dummyfunction("IMPORTRANGE(A5,""do6"")"),"")</f>
        <v/>
      </c>
      <c r="BV5" s="66" t="s">
        <v>31</v>
      </c>
      <c r="BW5" s="31" t="n">
        <f aca="false">VLOOKUP(BV5,FPOSCORING,2, 0)</f>
        <v>0</v>
      </c>
      <c r="BX5" s="32"/>
      <c r="BY5" s="64" t="s">
        <v>29</v>
      </c>
      <c r="BZ5" s="65" t="str">
        <f aca="false">IFERROR(__xludf.dummyfunction("IMPORTRANGE(A5,""dw6"")"),"")</f>
        <v/>
      </c>
      <c r="CA5" s="66" t="s">
        <v>31</v>
      </c>
      <c r="CB5" s="31" t="n">
        <f aca="false">VLOOKUP(CA5,FPOSCORING,2, 0)</f>
        <v>0</v>
      </c>
      <c r="CC5" s="32"/>
      <c r="CD5" s="64" t="s">
        <v>29</v>
      </c>
      <c r="CE5" s="65"/>
      <c r="CF5" s="66" t="s">
        <v>31</v>
      </c>
      <c r="CG5" s="31" t="n">
        <f aca="false">VLOOKUP(CF5,FPOSCORING,3, 0)</f>
        <v>0</v>
      </c>
      <c r="CH5" s="33"/>
    </row>
    <row r="6" customFormat="false" ht="15.75" hidden="false" customHeight="true" outlineLevel="0" collapsed="false">
      <c r="A6" s="19" t="str">
        <f aca="false">IFERROR(__xludf.dummyfunction("IMPORTRANGE(A5,""a1"")"),"I use my left hand (Aaron G)")</f>
        <v>I use my left hand (Aaron G)</v>
      </c>
      <c r="B6" s="34" t="s">
        <v>32</v>
      </c>
      <c r="C6" s="34" t="n">
        <v>48346</v>
      </c>
      <c r="D6" s="34" t="n">
        <v>2</v>
      </c>
      <c r="E6" s="67" t="s">
        <v>33</v>
      </c>
      <c r="F6" s="36" t="s">
        <v>34</v>
      </c>
      <c r="G6" s="67" t="s">
        <v>33</v>
      </c>
      <c r="H6" s="69" t="n">
        <v>10</v>
      </c>
      <c r="I6" s="38" t="n">
        <f aca="false">VLOOKUP(H6,FPOSCORING,2, 0)</f>
        <v>58</v>
      </c>
      <c r="J6" s="39" t="s">
        <v>34</v>
      </c>
      <c r="K6" s="70" t="str">
        <f aca="false">IFERROR(__xludf.dummyfunction("IMPORTRANGE(A5,""o7"")"),"Maria Oliva")</f>
        <v>Maria Oliva</v>
      </c>
      <c r="L6" s="71" t="n">
        <v>8</v>
      </c>
      <c r="M6" s="38" t="n">
        <f aca="false">VLOOKUP(L6,FPOSCORING,2, 0)</f>
        <v>67</v>
      </c>
      <c r="N6" s="42" t="s">
        <v>34</v>
      </c>
      <c r="O6" s="43" t="str">
        <f aca="false">IFERROR(__xludf.dummyfunction("IMPORTRANGE(A5,""W7"")"),"Maria Oliva")</f>
        <v>Maria Oliva</v>
      </c>
      <c r="P6" s="72" t="n">
        <v>18</v>
      </c>
      <c r="Q6" s="38" t="n">
        <f aca="false">VLOOKUP(P6,FPOSCORING,2, 0)</f>
        <v>19</v>
      </c>
      <c r="R6" s="34" t="s">
        <v>34</v>
      </c>
      <c r="S6" s="73" t="str">
        <f aca="false">IFERROR(__xludf.dummyfunction("IMPORTRANGE(A5,""AE7"")"),"Maria Oliva")</f>
        <v>Maria Oliva</v>
      </c>
      <c r="T6" s="74" t="n">
        <v>33</v>
      </c>
      <c r="U6" s="47" t="n">
        <f aca="false">VLOOKUP(T6,FPOSCORING,2, 0)</f>
        <v>0</v>
      </c>
      <c r="V6" s="48" t="s">
        <v>34</v>
      </c>
      <c r="W6" s="75" t="str">
        <f aca="false">IFERROR(__xludf.dummyfunction("IMPORTRANGE(A5,""Am7"")"),"Maria Oliva")</f>
        <v>Maria Oliva</v>
      </c>
      <c r="X6" s="76" t="n">
        <v>23</v>
      </c>
      <c r="Y6" s="26" t="n">
        <f aca="false">VLOOKUP(X6,FPOSCORING,2, 0)</f>
        <v>7</v>
      </c>
      <c r="Z6" s="51"/>
      <c r="AA6" s="52" t="s">
        <v>34</v>
      </c>
      <c r="AB6" s="77" t="str">
        <f aca="false">IFERROR(__xludf.dummyfunction("IMPORTRANGE(A5,""Au7"")"),"Maria Oliva")</f>
        <v>Maria Oliva</v>
      </c>
      <c r="AC6" s="78" t="n">
        <v>14</v>
      </c>
      <c r="AD6" s="27" t="n">
        <f aca="false">VLOOKUP(AC6,FPOSCORING,2, 0)</f>
        <v>38</v>
      </c>
      <c r="AE6" s="51"/>
      <c r="AF6" s="55" t="s">
        <v>34</v>
      </c>
      <c r="AG6" s="79" t="str">
        <f aca="false">IFERROR(__xludf.dummyfunction("IMPORTRANGE(A5,""bc7"")"),"Maria Oliva")</f>
        <v>Maria Oliva</v>
      </c>
      <c r="AH6" s="80" t="n">
        <v>8</v>
      </c>
      <c r="AI6" s="28" t="n">
        <f aca="false">VLOOKUP(AH6,FPOSCORING,2, 0)</f>
        <v>67</v>
      </c>
      <c r="AJ6" s="51"/>
      <c r="AK6" s="58" t="s">
        <v>34</v>
      </c>
      <c r="AL6" s="81" t="str">
        <f aca="false">IFERROR(__xludf.dummyfunction("IMPORTRANGE(A5,""bk7"")"),"Maria Oliva")</f>
        <v>Maria Oliva</v>
      </c>
      <c r="AM6" s="82" t="n">
        <v>7</v>
      </c>
      <c r="AN6" s="29" t="n">
        <f aca="false">VLOOKUP(AM6,FPOSCORING,2, 0)</f>
        <v>71</v>
      </c>
      <c r="AO6" s="51"/>
      <c r="AP6" s="61" t="s">
        <v>34</v>
      </c>
      <c r="AQ6" s="83" t="str">
        <f aca="false">IFERROR(__xludf.dummyfunction("IMPORTRANGE(A5,""bs7"")"),"Maria Oliva")</f>
        <v>Maria Oliva</v>
      </c>
      <c r="AR6" s="84" t="n">
        <v>4</v>
      </c>
      <c r="AS6" s="30" t="n">
        <f aca="false">VLOOKUP(AR6,MPOSCORING,2, 0)</f>
        <v>94</v>
      </c>
      <c r="AT6" s="51"/>
      <c r="AU6" s="64" t="s">
        <v>34</v>
      </c>
      <c r="AV6" s="85" t="str">
        <f aca="false">IFERROR(__xludf.dummyfunction("IMPORTRANGE(A5,""ca7"")"),"Maria Oliva")</f>
        <v>Maria Oliva</v>
      </c>
      <c r="AW6" s="86" t="n">
        <v>16</v>
      </c>
      <c r="AX6" s="31" t="n">
        <f aca="false">VLOOKUP(AW6,FPOSCORING,2, 0)</f>
        <v>29</v>
      </c>
      <c r="AY6" s="32"/>
      <c r="AZ6" s="36" t="s">
        <v>34</v>
      </c>
      <c r="BA6" s="35" t="str">
        <f aca="false">IFERROR(__xludf.dummyfunction("IMPORTRANGE(A5,""ci7"")"),"Maria Oliva")</f>
        <v>Maria Oliva</v>
      </c>
      <c r="BB6" s="69" t="n">
        <v>33</v>
      </c>
      <c r="BC6" s="21" t="n">
        <f aca="false">VLOOKUP(BB6,FPOSCORING,2, 0)</f>
        <v>0</v>
      </c>
      <c r="BD6" s="32"/>
      <c r="BE6" s="42" t="s">
        <v>34</v>
      </c>
      <c r="BF6" s="43" t="str">
        <f aca="false">IFERROR(__xludf.dummyfunction("IMPORTRANGE(A5,""cq7"")"),"Maria Oliva")</f>
        <v>Maria Oliva</v>
      </c>
      <c r="BG6" s="72" t="n">
        <v>12</v>
      </c>
      <c r="BH6" s="23" t="n">
        <f aca="false">VLOOKUP(BG6,FPOSCORING,2, 0)</f>
        <v>47</v>
      </c>
      <c r="BI6" s="32"/>
      <c r="BJ6" s="64" t="s">
        <v>34</v>
      </c>
      <c r="BK6" s="85" t="str">
        <f aca="false">IFERROR(__xludf.dummyfunction("IMPORTRANGE(A5,""cy7"")"),"Maria Oliva")</f>
        <v>Maria Oliva</v>
      </c>
      <c r="BL6" s="86" t="n">
        <v>22</v>
      </c>
      <c r="BM6" s="31" t="n">
        <f aca="false">VLOOKUP(BL6,FPOSCORING,2, 0)</f>
        <v>8</v>
      </c>
      <c r="BN6" s="32"/>
      <c r="BO6" s="64" t="s">
        <v>34</v>
      </c>
      <c r="BP6" s="85" t="str">
        <f aca="false">IFERROR(__xludf.dummyfunction("IMPORTRANGE(A5,""dg7"")"),"Maria Oliva")</f>
        <v>Maria Oliva</v>
      </c>
      <c r="BQ6" s="86" t="n">
        <v>34</v>
      </c>
      <c r="BR6" s="31" t="n">
        <f aca="false">VLOOKUP(BQ6,FPOSCORING,3, 0)</f>
        <v>0</v>
      </c>
      <c r="BS6" s="33"/>
      <c r="BT6" s="64" t="s">
        <v>34</v>
      </c>
      <c r="BU6" s="85" t="str">
        <f aca="false">IFERROR(__xludf.dummyfunction("IMPORTRANGE(A5,""do7"")"),"")</f>
        <v/>
      </c>
      <c r="BV6" s="86" t="s">
        <v>31</v>
      </c>
      <c r="BW6" s="31" t="n">
        <f aca="false">VLOOKUP(BV6,FPOSCORING,2, 0)</f>
        <v>0</v>
      </c>
      <c r="BX6" s="32"/>
      <c r="BY6" s="64" t="s">
        <v>34</v>
      </c>
      <c r="BZ6" s="85" t="str">
        <f aca="false">IFERROR(__xludf.dummyfunction("IMPORTRANGE(A5,""dw7"")"),"")</f>
        <v/>
      </c>
      <c r="CA6" s="86" t="s">
        <v>31</v>
      </c>
      <c r="CB6" s="31" t="n">
        <f aca="false">VLOOKUP(CA6,FPOSCORING,2, 0)</f>
        <v>0</v>
      </c>
      <c r="CC6" s="32"/>
      <c r="CD6" s="64" t="s">
        <v>34</v>
      </c>
      <c r="CE6" s="85"/>
      <c r="CF6" s="86" t="s">
        <v>31</v>
      </c>
      <c r="CG6" s="31" t="n">
        <f aca="false">VLOOKUP(CF6,FPOSCORING,3, 0)</f>
        <v>0</v>
      </c>
      <c r="CH6" s="33"/>
    </row>
    <row r="7" customFormat="false" ht="15.75" hidden="false" customHeight="true" outlineLevel="0" collapsed="false">
      <c r="A7" s="19" t="str">
        <f aca="false">IFERROR(__xludf.dummyfunction("IMPORTRANGE(A5,""a1"")"),"I use my left hand (Aaron G)")</f>
        <v>I use my left hand (Aaron G)</v>
      </c>
      <c r="B7" s="34" t="s">
        <v>28</v>
      </c>
      <c r="C7" s="34" t="n">
        <v>27832</v>
      </c>
      <c r="D7" s="34" t="n">
        <v>3</v>
      </c>
      <c r="E7" s="87" t="s">
        <v>35</v>
      </c>
      <c r="F7" s="36" t="s">
        <v>36</v>
      </c>
      <c r="G7" s="87" t="s">
        <v>35</v>
      </c>
      <c r="H7" s="88" t="n">
        <v>16</v>
      </c>
      <c r="I7" s="23" t="n">
        <f aca="false">VLOOKUP(H7,MPOSCORING,2, 0)</f>
        <v>73</v>
      </c>
      <c r="J7" s="39" t="s">
        <v>36</v>
      </c>
      <c r="K7" s="70" t="str">
        <f aca="false">IFERROR(__xludf.dummyfunction("IMPORTRANGE(A5,""o8"")"),"Calvin H")</f>
        <v>Calvin H</v>
      </c>
      <c r="L7" s="89" t="n">
        <v>2</v>
      </c>
      <c r="M7" s="23" t="n">
        <f aca="false">VLOOKUP(L7,MPOSCORING,2, 0)</f>
        <v>98</v>
      </c>
      <c r="N7" s="42" t="s">
        <v>36</v>
      </c>
      <c r="O7" s="43" t="str">
        <f aca="false">IFERROR(__xludf.dummyfunction("IMPORTRANGE(A5,""W8"")"),"Calvin H")</f>
        <v>Calvin H</v>
      </c>
      <c r="P7" s="38" t="n">
        <v>3</v>
      </c>
      <c r="Q7" s="23" t="n">
        <f aca="false">VLOOKUP(P7,MPOSCORING,2, 0)</f>
        <v>96</v>
      </c>
      <c r="R7" s="34" t="s">
        <v>36</v>
      </c>
      <c r="S7" s="90" t="str">
        <f aca="false">IFERROR(__xludf.dummyfunction("IMPORTRANGE(A5,""AE8"")"),"Calvin H")</f>
        <v>Calvin H</v>
      </c>
      <c r="T7" s="47" t="n">
        <v>1</v>
      </c>
      <c r="U7" s="25" t="n">
        <f aca="false">VLOOKUP(T7,MPOSCORING,2, 0)</f>
        <v>100</v>
      </c>
      <c r="V7" s="48" t="s">
        <v>36</v>
      </c>
      <c r="W7" s="91" t="str">
        <f aca="false">IFERROR(__xludf.dummyfunction("IMPORTRANGE(A5,""Am8"")"),"Calvin H")</f>
        <v>Calvin H</v>
      </c>
      <c r="X7" s="92" t="n">
        <v>10</v>
      </c>
      <c r="Y7" s="26" t="n">
        <f aca="false">VLOOKUP(X7,MPOSCORING,2, 0)</f>
        <v>84</v>
      </c>
      <c r="Z7" s="51"/>
      <c r="AA7" s="52" t="s">
        <v>36</v>
      </c>
      <c r="AB7" s="93" t="str">
        <f aca="false">IFERROR(__xludf.dummyfunction("IMPORTRANGE(A5,""Au8"")"),"Calvin H")</f>
        <v>Calvin H</v>
      </c>
      <c r="AC7" s="94" t="n">
        <v>2</v>
      </c>
      <c r="AD7" s="27" t="n">
        <f aca="false">VLOOKUP(AC7,MPOSCORING,2, 0)</f>
        <v>98</v>
      </c>
      <c r="AE7" s="51"/>
      <c r="AF7" s="55" t="s">
        <v>36</v>
      </c>
      <c r="AG7" s="95" t="str">
        <f aca="false">IFERROR(__xludf.dummyfunction("IMPORTRANGE(A5,""bc8"")"),"Calvin H")</f>
        <v>Calvin H</v>
      </c>
      <c r="AH7" s="96" t="n">
        <v>12</v>
      </c>
      <c r="AI7" s="28" t="n">
        <f aca="false">VLOOKUP(AH7,MPOSCORING,2, 0)</f>
        <v>80</v>
      </c>
      <c r="AJ7" s="51"/>
      <c r="AK7" s="58" t="s">
        <v>36</v>
      </c>
      <c r="AL7" s="97" t="str">
        <f aca="false">IFERROR(__xludf.dummyfunction("IMPORTRANGE(A5,""bk8"")"),"Calvin H")</f>
        <v>Calvin H</v>
      </c>
      <c r="AM7" s="98" t="n">
        <v>11</v>
      </c>
      <c r="AN7" s="29" t="n">
        <f aca="false">VLOOKUP(AM7,MPOSCORING,2, 0)</f>
        <v>82</v>
      </c>
      <c r="AO7" s="51"/>
      <c r="AP7" s="61" t="s">
        <v>37</v>
      </c>
      <c r="AQ7" s="99" t="str">
        <f aca="false">IFERROR(__xludf.dummyfunction("IMPORTRANGE(A5,""bs8"")"),"")</f>
        <v/>
      </c>
      <c r="AR7" s="100" t="s">
        <v>31</v>
      </c>
      <c r="AS7" s="30" t="n">
        <f aca="false">VLOOKUP(AR7,MPOSCORING,2, 0)</f>
        <v>0</v>
      </c>
      <c r="AT7" s="51"/>
      <c r="AU7" s="64" t="s">
        <v>36</v>
      </c>
      <c r="AV7" s="101" t="str">
        <f aca="false">IFERROR(__xludf.dummyfunction("IMPORTRANGE(A5,""ca8"")"),"Big irish Oreilly ")</f>
        <v>Big irish Oreilly</v>
      </c>
      <c r="AW7" s="102" t="n">
        <v>19</v>
      </c>
      <c r="AX7" s="31" t="n">
        <f aca="false">VLOOKUP(AW7,MPOSCORING,2, 0)</f>
        <v>67</v>
      </c>
      <c r="AY7" s="32"/>
      <c r="AZ7" s="36" t="s">
        <v>36</v>
      </c>
      <c r="BA7" s="87" t="str">
        <f aca="false">IFERROR(__xludf.dummyfunction("IMPORTRANGE(A5,""ci8"")"),"Calvin H")</f>
        <v>Calvin H</v>
      </c>
      <c r="BB7" s="88" t="n">
        <v>1</v>
      </c>
      <c r="BC7" s="21" t="n">
        <f aca="false">VLOOKUP(BB7,MPOSCORING,2, 0)</f>
        <v>100</v>
      </c>
      <c r="BD7" s="32"/>
      <c r="BE7" s="42" t="s">
        <v>36</v>
      </c>
      <c r="BF7" s="103" t="str">
        <f aca="false">IFERROR(__xludf.dummyfunction("IMPORTRANGE(A5,""cq8"")"),"Calvin H")</f>
        <v>Calvin H</v>
      </c>
      <c r="BG7" s="38" t="n">
        <v>10</v>
      </c>
      <c r="BH7" s="23" t="n">
        <f aca="false">VLOOKUP(BG7,MPOSCORING,2, 0)</f>
        <v>84</v>
      </c>
      <c r="BI7" s="32"/>
      <c r="BJ7" s="64" t="s">
        <v>36</v>
      </c>
      <c r="BK7" s="101" t="str">
        <f aca="false">IFERROR(__xludf.dummyfunction("IMPORTRANGE(A5,""cy8"")"),"Calvin H")</f>
        <v>Calvin H</v>
      </c>
      <c r="BL7" s="102" t="n">
        <v>35</v>
      </c>
      <c r="BM7" s="31" t="n">
        <f aca="false">VLOOKUP(BL7,MPOSCORING,2, 0)</f>
        <v>38</v>
      </c>
      <c r="BN7" s="32"/>
      <c r="BO7" s="64" t="s">
        <v>36</v>
      </c>
      <c r="BP7" s="101" t="str">
        <f aca="false">IFERROR(__xludf.dummyfunction("IMPORTRANGE(A5,""dg8"")"),"Calvin H")</f>
        <v>Calvin H</v>
      </c>
      <c r="BQ7" s="102" t="n">
        <v>6</v>
      </c>
      <c r="BR7" s="31" t="n">
        <f aca="false">VLOOKUP(BQ7,MPOSCORING,3, 0)</f>
        <v>182</v>
      </c>
      <c r="BS7" s="33"/>
      <c r="BT7" s="64" t="s">
        <v>36</v>
      </c>
      <c r="BU7" s="101" t="str">
        <f aca="false">IFERROR(__xludf.dummyfunction("IMPORTRANGE(A5,""do8"")"),"")</f>
        <v/>
      </c>
      <c r="BV7" s="102" t="s">
        <v>31</v>
      </c>
      <c r="BW7" s="31" t="n">
        <f aca="false">VLOOKUP(BV7,MPOSCORING,2, 0)</f>
        <v>0</v>
      </c>
      <c r="BX7" s="32"/>
      <c r="BY7" s="64" t="s">
        <v>36</v>
      </c>
      <c r="BZ7" s="101" t="str">
        <f aca="false">IFERROR(__xludf.dummyfunction("IMPORTRANGE(A5,""dw8"")"),"")</f>
        <v/>
      </c>
      <c r="CA7" s="102" t="s">
        <v>31</v>
      </c>
      <c r="CB7" s="31" t="n">
        <f aca="false">VLOOKUP(CA7,MPOSCORING,2, 0)</f>
        <v>0</v>
      </c>
      <c r="CC7" s="32"/>
      <c r="CD7" s="64" t="s">
        <v>36</v>
      </c>
      <c r="CE7" s="101"/>
      <c r="CF7" s="102" t="s">
        <v>31</v>
      </c>
      <c r="CG7" s="31" t="n">
        <f aca="false">VLOOKUP(CF7,MPOSCORING,3, 0)</f>
        <v>0</v>
      </c>
      <c r="CH7" s="33"/>
    </row>
    <row r="8" customFormat="false" ht="15" hidden="false" customHeight="false" outlineLevel="0" collapsed="false">
      <c r="A8" s="19" t="str">
        <f aca="false">IFERROR(__xludf.dummyfunction("IMPORTRANGE(A5,""a1"")"),"I use my left hand (Aaron G)")</f>
        <v>I use my left hand (Aaron G)</v>
      </c>
      <c r="B8" s="34" t="s">
        <v>38</v>
      </c>
      <c r="C8" s="34" t="n">
        <v>85850</v>
      </c>
      <c r="D8" s="34" t="n">
        <v>4</v>
      </c>
      <c r="E8" s="104" t="s">
        <v>32</v>
      </c>
      <c r="F8" s="36" t="s">
        <v>39</v>
      </c>
      <c r="G8" s="104" t="s">
        <v>32</v>
      </c>
      <c r="H8" s="37" t="s">
        <v>31</v>
      </c>
      <c r="I8" s="23" t="n">
        <f aca="false">VLOOKUP(H8,MPOSCORING,2, 0)</f>
        <v>0</v>
      </c>
      <c r="J8" s="39" t="s">
        <v>39</v>
      </c>
      <c r="K8" s="105" t="str">
        <f aca="false">IFERROR(__xludf.dummyfunction("IMPORTRANGE(A5,""o9"")"),"Cole Redalen")</f>
        <v>Cole Redalen</v>
      </c>
      <c r="L8" s="41" t="n">
        <v>50</v>
      </c>
      <c r="M8" s="23" t="n">
        <f aca="false">VLOOKUP(L8,MPOSCORING,2, 0)</f>
        <v>11</v>
      </c>
      <c r="N8" s="42" t="s">
        <v>39</v>
      </c>
      <c r="O8" s="43" t="str">
        <f aca="false">IFERROR(__xludf.dummyfunction("IMPORTRANGE(A5,""w9"")"),"Drew Gibson")</f>
        <v>Drew Gibson</v>
      </c>
      <c r="P8" s="44" t="n">
        <v>10</v>
      </c>
      <c r="Q8" s="23" t="n">
        <f aca="false">VLOOKUP(P8,MPOSCORING,2, 0)</f>
        <v>84</v>
      </c>
      <c r="R8" s="34" t="s">
        <v>39</v>
      </c>
      <c r="S8" s="106" t="str">
        <f aca="false">IFERROR(__xludf.dummyfunction("IMPORTRANGE(A5,""AE9"")"),"Drew Gibson")</f>
        <v>Drew Gibson</v>
      </c>
      <c r="T8" s="46" t="n">
        <v>30</v>
      </c>
      <c r="U8" s="25" t="n">
        <f aca="false">VLOOKUP(T8,MPOSCORING,2, 0)</f>
        <v>48</v>
      </c>
      <c r="V8" s="48" t="s">
        <v>39</v>
      </c>
      <c r="W8" s="107" t="str">
        <f aca="false">IFERROR(__xludf.dummyfunction("IMPORTRANGE(A5,""Am9"")"),"Drew Gibson")</f>
        <v>Drew Gibson</v>
      </c>
      <c r="X8" s="50" t="n">
        <v>26</v>
      </c>
      <c r="Y8" s="26" t="n">
        <f aca="false">VLOOKUP(X8,MPOSCORING,2, 0)</f>
        <v>55</v>
      </c>
      <c r="Z8" s="51"/>
      <c r="AA8" s="52" t="s">
        <v>39</v>
      </c>
      <c r="AB8" s="108" t="str">
        <f aca="false">IFERROR(__xludf.dummyfunction("IMPORTRANGE(A5,""Au9"")"),"Drew Gibson")</f>
        <v>Drew Gibson</v>
      </c>
      <c r="AC8" s="54" t="n">
        <v>7</v>
      </c>
      <c r="AD8" s="27" t="n">
        <f aca="false">VLOOKUP(AC8,MPOSCORING,2, 0)</f>
        <v>89</v>
      </c>
      <c r="AE8" s="51"/>
      <c r="AF8" s="55" t="s">
        <v>39</v>
      </c>
      <c r="AG8" s="109" t="str">
        <f aca="false">IFERROR(__xludf.dummyfunction("IMPORTRANGE(A5,""bc9"")"),"Drew Gibson")</f>
        <v>Drew Gibson</v>
      </c>
      <c r="AH8" s="57" t="n">
        <v>32</v>
      </c>
      <c r="AI8" s="28" t="n">
        <f aca="false">VLOOKUP(AH8,MPOSCORING,2, 0)</f>
        <v>44</v>
      </c>
      <c r="AJ8" s="51"/>
      <c r="AK8" s="58" t="s">
        <v>39</v>
      </c>
      <c r="AL8" s="110" t="str">
        <f aca="false">IFERROR(__xludf.dummyfunction("IMPORTRANGE(A5,""bk9"")"),"Drew Gibson")</f>
        <v>Drew Gibson</v>
      </c>
      <c r="AM8" s="60" t="s">
        <v>31</v>
      </c>
      <c r="AN8" s="29" t="n">
        <f aca="false">VLOOKUP(AM8,MPOSCORING,2, 0)</f>
        <v>0</v>
      </c>
      <c r="AO8" s="51"/>
      <c r="AP8" s="61" t="s">
        <v>40</v>
      </c>
      <c r="AQ8" s="111" t="str">
        <f aca="false">IFERROR(__xludf.dummyfunction("IMPORTRANGE(A5,""bs9"")"),"")</f>
        <v/>
      </c>
      <c r="AR8" s="63" t="s">
        <v>31</v>
      </c>
      <c r="AS8" s="30" t="n">
        <f aca="false">VLOOKUP(AR8,MPOSCORING,2, 0)</f>
        <v>0</v>
      </c>
      <c r="AT8" s="51"/>
      <c r="AU8" s="64" t="s">
        <v>39</v>
      </c>
      <c r="AV8" s="112" t="str">
        <f aca="false">IFERROR(__xludf.dummyfunction("IMPORTRANGE(A5,""ca9"")"),"Drew Gibson")</f>
        <v>Drew Gibson</v>
      </c>
      <c r="AW8" s="66" t="n">
        <v>53</v>
      </c>
      <c r="AX8" s="31" t="n">
        <f aca="false">VLOOKUP(AW8,MPOSCORING,2, 0)</f>
        <v>7</v>
      </c>
      <c r="AY8" s="32"/>
      <c r="AZ8" s="36" t="s">
        <v>39</v>
      </c>
      <c r="BA8" s="113" t="str">
        <f aca="false">IFERROR(__xludf.dummyfunction("IMPORTRANGE(A5,""ci9"")"),"Drew Gibson")</f>
        <v>Drew Gibson</v>
      </c>
      <c r="BB8" s="37" t="n">
        <v>15</v>
      </c>
      <c r="BC8" s="21" t="n">
        <f aca="false">VLOOKUP(BB8,MPOSCORING,2, 0)</f>
        <v>75</v>
      </c>
      <c r="BD8" s="32"/>
      <c r="BE8" s="42" t="s">
        <v>39</v>
      </c>
      <c r="BF8" s="114" t="str">
        <f aca="false">IFERROR(__xludf.dummyfunction("IMPORTRANGE(A5,""cq9"")"),"Drew Gibson")</f>
        <v>Drew Gibson</v>
      </c>
      <c r="BG8" s="44" t="n">
        <v>10</v>
      </c>
      <c r="BH8" s="23" t="n">
        <f aca="false">VLOOKUP(BG8,MPOSCORING,2, 0)</f>
        <v>84</v>
      </c>
      <c r="BI8" s="32"/>
      <c r="BJ8" s="64" t="s">
        <v>39</v>
      </c>
      <c r="BK8" s="112" t="str">
        <f aca="false">IFERROR(__xludf.dummyfunction("IMPORTRANGE(A5,""cy9"")"),"Drew Gibson")</f>
        <v>Drew Gibson</v>
      </c>
      <c r="BL8" s="66" t="n">
        <v>29</v>
      </c>
      <c r="BM8" s="31" t="n">
        <f aca="false">VLOOKUP(BL8,MPOSCORING,2, 0)</f>
        <v>49</v>
      </c>
      <c r="BN8" s="32"/>
      <c r="BO8" s="64" t="s">
        <v>39</v>
      </c>
      <c r="BP8" s="112" t="str">
        <f aca="false">IFERROR(__xludf.dummyfunction("IMPORTRANGE(A5,""dg9"")"),"Drew Gibson")</f>
        <v>Drew Gibson</v>
      </c>
      <c r="BQ8" s="66" t="n">
        <v>30</v>
      </c>
      <c r="BR8" s="31" t="n">
        <f aca="false">VLOOKUP(BQ8,MPOSCORING,3, 0)</f>
        <v>96</v>
      </c>
      <c r="BS8" s="33"/>
      <c r="BT8" s="64" t="s">
        <v>39</v>
      </c>
      <c r="BU8" s="112" t="str">
        <f aca="false">IFERROR(__xludf.dummyfunction("IMPORTRANGE(A5,""do9"")"),"")</f>
        <v/>
      </c>
      <c r="BV8" s="66" t="s">
        <v>31</v>
      </c>
      <c r="BW8" s="31" t="n">
        <f aca="false">VLOOKUP(BV8,MPOSCORING,2, 0)</f>
        <v>0</v>
      </c>
      <c r="BX8" s="32"/>
      <c r="BY8" s="64" t="s">
        <v>39</v>
      </c>
      <c r="BZ8" s="112" t="str">
        <f aca="false">IFERROR(__xludf.dummyfunction("IMPORTRANGE(A5,""dw9"")"),"")</f>
        <v/>
      </c>
      <c r="CA8" s="66" t="s">
        <v>31</v>
      </c>
      <c r="CB8" s="31" t="n">
        <f aca="false">VLOOKUP(CA8,MPOSCORING,2, 0)</f>
        <v>0</v>
      </c>
      <c r="CC8" s="32"/>
      <c r="CD8" s="64" t="s">
        <v>39</v>
      </c>
      <c r="CE8" s="112"/>
      <c r="CF8" s="66" t="s">
        <v>31</v>
      </c>
      <c r="CG8" s="31" t="n">
        <f aca="false">VLOOKUP(CF8,MPOSCORING,3, 0)</f>
        <v>0</v>
      </c>
      <c r="CH8" s="33"/>
    </row>
    <row r="9" customFormat="false" ht="15" hidden="false" customHeight="true" outlineLevel="0" collapsed="false">
      <c r="A9" s="19" t="str">
        <f aca="false">IFERROR(__xludf.dummyfunction("IMPORTRANGE(A5,""a1"")"),"I use my left hand (Aaron G)")</f>
        <v>I use my left hand (Aaron G)</v>
      </c>
      <c r="B9" s="34" t="s">
        <v>41</v>
      </c>
      <c r="C9" s="34" t="n">
        <v>7438</v>
      </c>
      <c r="D9" s="34" t="n">
        <v>5</v>
      </c>
      <c r="E9" s="104" t="s">
        <v>38</v>
      </c>
      <c r="F9" s="36" t="s">
        <v>42</v>
      </c>
      <c r="G9" s="104" t="s">
        <v>38</v>
      </c>
      <c r="H9" s="37" t="n">
        <v>5</v>
      </c>
      <c r="I9" s="23" t="n">
        <f aca="false">VLOOKUP(H9,MPOSCORING,2, 0)</f>
        <v>93</v>
      </c>
      <c r="J9" s="39" t="s">
        <v>42</v>
      </c>
      <c r="K9" s="105" t="str">
        <f aca="false">IFERROR(__xludf.dummyfunction("IMPORTRANGE(A5,""O10"")"),"Thomas Gilbert")</f>
        <v>Thomas Gilbert</v>
      </c>
      <c r="L9" s="41" t="s">
        <v>30</v>
      </c>
      <c r="M9" s="23" t="n">
        <f aca="false">VLOOKUP(L9,MPOSCORING,2, 0)</f>
        <v>0</v>
      </c>
      <c r="N9" s="42" t="s">
        <v>42</v>
      </c>
      <c r="O9" s="43" t="str">
        <f aca="false">IFERROR(__xludf.dummyfunction("IMPORTRANGE(A5,""w10"")"),"Thomas Gilbert")</f>
        <v>Thomas Gilbert</v>
      </c>
      <c r="P9" s="44" t="n">
        <v>44</v>
      </c>
      <c r="Q9" s="23" t="n">
        <f aca="false">VLOOKUP(P9,MPOSCORING,2, 0)</f>
        <v>21</v>
      </c>
      <c r="R9" s="34" t="s">
        <v>42</v>
      </c>
      <c r="S9" s="106" t="str">
        <f aca="false">IFERROR(__xludf.dummyfunction("IMPORTRANGE(A5,""AE10"")"),"Thomas Gilbert")</f>
        <v>Thomas Gilbert</v>
      </c>
      <c r="T9" s="46" t="n">
        <v>10</v>
      </c>
      <c r="U9" s="25" t="n">
        <f aca="false">VLOOKUP(T9,MPOSCORING,2, 0)</f>
        <v>84</v>
      </c>
      <c r="V9" s="48" t="s">
        <v>42</v>
      </c>
      <c r="W9" s="107" t="str">
        <f aca="false">IFERROR(__xludf.dummyfunction("IMPORTRANGE(A5,""Am10"")"),"Thomas Gilbert")</f>
        <v>Thomas Gilbert</v>
      </c>
      <c r="X9" s="50" t="n">
        <v>17</v>
      </c>
      <c r="Y9" s="26" t="n">
        <f aca="false">VLOOKUP(X9,MPOSCORING,2, 0)</f>
        <v>71</v>
      </c>
      <c r="Z9" s="51"/>
      <c r="AA9" s="52" t="s">
        <v>42</v>
      </c>
      <c r="AB9" s="108" t="str">
        <f aca="false">IFERROR(__xludf.dummyfunction("IMPORTRANGE(A5,""Au10"")"),"Thomas Gilbert")</f>
        <v>Thomas Gilbert</v>
      </c>
      <c r="AC9" s="54" t="n">
        <v>49</v>
      </c>
      <c r="AD9" s="27" t="n">
        <f aca="false">VLOOKUP(AC9,MPOSCORING,2, 0)</f>
        <v>12</v>
      </c>
      <c r="AE9" s="51"/>
      <c r="AF9" s="55" t="s">
        <v>42</v>
      </c>
      <c r="AG9" s="109" t="str">
        <f aca="false">IFERROR(__xludf.dummyfunction("IMPORTRANGE(A5,""BC10"")"),"Thomas Gilbert")</f>
        <v>Thomas Gilbert</v>
      </c>
      <c r="AH9" s="57" t="n">
        <v>36</v>
      </c>
      <c r="AI9" s="28" t="n">
        <f aca="false">VLOOKUP(AH9,MPOSCORING,2, 0)</f>
        <v>36</v>
      </c>
      <c r="AJ9" s="51"/>
      <c r="AK9" s="58" t="s">
        <v>42</v>
      </c>
      <c r="AL9" s="110" t="str">
        <f aca="false">IFERROR(__xludf.dummyfunction("IMPORTRANGE(A5,""Bk10"")"),"Thomas Gilbert")</f>
        <v>Thomas Gilbert</v>
      </c>
      <c r="AM9" s="60" t="s">
        <v>31</v>
      </c>
      <c r="AN9" s="29" t="n">
        <f aca="false">VLOOKUP(AM9,MPOSCORING,2, 0)</f>
        <v>0</v>
      </c>
      <c r="AO9" s="51"/>
      <c r="AP9" s="61" t="s">
        <v>43</v>
      </c>
      <c r="AQ9" s="111" t="str">
        <f aca="false">IFERROR(__xludf.dummyfunction("IMPORTRANGE(A5,""Bs10"")"),"")</f>
        <v/>
      </c>
      <c r="AR9" s="63" t="s">
        <v>31</v>
      </c>
      <c r="AS9" s="30" t="n">
        <f aca="false">VLOOKUP(AR9,MPOSCORING,2, 0)</f>
        <v>0</v>
      </c>
      <c r="AT9" s="51"/>
      <c r="AU9" s="64" t="s">
        <v>42</v>
      </c>
      <c r="AV9" s="112" t="str">
        <f aca="false">IFERROR(__xludf.dummyfunction("IMPORTRANGE(A5,""ca10"")"),"Issac Robinson")</f>
        <v>Issac Robinson</v>
      </c>
      <c r="AW9" s="66" t="n">
        <v>1</v>
      </c>
      <c r="AX9" s="31" t="n">
        <f aca="false">VLOOKUP(AW9,MPOSCORING,2, 0)</f>
        <v>100</v>
      </c>
      <c r="AY9" s="32"/>
      <c r="AZ9" s="36" t="s">
        <v>42</v>
      </c>
      <c r="BA9" s="113" t="str">
        <f aca="false">IFERROR(__xludf.dummyfunction("IMPORTRANGE(A5,""ci10"")"),"Issac Robinson")</f>
        <v>Issac Robinson</v>
      </c>
      <c r="BB9" s="37" t="n">
        <v>41</v>
      </c>
      <c r="BC9" s="21" t="n">
        <f aca="false">VLOOKUP(BB9,MPOSCORING,2, 0)</f>
        <v>27</v>
      </c>
      <c r="BD9" s="32"/>
      <c r="BE9" s="42" t="s">
        <v>42</v>
      </c>
      <c r="BF9" s="114" t="str">
        <f aca="false">IFERROR(__xludf.dummyfunction("IMPORTRANGE(A5,""cq10"")"),"Issac Robinson")</f>
        <v>Issac Robinson</v>
      </c>
      <c r="BG9" s="44" t="n">
        <v>43</v>
      </c>
      <c r="BH9" s="23" t="n">
        <f aca="false">VLOOKUP(BG9,MPOSCORING,2, 0)</f>
        <v>23</v>
      </c>
      <c r="BI9" s="32"/>
      <c r="BJ9" s="64" t="s">
        <v>42</v>
      </c>
      <c r="BK9" s="112" t="str">
        <f aca="false">IFERROR(__xludf.dummyfunction("IMPORTRANGE(A5,""cy10"")"),"Issac Robinson")</f>
        <v>Issac Robinson</v>
      </c>
      <c r="BL9" s="66" t="n">
        <v>29</v>
      </c>
      <c r="BM9" s="31" t="n">
        <f aca="false">VLOOKUP(BL9,MPOSCORING,2, 0)</f>
        <v>49</v>
      </c>
      <c r="BN9" s="32"/>
      <c r="BO9" s="64" t="s">
        <v>42</v>
      </c>
      <c r="BP9" s="112" t="str">
        <f aca="false">IFERROR(__xludf.dummyfunction("IMPORTRANGE(A5,""dg10"")"),"Issac Robinson")</f>
        <v>Issac Robinson</v>
      </c>
      <c r="BQ9" s="66" t="n">
        <v>14</v>
      </c>
      <c r="BR9" s="31" t="n">
        <f aca="false">VLOOKUP(BQ9,MPOSCORING,3, 0)</f>
        <v>152</v>
      </c>
      <c r="BS9" s="33"/>
      <c r="BT9" s="64" t="s">
        <v>42</v>
      </c>
      <c r="BU9" s="112" t="str">
        <f aca="false">IFERROR(__xludf.dummyfunction("IMPORTRANGE(A5,""do10"")"),"")</f>
        <v/>
      </c>
      <c r="BV9" s="66" t="s">
        <v>31</v>
      </c>
      <c r="BW9" s="31" t="n">
        <f aca="false">VLOOKUP(BV9,MPOSCORING,2, 0)</f>
        <v>0</v>
      </c>
      <c r="BX9" s="32"/>
      <c r="BY9" s="64" t="s">
        <v>42</v>
      </c>
      <c r="BZ9" s="112" t="str">
        <f aca="false">IFERROR(__xludf.dummyfunction("IMPORTRANGE(A5,""dw10"") "),"")</f>
        <v/>
      </c>
      <c r="CA9" s="66" t="s">
        <v>31</v>
      </c>
      <c r="CB9" s="31" t="n">
        <f aca="false">VLOOKUP(CA9,MPOSCORING,2, 0)</f>
        <v>0</v>
      </c>
      <c r="CC9" s="32"/>
      <c r="CD9" s="64" t="s">
        <v>42</v>
      </c>
      <c r="CE9" s="112"/>
      <c r="CF9" s="66" t="s">
        <v>31</v>
      </c>
      <c r="CG9" s="31" t="n">
        <f aca="false">VLOOKUP(CF9,MPOSCORING,3, 0)</f>
        <v>0</v>
      </c>
      <c r="CH9" s="33"/>
    </row>
    <row r="10" customFormat="false" ht="14.25" hidden="false" customHeight="true" outlineLevel="0" collapsed="false">
      <c r="A10" s="19" t="str">
        <f aca="false">IFERROR(__xludf.dummyfunction("IMPORTRANGE(A5,""a1"")"),"I use my left hand (Aaron G)")</f>
        <v>I use my left hand (Aaron G)</v>
      </c>
      <c r="B10" s="34" t="s">
        <v>44</v>
      </c>
      <c r="C10" s="34" t="n">
        <v>25541</v>
      </c>
      <c r="D10" s="34" t="n">
        <v>6</v>
      </c>
      <c r="E10" s="113" t="s">
        <v>44</v>
      </c>
      <c r="F10" s="36" t="s">
        <v>45</v>
      </c>
      <c r="G10" s="113" t="s">
        <v>44</v>
      </c>
      <c r="H10" s="37" t="n">
        <v>39</v>
      </c>
      <c r="I10" s="23" t="n">
        <f aca="false">VLOOKUP(H10,MPOSCORING,2, 0)</f>
        <v>30</v>
      </c>
      <c r="J10" s="39" t="s">
        <v>45</v>
      </c>
      <c r="K10" s="105" t="str">
        <f aca="false">IFERROR(__xludf.dummyfunction("IMPORTRANGE(A5,""o11"")"),"Chandler Fry")</f>
        <v>Chandler Fry</v>
      </c>
      <c r="L10" s="41" t="n">
        <v>66</v>
      </c>
      <c r="M10" s="23" t="n">
        <f aca="false">VLOOKUP(L10,MPOSCORING,2, 0)</f>
        <v>0</v>
      </c>
      <c r="N10" s="42" t="s">
        <v>45</v>
      </c>
      <c r="O10" s="43" t="str">
        <f aca="false">IFERROR(__xludf.dummyfunction("IMPORTRANGE(A5,""W11"")"),"Chandler Fry")</f>
        <v>Chandler Fry</v>
      </c>
      <c r="P10" s="44" t="n">
        <v>14</v>
      </c>
      <c r="Q10" s="23" t="n">
        <f aca="false">VLOOKUP(P10,MPOSCORING,2, 0)</f>
        <v>76</v>
      </c>
      <c r="R10" s="34" t="s">
        <v>45</v>
      </c>
      <c r="S10" s="106" t="str">
        <f aca="false">IFERROR(__xludf.dummyfunction("IMPORTRANGE(A5,""AE11"")"),"Chandler Fry")</f>
        <v>Chandler Fry</v>
      </c>
      <c r="T10" s="46" t="n">
        <v>74</v>
      </c>
      <c r="U10" s="25" t="n">
        <f aca="false">VLOOKUP(T10,MPOSCORING,2, 0)</f>
        <v>0</v>
      </c>
      <c r="V10" s="48" t="s">
        <v>45</v>
      </c>
      <c r="W10" s="107" t="str">
        <f aca="false">IFERROR(__xludf.dummyfunction("IMPORTRANGE(A5,""Am11"")"),"Chandler Fry")</f>
        <v>Chandler Fry</v>
      </c>
      <c r="X10" s="50" t="n">
        <v>74</v>
      </c>
      <c r="Y10" s="26" t="n">
        <f aca="false">VLOOKUP(X10,MPOSCORING,2, 0)</f>
        <v>0</v>
      </c>
      <c r="Z10" s="51"/>
      <c r="AA10" s="52" t="s">
        <v>45</v>
      </c>
      <c r="AB10" s="108" t="str">
        <f aca="false">IFERROR(__xludf.dummyfunction("IMPORTRANGE(A5,""Au11"")"),"Chandler Fry")</f>
        <v>Chandler Fry</v>
      </c>
      <c r="AC10" s="54" t="n">
        <v>5</v>
      </c>
      <c r="AD10" s="27" t="n">
        <f aca="false">VLOOKUP(AC10,MPOSCORING,2, 0)</f>
        <v>93</v>
      </c>
      <c r="AE10" s="51"/>
      <c r="AF10" s="55" t="s">
        <v>45</v>
      </c>
      <c r="AG10" s="109" t="str">
        <f aca="false">IFERROR(__xludf.dummyfunction("IMPORTRANGE(A5,""bc11"")"),"Chandler Fry")</f>
        <v>Chandler Fry</v>
      </c>
      <c r="AH10" s="57" t="n">
        <v>52</v>
      </c>
      <c r="AI10" s="28" t="n">
        <f aca="false">VLOOKUP(AH10,MPOSCORING,2, 0)</f>
        <v>8</v>
      </c>
      <c r="AJ10" s="51"/>
      <c r="AK10" s="58" t="s">
        <v>45</v>
      </c>
      <c r="AL10" s="110" t="str">
        <f aca="false">IFERROR(__xludf.dummyfunction("IMPORTRANGE(A5,""bk11"")"),"Chandler Fry")</f>
        <v>Chandler Fry</v>
      </c>
      <c r="AM10" s="60" t="n">
        <v>22</v>
      </c>
      <c r="AN10" s="29" t="n">
        <f aca="false">VLOOKUP(AM10,MPOSCORING,2, 0)</f>
        <v>62</v>
      </c>
      <c r="AO10" s="51"/>
      <c r="AP10" s="61" t="s">
        <v>46</v>
      </c>
      <c r="AQ10" s="111" t="str">
        <f aca="false">IFERROR(__xludf.dummyfunction("IMPORTRANGE(A5,""bs11"")"),"")</f>
        <v/>
      </c>
      <c r="AR10" s="63" t="s">
        <v>31</v>
      </c>
      <c r="AS10" s="30" t="n">
        <f aca="false">VLOOKUP(AR10,MPOSCORING,2, 0)</f>
        <v>0</v>
      </c>
      <c r="AT10" s="51"/>
      <c r="AU10" s="64" t="s">
        <v>45</v>
      </c>
      <c r="AV10" s="112" t="str">
        <f aca="false">IFERROR(__xludf.dummyfunction("IMPORTRANGE(A5,""ca11"")"),"Chandler Fry")</f>
        <v>Chandler Fry</v>
      </c>
      <c r="AW10" s="66" t="n">
        <v>46</v>
      </c>
      <c r="AX10" s="31" t="n">
        <f aca="false">VLOOKUP(AW10,MPOSCORING,2, 0)</f>
        <v>17</v>
      </c>
      <c r="AY10" s="32"/>
      <c r="AZ10" s="36" t="s">
        <v>45</v>
      </c>
      <c r="BA10" s="113" t="str">
        <f aca="false">IFERROR(__xludf.dummyfunction("IMPORTRANGE(A5,""ci11"")"),"Tommy G")</f>
        <v>Tommy G</v>
      </c>
      <c r="BB10" s="37" t="n">
        <v>59</v>
      </c>
      <c r="BC10" s="21" t="n">
        <f aca="false">VLOOKUP(BB10,MPOSCORING,2, 0)</f>
        <v>0</v>
      </c>
      <c r="BD10" s="32"/>
      <c r="BE10" s="42" t="s">
        <v>45</v>
      </c>
      <c r="BF10" s="114" t="str">
        <f aca="false">IFERROR(__xludf.dummyfunction("IMPORTRANGE(A5,""cq11"")"),"Tommy G")</f>
        <v>Tommy G</v>
      </c>
      <c r="BG10" s="44" t="n">
        <v>54</v>
      </c>
      <c r="BH10" s="23" t="n">
        <f aca="false">VLOOKUP(BG10,MPOSCORING,2, 0)</f>
        <v>6</v>
      </c>
      <c r="BI10" s="32"/>
      <c r="BJ10" s="64" t="s">
        <v>45</v>
      </c>
      <c r="BK10" s="112" t="str">
        <f aca="false">IFERROR(__xludf.dummyfunction("IMPORTRANGE(A5,""cy11"")"),"Tommy G")</f>
        <v>Tommy G</v>
      </c>
      <c r="BL10" s="66" t="n">
        <v>72</v>
      </c>
      <c r="BM10" s="31" t="n">
        <f aca="false">VLOOKUP(BL10,MPOSCORING,2, 0)</f>
        <v>0</v>
      </c>
      <c r="BN10" s="32"/>
      <c r="BO10" s="64" t="s">
        <v>45</v>
      </c>
      <c r="BP10" s="112" t="str">
        <f aca="false">IFERROR(__xludf.dummyfunction("IMPORTRANGE(A5,""dg11"")"),"Chanimal")</f>
        <v>Chanimal</v>
      </c>
      <c r="BQ10" s="66" t="n">
        <v>68</v>
      </c>
      <c r="BR10" s="31" t="n">
        <f aca="false">VLOOKUP(BQ10,MPOSCORING,3, 0)</f>
        <v>0</v>
      </c>
      <c r="BS10" s="33"/>
      <c r="BT10" s="64" t="s">
        <v>45</v>
      </c>
      <c r="BU10" s="112" t="str">
        <f aca="false">IFERROR(__xludf.dummyfunction("IMPORTRANGE(A5,""do11"")"),"")</f>
        <v/>
      </c>
      <c r="BV10" s="66" t="s">
        <v>31</v>
      </c>
      <c r="BW10" s="31" t="n">
        <f aca="false">VLOOKUP(BV10,MPOSCORING,2, 0)</f>
        <v>0</v>
      </c>
      <c r="BX10" s="32"/>
      <c r="BY10" s="64" t="s">
        <v>45</v>
      </c>
      <c r="BZ10" s="112" t="str">
        <f aca="false">IFERROR(__xludf.dummyfunction("IMPORTRANGE(A5,""dw11"")"),"")</f>
        <v/>
      </c>
      <c r="CA10" s="66" t="s">
        <v>31</v>
      </c>
      <c r="CB10" s="31" t="n">
        <f aca="false">VLOOKUP(CA10,MPOSCORING,2, 0)</f>
        <v>0</v>
      </c>
      <c r="CC10" s="32"/>
      <c r="CD10" s="64" t="s">
        <v>45</v>
      </c>
      <c r="CE10" s="112"/>
      <c r="CF10" s="66" t="s">
        <v>31</v>
      </c>
      <c r="CG10" s="31" t="n">
        <f aca="false">VLOOKUP(CF10,MPOSCORING,3, 0)</f>
        <v>0</v>
      </c>
      <c r="CH10" s="33"/>
    </row>
    <row r="11" customFormat="false" ht="15" hidden="false" customHeight="false" outlineLevel="0" collapsed="false">
      <c r="A11" s="19" t="str">
        <f aca="false">IFERROR(__xludf.dummyfunction("IMPORTRANGE(A5,""a1"")"),"I use my left hand (Aaron G)")</f>
        <v>I use my left hand (Aaron G)</v>
      </c>
      <c r="B11" s="34" t="s">
        <v>33</v>
      </c>
      <c r="C11" s="34" t="n">
        <v>63257</v>
      </c>
      <c r="D11" s="34" t="n">
        <v>7</v>
      </c>
      <c r="E11" s="113" t="s">
        <v>47</v>
      </c>
      <c r="F11" s="36" t="s">
        <v>48</v>
      </c>
      <c r="G11" s="113" t="s">
        <v>47</v>
      </c>
      <c r="H11" s="37" t="n">
        <v>34</v>
      </c>
      <c r="I11" s="23" t="n">
        <f aca="false">VLOOKUP(H11,MPOSCORING,2, 0)</f>
        <v>40</v>
      </c>
      <c r="J11" s="39" t="s">
        <v>48</v>
      </c>
      <c r="K11" s="105" t="str">
        <f aca="false">IFERROR(__xludf.dummyfunction("IMPORTRANGE(A5,""o12"")"),"Conor O'Reilly")</f>
        <v>Conor O'Reilly</v>
      </c>
      <c r="L11" s="41" t="n">
        <v>15</v>
      </c>
      <c r="M11" s="23" t="n">
        <f aca="false">VLOOKUP(L11,MPOSCORING,2, 0)</f>
        <v>75</v>
      </c>
      <c r="N11" s="42" t="s">
        <v>48</v>
      </c>
      <c r="O11" s="43" t="str">
        <f aca="false">IFERROR(__xludf.dummyfunction("IMPORTRANGE(A5,""w12"")"),"Conor O'Reilly")</f>
        <v>Conor O'Reilly</v>
      </c>
      <c r="P11" s="44" t="n">
        <v>38</v>
      </c>
      <c r="Q11" s="23" t="n">
        <f aca="false">VLOOKUP(P11,MPOSCORING,2, 0)</f>
        <v>32</v>
      </c>
      <c r="R11" s="34" t="s">
        <v>48</v>
      </c>
      <c r="S11" s="106" t="str">
        <f aca="false">IFERROR(__xludf.dummyfunction("IMPORTRANGE(A5,""AE12"")"),"Conor O'Reilly")</f>
        <v>Conor O'Reilly</v>
      </c>
      <c r="T11" s="46" t="n">
        <v>68</v>
      </c>
      <c r="U11" s="25" t="n">
        <f aca="false">VLOOKUP(T11,MPOSCORING,2, 0)</f>
        <v>0</v>
      </c>
      <c r="V11" s="48" t="s">
        <v>48</v>
      </c>
      <c r="W11" s="107" t="str">
        <f aca="false">IFERROR(__xludf.dummyfunction("IMPORTRANGE(A5,""Am12"")"),"KNUT")</f>
        <v>KNUT</v>
      </c>
      <c r="X11" s="50" t="n">
        <v>43</v>
      </c>
      <c r="Y11" s="26" t="n">
        <f aca="false">VLOOKUP(X11,MPOSCORING,2, 0)</f>
        <v>23</v>
      </c>
      <c r="Z11" s="51"/>
      <c r="AA11" s="52" t="s">
        <v>48</v>
      </c>
      <c r="AB11" s="108" t="str">
        <f aca="false">IFERROR(__xludf.dummyfunction("IMPORTRANGE(A5,""Au12"")"),"JK pro ")</f>
        <v>JK pro</v>
      </c>
      <c r="AC11" s="54" t="n">
        <v>3</v>
      </c>
      <c r="AD11" s="27" t="n">
        <f aca="false">VLOOKUP(AC11,FPOSCORING,2, 0)</f>
        <v>91</v>
      </c>
      <c r="AE11" s="51"/>
      <c r="AF11" s="55" t="s">
        <v>48</v>
      </c>
      <c r="AG11" s="109" t="str">
        <f aca="false">IFERROR(__xludf.dummyfunction("IMPORTRANGE(A5,""bc12"")"),"JK pro ")</f>
        <v>JK pro</v>
      </c>
      <c r="AH11" s="57" t="n">
        <v>9</v>
      </c>
      <c r="AI11" s="28" t="n">
        <f aca="false">VLOOKUP(AH11,FPOSCORING,2, 0)</f>
        <v>62</v>
      </c>
      <c r="AJ11" s="51"/>
      <c r="AK11" s="58" t="s">
        <v>48</v>
      </c>
      <c r="AL11" s="110" t="str">
        <f aca="false">IFERROR(__xludf.dummyfunction("IMPORTRANGE(A5,""bk12"")"),"JK pro ")</f>
        <v>JK pro</v>
      </c>
      <c r="AM11" s="60" t="n">
        <v>7</v>
      </c>
      <c r="AN11" s="29" t="n">
        <f aca="false">VLOOKUP(AM11,MPOSCORING,2, 0)</f>
        <v>89</v>
      </c>
      <c r="AO11" s="51"/>
      <c r="AP11" s="61" t="s">
        <v>49</v>
      </c>
      <c r="AQ11" s="111" t="str">
        <f aca="false">IFERROR(__xludf.dummyfunction("IMPORTRANGE(A5,""bs12"")"),"JK PRO")</f>
        <v>JK PRO</v>
      </c>
      <c r="AR11" s="63" t="n">
        <v>21</v>
      </c>
      <c r="AS11" s="30" t="n">
        <f aca="false">VLOOKUP(AR11,MPOSCORING,2, 0)</f>
        <v>64</v>
      </c>
      <c r="AT11" s="51"/>
      <c r="AU11" s="64" t="s">
        <v>48</v>
      </c>
      <c r="AV11" s="112" t="str">
        <f aca="false">IFERROR(__xludf.dummyfunction("IMPORTRANGE(A5,""ca12"")"),"JK PRO")</f>
        <v>JK PRO</v>
      </c>
      <c r="AW11" s="66" t="n">
        <v>9</v>
      </c>
      <c r="AX11" s="31" t="n">
        <f aca="false">VLOOKUP(AW11,FPOSCORING,2, 0)</f>
        <v>62</v>
      </c>
      <c r="AY11" s="32"/>
      <c r="AZ11" s="36" t="s">
        <v>48</v>
      </c>
      <c r="BA11" s="113" t="str">
        <f aca="false">IFERROR(__xludf.dummyfunction("IMPORTRANGE(A5,""ci12"")"),"JK PRO")</f>
        <v>JK PRO</v>
      </c>
      <c r="BB11" s="37" t="n">
        <v>12</v>
      </c>
      <c r="BC11" s="21" t="n">
        <f aca="false">VLOOKUP(BB11,FPOSCORING,2, 0)</f>
        <v>47</v>
      </c>
      <c r="BD11" s="32"/>
      <c r="BE11" s="42" t="s">
        <v>48</v>
      </c>
      <c r="BF11" s="114" t="str">
        <f aca="false">IFERROR(__xludf.dummyfunction("IMPORTRANGE(A5,""cq12"")"),"Chanimal")</f>
        <v>Chanimal</v>
      </c>
      <c r="BG11" s="44" t="s">
        <v>31</v>
      </c>
      <c r="BH11" s="23" t="n">
        <f aca="false">VLOOKUP(BG11,MPOSCORING,2, 0)</f>
        <v>0</v>
      </c>
      <c r="BI11" s="32"/>
      <c r="BJ11" s="64" t="s">
        <v>48</v>
      </c>
      <c r="BK11" s="112" t="str">
        <f aca="false">IFERROR(__xludf.dummyfunction("IMPORTRANGE(A5,""cy12"")"),"Chanimal")</f>
        <v>Chanimal</v>
      </c>
      <c r="BL11" s="66" t="n">
        <v>102</v>
      </c>
      <c r="BM11" s="31" t="n">
        <f aca="false">VLOOKUP(BL11,MPOSCORING,2, 0)</f>
        <v>0</v>
      </c>
      <c r="BN11" s="32"/>
      <c r="BO11" s="64" t="s">
        <v>48</v>
      </c>
      <c r="BP11" s="112" t="str">
        <f aca="false">IFERROR(__xludf.dummyfunction("IMPORTRANGE(A5,""dg12"")"),"Jk pro")</f>
        <v>Jk pro</v>
      </c>
      <c r="BQ11" s="66" t="n">
        <v>27</v>
      </c>
      <c r="BR11" s="31" t="n">
        <f aca="false">VLOOKUP(BQ11,FPOSCORING,3, 0)</f>
        <v>14</v>
      </c>
      <c r="BS11" s="33"/>
      <c r="BT11" s="64" t="s">
        <v>48</v>
      </c>
      <c r="BU11" s="112" t="str">
        <f aca="false">IFERROR(__xludf.dummyfunction("IMPORTRANGE(A5,""do12"")"),"")</f>
        <v/>
      </c>
      <c r="BV11" s="66" t="s">
        <v>31</v>
      </c>
      <c r="BW11" s="31" t="n">
        <f aca="false">VLOOKUP(BV11,MPOSCORING,2, 0)</f>
        <v>0</v>
      </c>
      <c r="BX11" s="32"/>
      <c r="BY11" s="64" t="s">
        <v>48</v>
      </c>
      <c r="BZ11" s="112" t="str">
        <f aca="false">IFERROR(__xludf.dummyfunction("IMPORTRANGE(A5,""dw12"")"),"")</f>
        <v/>
      </c>
      <c r="CA11" s="66" t="s">
        <v>31</v>
      </c>
      <c r="CB11" s="31" t="n">
        <f aca="false">VLOOKUP(CA11,MPOSCORING,2, 0)</f>
        <v>0</v>
      </c>
      <c r="CC11" s="32"/>
      <c r="CD11" s="64" t="s">
        <v>48</v>
      </c>
      <c r="CE11" s="112"/>
      <c r="CF11" s="66" t="s">
        <v>31</v>
      </c>
      <c r="CG11" s="31" t="n">
        <f aca="false">VLOOKUP(CF11,FPOSCORING,3, 0)</f>
        <v>0</v>
      </c>
      <c r="CH11" s="33"/>
    </row>
    <row r="12" customFormat="false" ht="15" hidden="false" customHeight="false" outlineLevel="0" collapsed="false">
      <c r="A12" s="19" t="str">
        <f aca="false">IFERROR(__xludf.dummyfunction("IMPORTRANGE(A5,""a1"")"),"I use my left hand (Aaron G)")</f>
        <v>I use my left hand (Aaron G)</v>
      </c>
      <c r="B12" s="34" t="s">
        <v>50</v>
      </c>
      <c r="C12" s="34" t="n">
        <v>79748</v>
      </c>
      <c r="D12" s="34" t="n">
        <v>8</v>
      </c>
      <c r="E12" s="113" t="s">
        <v>50</v>
      </c>
      <c r="F12" s="36" t="s">
        <v>40</v>
      </c>
      <c r="G12" s="113" t="s">
        <v>50</v>
      </c>
      <c r="H12" s="88" t="n">
        <v>28</v>
      </c>
      <c r="I12" s="115" t="n">
        <f aca="false">VLOOKUP(H12,MPOSCORING,2, 0)</f>
        <v>51</v>
      </c>
      <c r="J12" s="39" t="s">
        <v>40</v>
      </c>
      <c r="K12" s="105" t="str">
        <f aca="false">IFERROR(__xludf.dummyfunction("IMPORTRANGE(A5,""o813"")"),"")</f>
        <v/>
      </c>
      <c r="L12" s="41" t="s">
        <v>31</v>
      </c>
      <c r="M12" s="115" t="n">
        <f aca="false">VLOOKUP(L12,MPOSCORING,2, 0)</f>
        <v>0</v>
      </c>
      <c r="N12" s="42" t="s">
        <v>40</v>
      </c>
      <c r="O12" s="43" t="str">
        <f aca="false">IFERROR(__xludf.dummyfunction("IMPORTRANGE(A5,""w13"")"),"Cole Redalen")</f>
        <v>Cole Redalen</v>
      </c>
      <c r="P12" s="44" t="s">
        <v>31</v>
      </c>
      <c r="Q12" s="115" t="n">
        <f aca="false">VLOOKUP(P12,MPOSCORING,2, 0)</f>
        <v>0</v>
      </c>
      <c r="R12" s="34" t="s">
        <v>40</v>
      </c>
      <c r="S12" s="106" t="str">
        <f aca="false">IFERROR(__xludf.dummyfunction("IMPORTRANGE(A5,""AE13"")"),"Cole Redalen")</f>
        <v>Cole Redalen</v>
      </c>
      <c r="T12" s="46" t="n">
        <v>74</v>
      </c>
      <c r="U12" s="116" t="n">
        <f aca="false">VLOOKUP(T12,MPOSCORING,2, 0)</f>
        <v>0</v>
      </c>
      <c r="V12" s="48" t="s">
        <v>40</v>
      </c>
      <c r="W12" s="107" t="str">
        <f aca="false">IFERROR(__xludf.dummyfunction("IMPORTRANGE(A5,""Am13"")"),"Cole Redalen")</f>
        <v>Cole Redalen</v>
      </c>
      <c r="X12" s="50" t="s">
        <v>31</v>
      </c>
      <c r="Y12" s="117" t="n">
        <f aca="false">VLOOKUP(X12,MPOSCORING,2, 0)</f>
        <v>0</v>
      </c>
      <c r="Z12" s="51"/>
      <c r="AA12" s="52" t="s">
        <v>40</v>
      </c>
      <c r="AB12" s="108" t="str">
        <f aca="false">IFERROR(__xludf.dummyfunction("IMPORTRANGE(A5,""Au13"")"),"Big irish")</f>
        <v>Big irish</v>
      </c>
      <c r="AC12" s="54" t="s">
        <v>31</v>
      </c>
      <c r="AD12" s="27" t="n">
        <f aca="false">VLOOKUP(AC12,MPOSCORING,2, 0)</f>
        <v>0</v>
      </c>
      <c r="AE12" s="51"/>
      <c r="AF12" s="55" t="s">
        <v>40</v>
      </c>
      <c r="AG12" s="109" t="str">
        <f aca="false">IFERROR(__xludf.dummyfunction("IMPORTRANGE(A5,""bc13"")"),"Big irish")</f>
        <v>Big irish</v>
      </c>
      <c r="AH12" s="57" t="n">
        <v>59</v>
      </c>
      <c r="AI12" s="118" t="n">
        <f aca="false">VLOOKUP(AH12,MPOSCORING,2, 0)</f>
        <v>0</v>
      </c>
      <c r="AJ12" s="51"/>
      <c r="AK12" s="58" t="s">
        <v>40</v>
      </c>
      <c r="AL12" s="110" t="str">
        <f aca="false">IFERROR(__xludf.dummyfunction("IMPORTRANGE(A5,""bk13"")"),"Big irish")</f>
        <v>Big irish</v>
      </c>
      <c r="AM12" s="60" t="n">
        <v>16</v>
      </c>
      <c r="AN12" s="119" t="n">
        <f aca="false">VLOOKUP(AM12,MPOSCORING,2, 0)</f>
        <v>73</v>
      </c>
      <c r="AO12" s="51"/>
      <c r="AP12" s="61" t="s">
        <v>51</v>
      </c>
      <c r="AQ12" s="111" t="str">
        <f aca="false">IFERROR(__xludf.dummyfunction("IMPORTRANGE(A5,""bs13"")"),"")</f>
        <v/>
      </c>
      <c r="AR12" s="63" t="s">
        <v>31</v>
      </c>
      <c r="AS12" s="61"/>
      <c r="AT12" s="51"/>
      <c r="AU12" s="64" t="s">
        <v>40</v>
      </c>
      <c r="AV12" s="112" t="str">
        <f aca="false">IFERROR(__xludf.dummyfunction("IMPORTRANGE(A5,""ca13"")"),"Tommy G")</f>
        <v>Tommy G</v>
      </c>
      <c r="AW12" s="66" t="s">
        <v>31</v>
      </c>
      <c r="AX12" s="120" t="n">
        <f aca="false">VLOOKUP(AW12,MPOSCORING,2, 0)</f>
        <v>0</v>
      </c>
      <c r="AY12" s="121"/>
      <c r="AZ12" s="36" t="s">
        <v>40</v>
      </c>
      <c r="BA12" s="113" t="str">
        <f aca="false">IFERROR(__xludf.dummyfunction("IMPORTRANGE(A5,""ci13"")"),"Chandler Fry ")</f>
        <v>Chandler Fry</v>
      </c>
      <c r="BB12" s="37" t="s">
        <v>31</v>
      </c>
      <c r="BC12" s="122" t="n">
        <f aca="false">VLOOKUP(BB12,MPOSCORING,2, 0)</f>
        <v>0</v>
      </c>
      <c r="BD12" s="121"/>
      <c r="BE12" s="42" t="s">
        <v>40</v>
      </c>
      <c r="BF12" s="114" t="str">
        <f aca="false">IFERROR(__xludf.dummyfunction("IMPORTRANGE(A5,""cq13"")"),"Jk pro")</f>
        <v>Jk pro</v>
      </c>
      <c r="BG12" s="44" t="n">
        <v>16</v>
      </c>
      <c r="BH12" s="115" t="n">
        <f aca="false">VLOOKUP(BG12,MPOSCORING,2, 0)</f>
        <v>73</v>
      </c>
      <c r="BI12" s="121"/>
      <c r="BJ12" s="64" t="s">
        <v>40</v>
      </c>
      <c r="BK12" s="123" t="str">
        <f aca="false">IFERROR(__xludf.dummyfunction("IMPORTRANGE(A5,""cy13"")"),"Jk pro")</f>
        <v>Jk pro</v>
      </c>
      <c r="BL12" s="66" t="n">
        <v>25</v>
      </c>
      <c r="BM12" s="120" t="n">
        <f aca="false">VLOOKUP(BL12,FPOSCORING,2, 0)</f>
        <v>5</v>
      </c>
      <c r="BN12" s="121"/>
      <c r="BO12" s="64" t="s">
        <v>40</v>
      </c>
      <c r="BP12" s="123" t="str">
        <f aca="false">IFERROR(__xludf.dummyfunction("IMPORTRANGE(A5,""dg13"")"),"T. Gilbert ")</f>
        <v>T. Gilbert</v>
      </c>
      <c r="BQ12" s="66" t="s">
        <v>31</v>
      </c>
      <c r="BR12" s="120" t="n">
        <f aca="false">VLOOKUP(BQ12,MPOSCORING,3, 0)</f>
        <v>0</v>
      </c>
      <c r="BS12" s="124"/>
      <c r="BT12" s="64" t="s">
        <v>40</v>
      </c>
      <c r="BU12" s="123" t="str">
        <f aca="false">IFERROR(__xludf.dummyfunction("IMPORTRANGE(A5,""do13"")"),"")</f>
        <v/>
      </c>
      <c r="BV12" s="66" t="s">
        <v>31</v>
      </c>
      <c r="BW12" s="120" t="n">
        <f aca="false">VLOOKUP(BV12,MPOSCORING,2, 0)</f>
        <v>0</v>
      </c>
      <c r="BX12" s="121"/>
      <c r="BY12" s="64" t="s">
        <v>40</v>
      </c>
      <c r="BZ12" s="112" t="str">
        <f aca="false">IFERROR(__xludf.dummyfunction("IMPORTRANGE(A5,""dw13"")"),"")</f>
        <v/>
      </c>
      <c r="CA12" s="66" t="s">
        <v>31</v>
      </c>
      <c r="CB12" s="120" t="n">
        <f aca="false">VLOOKUP(CA12,MPOSCORING,2, 0)</f>
        <v>0</v>
      </c>
      <c r="CC12" s="121"/>
      <c r="CD12" s="64" t="s">
        <v>40</v>
      </c>
      <c r="CE12" s="123"/>
      <c r="CF12" s="66" t="s">
        <v>31</v>
      </c>
      <c r="CG12" s="120" t="n">
        <f aca="false">VLOOKUP(CF12,MPOSCORING,3, 0)</f>
        <v>0</v>
      </c>
      <c r="CH12" s="124"/>
    </row>
    <row r="13" customFormat="false" ht="15" hidden="false" customHeight="false" outlineLevel="0" collapsed="false">
      <c r="A13" s="19" t="str">
        <f aca="false">IFERROR(__xludf.dummyfunction("IMPORTRANGE(A5,""a1"")"),"I use my left hand (Aaron G)")</f>
        <v>I use my left hand (Aaron G)</v>
      </c>
      <c r="B13" s="34" t="s">
        <v>52</v>
      </c>
      <c r="C13" s="34" t="n">
        <v>99648</v>
      </c>
      <c r="D13" s="34" t="n">
        <v>9</v>
      </c>
      <c r="E13" s="113" t="s">
        <v>41</v>
      </c>
      <c r="F13" s="36" t="s">
        <v>43</v>
      </c>
      <c r="G13" s="113" t="s">
        <v>41</v>
      </c>
      <c r="H13" s="37" t="s">
        <v>31</v>
      </c>
      <c r="I13" s="125" t="n">
        <f aca="false">VLOOKUP(H13,FPOSCORING,2, 0)</f>
        <v>0</v>
      </c>
      <c r="J13" s="39" t="s">
        <v>43</v>
      </c>
      <c r="K13" s="105" t="str">
        <f aca="false">IFERROR(__xludf.dummyfunction("IMPORTRANGE(A5,""o14"")"),"")</f>
        <v/>
      </c>
      <c r="L13" s="41" t="s">
        <v>31</v>
      </c>
      <c r="M13" s="125" t="n">
        <f aca="false">VLOOKUP(L13,FPOSCORING,2, 0)</f>
        <v>0</v>
      </c>
      <c r="N13" s="42" t="s">
        <v>43</v>
      </c>
      <c r="O13" s="43" t="str">
        <f aca="false">IFERROR(__xludf.dummyfunction("IMPORTRANGE(A5,""w14"")"),"Knut")</f>
        <v>Knut</v>
      </c>
      <c r="P13" s="44" t="s">
        <v>31</v>
      </c>
      <c r="Q13" s="125" t="n">
        <f aca="false">VLOOKUP(P13,FPOSCORING,2, 0)</f>
        <v>0</v>
      </c>
      <c r="R13" s="34" t="s">
        <v>43</v>
      </c>
      <c r="S13" s="106" t="str">
        <f aca="false">IFERROR(__xludf.dummyfunction("IMPORTRANGE(A5,""AE14"")"),"Knut")</f>
        <v>Knut</v>
      </c>
      <c r="T13" s="46" t="n">
        <v>20</v>
      </c>
      <c r="U13" s="126" t="n">
        <f aca="false">VLOOKUP(T13,MPOSCORING,2, 0)</f>
        <v>66</v>
      </c>
      <c r="V13" s="48" t="s">
        <v>43</v>
      </c>
      <c r="W13" s="107" t="str">
        <f aca="false">IFERROR(__xludf.dummyfunction("IMPORTRANGE(A5,""Am14"")"),"BIG IRISH ")</f>
        <v>BIG IRISH</v>
      </c>
      <c r="X13" s="50" t="n">
        <v>74</v>
      </c>
      <c r="Y13" s="117" t="n">
        <f aca="false">VLOOKUP(X13,MPOSCORING,2, 0)</f>
        <v>0</v>
      </c>
      <c r="Z13" s="51"/>
      <c r="AA13" s="52" t="s">
        <v>43</v>
      </c>
      <c r="AB13" s="108" t="str">
        <f aca="false">IFERROR(__xludf.dummyfunction("IMPORTRANGE(A5,""Au14"")"),"Cole redalen")</f>
        <v>Cole redalen</v>
      </c>
      <c r="AC13" s="54" t="s">
        <v>31</v>
      </c>
      <c r="AD13" s="27" t="n">
        <f aca="false">VLOOKUP(AC13,MPOSCORING,2, 0)</f>
        <v>0</v>
      </c>
      <c r="AE13" s="51"/>
      <c r="AF13" s="55" t="s">
        <v>43</v>
      </c>
      <c r="AG13" s="109" t="str">
        <f aca="false">IFERROR(__xludf.dummyfunction("IMPORTRANGE(A5,""bc14"")"),"Cole redalen")</f>
        <v>Cole redalen</v>
      </c>
      <c r="AH13" s="57" t="n">
        <v>8</v>
      </c>
      <c r="AI13" s="118" t="n">
        <f aca="false">VLOOKUP(AH13,MPOSCORING,2, 0)</f>
        <v>87</v>
      </c>
      <c r="AJ13" s="51"/>
      <c r="AK13" s="58" t="s">
        <v>43</v>
      </c>
      <c r="AL13" s="110" t="str">
        <f aca="false">IFERROR(__xludf.dummyfunction("IMPORTRANGE(A5,""bk14"")"),"Cole redalen")</f>
        <v>Cole redalen</v>
      </c>
      <c r="AM13" s="60" t="s">
        <v>31</v>
      </c>
      <c r="AN13" s="119" t="n">
        <f aca="false">VLOOKUP(AM13,FPOSCORING,2, 0)</f>
        <v>0</v>
      </c>
      <c r="AO13" s="51"/>
      <c r="AP13" s="61" t="s">
        <v>53</v>
      </c>
      <c r="AQ13" s="111" t="str">
        <f aca="false">IFERROR(__xludf.dummyfunction("IMPORTRANGE(A5,""bs14"")"),"")</f>
        <v/>
      </c>
      <c r="AR13" s="63" t="s">
        <v>31</v>
      </c>
      <c r="AS13" s="61"/>
      <c r="AT13" s="51"/>
      <c r="AU13" s="64" t="s">
        <v>43</v>
      </c>
      <c r="AV13" s="112" t="str">
        <f aca="false">IFERROR(__xludf.dummyfunction("IMPORTRANGE(A5,""ca14"")"),"Cole Redalen")</f>
        <v>Cole Redalen</v>
      </c>
      <c r="AW13" s="66" t="s">
        <v>31</v>
      </c>
      <c r="AX13" s="120" t="n">
        <f aca="false">VLOOKUP(AW13,FPOSCORING,2, 0)</f>
        <v>0</v>
      </c>
      <c r="AY13" s="121"/>
      <c r="AZ13" s="36" t="s">
        <v>43</v>
      </c>
      <c r="BA13" s="113" t="str">
        <f aca="false">IFERROR(__xludf.dummyfunction("IMPORTRANGE(A5,""ci14"")"),"Cole Redalen")</f>
        <v>Cole Redalen</v>
      </c>
      <c r="BB13" s="37" t="s">
        <v>31</v>
      </c>
      <c r="BC13" s="122" t="n">
        <f aca="false">VLOOKUP(BB13,FPOSCORING,2, 0)</f>
        <v>0</v>
      </c>
      <c r="BD13" s="121"/>
      <c r="BE13" s="42" t="s">
        <v>43</v>
      </c>
      <c r="BF13" s="114" t="str">
        <f aca="false">IFERROR(__xludf.dummyfunction("IMPORTRANGE(A5,""cq14"")"),"Cole redalen")</f>
        <v>Cole redalen</v>
      </c>
      <c r="BG13" s="44" t="s">
        <v>31</v>
      </c>
      <c r="BH13" s="115" t="n">
        <f aca="false">VLOOKUP(BG13,FPOSCORING,2, 0)</f>
        <v>0</v>
      </c>
      <c r="BI13" s="121"/>
      <c r="BJ13" s="64" t="s">
        <v>43</v>
      </c>
      <c r="BK13" s="112" t="str">
        <f aca="false">IFERROR(__xludf.dummyfunction("IMPORTRANGE(A5,""cy14"")"),"Cole redalen")</f>
        <v>Cole redalen</v>
      </c>
      <c r="BL13" s="66" t="s">
        <v>31</v>
      </c>
      <c r="BM13" s="120" t="n">
        <f aca="false">VLOOKUP(BL13,MPOSCORING,2, 0)</f>
        <v>0</v>
      </c>
      <c r="BN13" s="121"/>
      <c r="BO13" s="64" t="s">
        <v>43</v>
      </c>
      <c r="BP13" s="112" t="str">
        <f aca="false">IFERROR(__xludf.dummyfunction("IMPORTRANGE(A5,""dg14"")"),"Cole redalen")</f>
        <v>Cole redalen</v>
      </c>
      <c r="BQ13" s="66" t="s">
        <v>31</v>
      </c>
      <c r="BR13" s="120" t="n">
        <f aca="false">VLOOKUP(BQ13,FPOSCORING,3, 0)</f>
        <v>0</v>
      </c>
      <c r="BS13" s="124"/>
      <c r="BT13" s="64" t="s">
        <v>43</v>
      </c>
      <c r="BU13" s="112" t="str">
        <f aca="false">IFERROR(__xludf.dummyfunction("IMPORTRANGE(A5,""do14"")"),"")</f>
        <v/>
      </c>
      <c r="BV13" s="66" t="s">
        <v>31</v>
      </c>
      <c r="BW13" s="120" t="n">
        <f aca="false">VLOOKUP(BV13,FPOSCORING,2, 0)</f>
        <v>0</v>
      </c>
      <c r="BX13" s="121"/>
      <c r="BY13" s="64" t="s">
        <v>43</v>
      </c>
      <c r="BZ13" s="112" t="str">
        <f aca="false">IFERROR(__xludf.dummyfunction("IMPORTRANGE(A5,""dw14"")"),"")</f>
        <v/>
      </c>
      <c r="CA13" s="66" t="s">
        <v>31</v>
      </c>
      <c r="CB13" s="120" t="n">
        <f aca="false">VLOOKUP(CA13,FPOSCORING,2, 0)</f>
        <v>0</v>
      </c>
      <c r="CC13" s="121"/>
      <c r="CD13" s="64" t="s">
        <v>43</v>
      </c>
      <c r="CE13" s="112"/>
      <c r="CF13" s="66" t="s">
        <v>31</v>
      </c>
      <c r="CG13" s="120" t="n">
        <f aca="false">VLOOKUP(CF13,FPOSCORING,3, 0)</f>
        <v>0</v>
      </c>
      <c r="CH13" s="124"/>
    </row>
    <row r="14" customFormat="false" ht="15" hidden="false" customHeight="false" outlineLevel="0" collapsed="false">
      <c r="A14" s="19" t="str">
        <f aca="false">IFERROR(__xludf.dummyfunction("IMPORTRANGE(A5,""a1"")"),"I use my left hand (Aaron G)")</f>
        <v>I use my left hand (Aaron G)</v>
      </c>
      <c r="B14" s="34" t="s">
        <v>54</v>
      </c>
      <c r="C14" s="34" t="n">
        <v>84958</v>
      </c>
      <c r="D14" s="34" t="n">
        <v>10</v>
      </c>
      <c r="E14" s="113" t="s">
        <v>54</v>
      </c>
      <c r="F14" s="36" t="s">
        <v>46</v>
      </c>
      <c r="G14" s="113" t="s">
        <v>54</v>
      </c>
      <c r="H14" s="37" t="n">
        <v>96</v>
      </c>
      <c r="I14" s="115" t="n">
        <f aca="false">VLOOKUP(H14,MPOSCORING,2, 0)</f>
        <v>0</v>
      </c>
      <c r="J14" s="39" t="s">
        <v>46</v>
      </c>
      <c r="K14" s="105" t="str">
        <f aca="false">IFERROR(__xludf.dummyfunction("IMPORTRANGE(A5,""o15"")"),"")</f>
        <v/>
      </c>
      <c r="L14" s="41" t="s">
        <v>31</v>
      </c>
      <c r="M14" s="115" t="n">
        <f aca="false">VLOOKUP(L14,MPOSCORING,2, 0)</f>
        <v>0</v>
      </c>
      <c r="N14" s="42" t="s">
        <v>46</v>
      </c>
      <c r="O14" s="43" t="str">
        <f aca="false">IFERROR(__xludf.dummyfunction("IMPORTRANGE(A5,""w15"")"),"Juliana Korver")</f>
        <v>Juliana Korver</v>
      </c>
      <c r="P14" s="44" t="s">
        <v>31</v>
      </c>
      <c r="Q14" s="115" t="n">
        <f aca="false">VLOOKUP(P14,MPOSCORING,2, 0)</f>
        <v>0</v>
      </c>
      <c r="R14" s="34" t="s">
        <v>46</v>
      </c>
      <c r="S14" s="106" t="str">
        <f aca="false">IFERROR(__xludf.dummyfunction("IMPORTRANGE(A5,""AE15"")"),"Juliana Korver")</f>
        <v>Juliana Korver</v>
      </c>
      <c r="T14" s="46" t="s">
        <v>31</v>
      </c>
      <c r="U14" s="116" t="n">
        <f aca="false">VLOOKUP(T14,MPOSCORING,2, 0)</f>
        <v>0</v>
      </c>
      <c r="V14" s="48" t="s">
        <v>46</v>
      </c>
      <c r="W14" s="107" t="str">
        <f aca="false">IFERROR(__xludf.dummyfunction("IMPORTRANGE(A5,""Am15"")"),"Juliana Korver")</f>
        <v>Juliana Korver</v>
      </c>
      <c r="X14" s="50" t="s">
        <v>31</v>
      </c>
      <c r="Y14" s="117" t="n">
        <f aca="false">VLOOKUP(X14,MPOSCORING,2, 0)</f>
        <v>0</v>
      </c>
      <c r="Z14" s="51"/>
      <c r="AA14" s="52" t="s">
        <v>46</v>
      </c>
      <c r="AB14" s="108" t="str">
        <f aca="false">IFERROR(__xludf.dummyfunction("IMPORTRANGE(A5,""Au15"")"),"Parker Welk")</f>
        <v>Parker Welk</v>
      </c>
      <c r="AC14" s="54" t="s">
        <v>31</v>
      </c>
      <c r="AD14" s="27" t="n">
        <f aca="false">VLOOKUP(AC14,MPOSCORING,2, 0)</f>
        <v>0</v>
      </c>
      <c r="AE14" s="51"/>
      <c r="AF14" s="55" t="s">
        <v>46</v>
      </c>
      <c r="AG14" s="109" t="str">
        <f aca="false">IFERROR(__xludf.dummyfunction("IMPORTRANGE(A5,""bc15"")"),"Isaac Robinson ")</f>
        <v>Isaac Robinson</v>
      </c>
      <c r="AH14" s="57" t="n">
        <v>3</v>
      </c>
      <c r="AI14" s="118" t="n">
        <f aca="false">VLOOKUP(AH14,MPOSCORING,2, 0)</f>
        <v>96</v>
      </c>
      <c r="AJ14" s="51"/>
      <c r="AK14" s="58" t="s">
        <v>46</v>
      </c>
      <c r="AL14" s="110" t="str">
        <f aca="false">IFERROR(__xludf.dummyfunction("IMPORTRANGE(A5,""bk15"")"),"Isaac Robinson ")</f>
        <v>Isaac Robinson</v>
      </c>
      <c r="AM14" s="60" t="n">
        <v>16</v>
      </c>
      <c r="AN14" s="119" t="n">
        <f aca="false">VLOOKUP(AM14,MPOSCORING,2, 0)</f>
        <v>73</v>
      </c>
      <c r="AO14" s="51"/>
      <c r="AP14" s="61" t="s">
        <v>55</v>
      </c>
      <c r="AQ14" s="111" t="str">
        <f aca="false">IFERROR(__xludf.dummyfunction("IMPORTRANGE(A5,""bs15"")"),"")</f>
        <v/>
      </c>
      <c r="AR14" s="63" t="s">
        <v>31</v>
      </c>
      <c r="AS14" s="61"/>
      <c r="AT14" s="51"/>
      <c r="AU14" s="64" t="s">
        <v>46</v>
      </c>
      <c r="AV14" s="112" t="str">
        <f aca="false">IFERROR(__xludf.dummyfunction("IMPORTRANGE(A5,""ca15"")"),"Calvin H")</f>
        <v>Calvin H</v>
      </c>
      <c r="AW14" s="66" t="s">
        <v>31</v>
      </c>
      <c r="AX14" s="120" t="n">
        <f aca="false">VLOOKUP(AW14,MPOSCORING,2, 0)</f>
        <v>0</v>
      </c>
      <c r="AY14" s="121"/>
      <c r="AZ14" s="36" t="s">
        <v>46</v>
      </c>
      <c r="BA14" s="113" t="str">
        <f aca="false">IFERROR(__xludf.dummyfunction("IMPORTRANGE(A5,""ci15"")"),"Big Irish ")</f>
        <v>Big Irish</v>
      </c>
      <c r="BB14" s="37" t="s">
        <v>31</v>
      </c>
      <c r="BC14" s="122" t="n">
        <f aca="false">VLOOKUP(BB14,MPOSCORING,2, 0)</f>
        <v>0</v>
      </c>
      <c r="BD14" s="121"/>
      <c r="BE14" s="42" t="s">
        <v>46</v>
      </c>
      <c r="BF14" s="114" t="str">
        <f aca="false">IFERROR(__xludf.dummyfunction("IMPORTRANGE(A5,""cq15"")"),"Big Irish ")</f>
        <v>Big Irish</v>
      </c>
      <c r="BG14" s="44" t="s">
        <v>31</v>
      </c>
      <c r="BH14" s="115" t="n">
        <f aca="false">VLOOKUP(BG14,MPOSCORING,2, 0)</f>
        <v>0</v>
      </c>
      <c r="BI14" s="121"/>
      <c r="BJ14" s="64" t="s">
        <v>46</v>
      </c>
      <c r="BK14" s="112" t="str">
        <f aca="false">IFERROR(__xludf.dummyfunction("IMPORTRANGE(A5,""cy15"")"),"Big Irish ")</f>
        <v>Big Irish</v>
      </c>
      <c r="BL14" s="66" t="n">
        <v>57</v>
      </c>
      <c r="BM14" s="120" t="n">
        <f aca="false">VLOOKUP(BL14,MPOSCORING,2, 0)</f>
        <v>0</v>
      </c>
      <c r="BN14" s="121"/>
      <c r="BO14" s="64" t="s">
        <v>46</v>
      </c>
      <c r="BP14" s="112" t="str">
        <f aca="false">IFERROR(__xludf.dummyfunction("IMPORTRANGE(A5,""dg15"")"),"Big Irish ")</f>
        <v>Big Irish</v>
      </c>
      <c r="BQ14" s="66" t="s">
        <v>31</v>
      </c>
      <c r="BR14" s="120" t="n">
        <f aca="false">VLOOKUP(BQ14,MPOSCORING,3, 0)</f>
        <v>0</v>
      </c>
      <c r="BS14" s="124"/>
      <c r="BT14" s="64" t="s">
        <v>46</v>
      </c>
      <c r="BU14" s="112" t="str">
        <f aca="false">IFERROR(__xludf.dummyfunction("IMPORTRANGE(A5,""do15"")"),"")</f>
        <v/>
      </c>
      <c r="BV14" s="66" t="s">
        <v>31</v>
      </c>
      <c r="BW14" s="120" t="n">
        <f aca="false">VLOOKUP(BV14,MPOSCORING,2, 0)</f>
        <v>0</v>
      </c>
      <c r="BX14" s="121"/>
      <c r="BY14" s="64" t="s">
        <v>46</v>
      </c>
      <c r="BZ14" s="112" t="str">
        <f aca="false">IFERROR(__xludf.dummyfunction("IMPORTRANGE(A5,""dw15"")"),"")</f>
        <v/>
      </c>
      <c r="CA14" s="66" t="s">
        <v>31</v>
      </c>
      <c r="CB14" s="120" t="n">
        <f aca="false">VLOOKUP(CA14,MPOSCORING,2, 0)</f>
        <v>0</v>
      </c>
      <c r="CC14" s="121"/>
      <c r="CD14" s="64" t="s">
        <v>46</v>
      </c>
      <c r="CE14" s="112"/>
      <c r="CF14" s="66" t="s">
        <v>31</v>
      </c>
      <c r="CG14" s="120" t="n">
        <f aca="false">VLOOKUP(CF14,MPOSCORING,3, 0)</f>
        <v>0</v>
      </c>
      <c r="CH14" s="124"/>
    </row>
    <row r="15" customFormat="false" ht="16.5" hidden="true" customHeight="true" outlineLevel="0" collapsed="false">
      <c r="A15" s="16" t="s">
        <v>56</v>
      </c>
      <c r="F15" s="17"/>
      <c r="G15" s="17"/>
      <c r="H15" s="17"/>
      <c r="I15" s="127"/>
      <c r="J15" s="17"/>
      <c r="M15" s="127"/>
      <c r="N15" s="17"/>
      <c r="R15" s="17"/>
      <c r="U15" s="127"/>
      <c r="V15" s="17"/>
      <c r="AA15" s="17"/>
      <c r="AF15" s="17"/>
      <c r="AK15" s="17"/>
      <c r="AP15" s="17"/>
      <c r="AU15" s="17"/>
      <c r="AZ15" s="17"/>
      <c r="BE15" s="17"/>
      <c r="BJ15" s="17"/>
      <c r="BO15" s="17"/>
      <c r="BS15" s="18"/>
      <c r="BT15" s="17"/>
      <c r="BY15" s="17"/>
      <c r="CD15" s="17"/>
      <c r="CH15" s="18"/>
    </row>
    <row r="16" customFormat="false" ht="15" hidden="false" customHeight="false" outlineLevel="0" collapsed="false">
      <c r="A16" s="128" t="str">
        <f aca="false">IFERROR(__xludf.dummyfunction("IMPORTRANGE(A20,""a1"")"),"Hogan's Humans (Sean)")</f>
        <v>Hogan's Humans (Sean)</v>
      </c>
      <c r="B16" s="48" t="s">
        <v>57</v>
      </c>
      <c r="C16" s="48"/>
      <c r="D16" s="48"/>
      <c r="E16" s="48"/>
      <c r="F16" s="36" t="s">
        <v>29</v>
      </c>
      <c r="G16" s="35" t="s">
        <v>58</v>
      </c>
      <c r="H16" s="88" t="n">
        <v>6</v>
      </c>
      <c r="I16" s="38" t="n">
        <f aca="false">VLOOKUP(H16,FPOSCORING,2, 0)</f>
        <v>76</v>
      </c>
      <c r="J16" s="39" t="s">
        <v>29</v>
      </c>
      <c r="K16" s="40" t="str">
        <f aca="false">IFERROR(__xludf.dummyfunction("IMPORTRANGE(A20,""o6"")"),"Paige Pierce")</f>
        <v>Paige Pierce</v>
      </c>
      <c r="L16" s="41" t="n">
        <v>1</v>
      </c>
      <c r="M16" s="38" t="n">
        <f aca="false">VLOOKUP(L16,FPOSCORING,2, 0)</f>
        <v>100</v>
      </c>
      <c r="N16" s="42" t="s">
        <v>29</v>
      </c>
      <c r="O16" s="43" t="str">
        <f aca="false">IFERROR(__xludf.dummyfunction("IMPORTRANGE(A20,""W6"")"),"Erika Stinchcomb ")</f>
        <v>Erika Stinchcomb</v>
      </c>
      <c r="P16" s="44" t="n">
        <v>35</v>
      </c>
      <c r="Q16" s="38" t="n">
        <f aca="false">VLOOKUP(P16,FPOSCORING,2, 0)</f>
        <v>0</v>
      </c>
      <c r="R16" s="34" t="s">
        <v>29</v>
      </c>
      <c r="S16" s="45" t="str">
        <f aca="false">IFERROR(__xludf.dummyfunction("IMPORTRANGE(A20,""AE6"")"),"Paige Pierce ")</f>
        <v>Paige Pierce</v>
      </c>
      <c r="T16" s="46" t="n">
        <v>7</v>
      </c>
      <c r="U16" s="47" t="n">
        <f aca="false">VLOOKUP(T16,FPOSCORING,2, 0)</f>
        <v>71</v>
      </c>
      <c r="V16" s="48" t="s">
        <v>29</v>
      </c>
      <c r="W16" s="49" t="str">
        <f aca="false">IFERROR(__xludf.dummyfunction("IMPORTRANGE(A20,""Am6"")"),"Paige P")</f>
        <v>Paige P</v>
      </c>
      <c r="X16" s="50" t="n">
        <v>5</v>
      </c>
      <c r="Y16" s="129" t="n">
        <f aca="false">VLOOKUP(X16,FPOSCORING,2, 0)</f>
        <v>82</v>
      </c>
      <c r="Z16" s="51"/>
      <c r="AA16" s="52" t="s">
        <v>29</v>
      </c>
      <c r="AB16" s="53" t="str">
        <f aca="false">IFERROR(__xludf.dummyfunction("IMPORTRANGE(A20,""Au6"")"),"Paige P")</f>
        <v>Paige P</v>
      </c>
      <c r="AC16" s="54" t="n">
        <v>1</v>
      </c>
      <c r="AD16" s="130" t="n">
        <f aca="false">VLOOKUP(AC16,FPOSCORING,2, 0)</f>
        <v>100</v>
      </c>
      <c r="AE16" s="51"/>
      <c r="AF16" s="55" t="s">
        <v>29</v>
      </c>
      <c r="AG16" s="56" t="str">
        <f aca="false">IFERROR(__xludf.dummyfunction("IMPORTRANGE(A20,""bc6"")"),"Paige pierce ")</f>
        <v>Paige pierce</v>
      </c>
      <c r="AH16" s="57" t="n">
        <v>4</v>
      </c>
      <c r="AI16" s="131" t="n">
        <f aca="false">VLOOKUP(AH16,FPOSCORING,2, 0)</f>
        <v>86</v>
      </c>
      <c r="AJ16" s="51"/>
      <c r="AK16" s="58" t="s">
        <v>29</v>
      </c>
      <c r="AL16" s="59" t="str">
        <f aca="false">IFERROR(__xludf.dummyfunction("IMPORTRANGE(A20,""bk6"")"),"Paige P")</f>
        <v>Paige P</v>
      </c>
      <c r="AM16" s="60" t="n">
        <v>1</v>
      </c>
      <c r="AN16" s="132" t="n">
        <f aca="false">VLOOKUP(AM16,FPOSCORING,2, 0)</f>
        <v>100</v>
      </c>
      <c r="AO16" s="51"/>
      <c r="AP16" s="61" t="s">
        <v>29</v>
      </c>
      <c r="AQ16" s="62" t="str">
        <f aca="false">IFERROR(__xludf.dummyfunction("IMPORTRANGE(A20,""bs6"")"),"Paige P")</f>
        <v>Paige P</v>
      </c>
      <c r="AR16" s="63" t="n">
        <v>21</v>
      </c>
      <c r="AS16" s="133" t="n">
        <f aca="false">VLOOKUP(AR16,MPOSCORING,2, 0)</f>
        <v>64</v>
      </c>
      <c r="AT16" s="51"/>
      <c r="AU16" s="64" t="s">
        <v>29</v>
      </c>
      <c r="AV16" s="65" t="str">
        <f aca="false">IFERROR(__xludf.dummyfunction("IMPORTRANGE(A20,""ca6"")"),"Pierce")</f>
        <v>Pierce</v>
      </c>
      <c r="AW16" s="66" t="n">
        <v>10</v>
      </c>
      <c r="AX16" s="134" t="n">
        <f aca="false">VLOOKUP(AW16,FPOSCORING,2, 0)</f>
        <v>58</v>
      </c>
      <c r="AY16" s="32"/>
      <c r="AZ16" s="36" t="s">
        <v>29</v>
      </c>
      <c r="BA16" s="67" t="str">
        <f aca="false">IFERROR(__xludf.dummyfunction("IMPORTRANGE(A20,""ci6"")"),"PP")</f>
        <v>PP</v>
      </c>
      <c r="BB16" s="37" t="n">
        <v>4</v>
      </c>
      <c r="BC16" s="135" t="n">
        <f aca="false">VLOOKUP(BB16,FPOSCORING,2, 0)</f>
        <v>86</v>
      </c>
      <c r="BD16" s="32"/>
      <c r="BE16" s="42" t="s">
        <v>29</v>
      </c>
      <c r="BF16" s="68" t="str">
        <f aca="false">IFERROR(__xludf.dummyfunction("IMPORTRANGE(A20,""cq6"")"),"PP")</f>
        <v>PP</v>
      </c>
      <c r="BG16" s="44" t="n">
        <v>3</v>
      </c>
      <c r="BH16" s="136" t="n">
        <f aca="false">VLOOKUP(BG16,FPOSCORING,2, 0)</f>
        <v>91</v>
      </c>
      <c r="BI16" s="32"/>
      <c r="BJ16" s="64" t="s">
        <v>29</v>
      </c>
      <c r="BK16" s="65" t="str">
        <f aca="false">IFERROR(__xludf.dummyfunction("IMPORTRANGE(A20,""cy6"")"),"PP")</f>
        <v>PP</v>
      </c>
      <c r="BL16" s="66" t="n">
        <v>5</v>
      </c>
      <c r="BM16" s="134" t="n">
        <f aca="false">VLOOKUP(BL16,FPOSCORING,2, 0)</f>
        <v>82</v>
      </c>
      <c r="BN16" s="32"/>
      <c r="BO16" s="64" t="s">
        <v>29</v>
      </c>
      <c r="BP16" s="65" t="str">
        <f aca="false">IFERROR(__xludf.dummyfunction("IMPORTRANGE(A20,""dg6"")"),"PP")</f>
        <v>PP</v>
      </c>
      <c r="BQ16" s="66" t="n">
        <v>5</v>
      </c>
      <c r="BR16" s="134" t="n">
        <f aca="false">VLOOKUP(BQ16,FPOSCORING,3, 0)</f>
        <v>164</v>
      </c>
      <c r="BS16" s="33"/>
      <c r="BT16" s="64" t="s">
        <v>29</v>
      </c>
      <c r="BU16" s="65" t="str">
        <f aca="false">IFERROR(__xludf.dummyfunction("IMPORTRANGE(A20,""do6"")"),"PP")</f>
        <v>PP</v>
      </c>
      <c r="BV16" s="66" t="n">
        <v>18</v>
      </c>
      <c r="BW16" s="134" t="n">
        <f aca="false">VLOOKUP(BV16,FPOSCORING,2, 0)</f>
        <v>19</v>
      </c>
      <c r="BX16" s="32"/>
      <c r="BY16" s="64" t="s">
        <v>29</v>
      </c>
      <c r="BZ16" s="65" t="str">
        <f aca="false">IFERROR(__xludf.dummyfunction("IMPORTRANGE(A20,""dw6"")"),"")</f>
        <v/>
      </c>
      <c r="CA16" s="66" t="s">
        <v>31</v>
      </c>
      <c r="CB16" s="134" t="n">
        <f aca="false">VLOOKUP(CA16,FPOSCORING,2, 0)</f>
        <v>0</v>
      </c>
      <c r="CC16" s="32"/>
      <c r="CD16" s="64" t="s">
        <v>29</v>
      </c>
      <c r="CE16" s="65"/>
      <c r="CF16" s="66" t="s">
        <v>31</v>
      </c>
      <c r="CG16" s="134" t="n">
        <f aca="false">VLOOKUP(CF16,FPOSCORING,3, 0)</f>
        <v>0</v>
      </c>
      <c r="CH16" s="33"/>
    </row>
    <row r="17" customFormat="false" ht="15" hidden="false" customHeight="false" outlineLevel="0" collapsed="false">
      <c r="A17" s="128" t="str">
        <f aca="false">IFERROR(__xludf.dummyfunction("IMPORTRANGE(A20,""a1"")"),"Hogan's Humans (Sean)")</f>
        <v>Hogan's Humans (Sean)</v>
      </c>
      <c r="B17" s="48" t="s">
        <v>59</v>
      </c>
      <c r="C17" s="48"/>
      <c r="D17" s="48"/>
      <c r="E17" s="48"/>
      <c r="F17" s="36" t="s">
        <v>34</v>
      </c>
      <c r="G17" s="67" t="s">
        <v>60</v>
      </c>
      <c r="H17" s="69" t="n">
        <v>22</v>
      </c>
      <c r="I17" s="38" t="n">
        <f aca="false">VLOOKUP(H17,FPOSCORING,2, 0)</f>
        <v>8</v>
      </c>
      <c r="J17" s="39" t="s">
        <v>34</v>
      </c>
      <c r="K17" s="70" t="str">
        <f aca="false">IFERROR(__xludf.dummyfunction("IMPORTRANGE(A20,""o7"")"),"Heather Young")</f>
        <v>Heather Young</v>
      </c>
      <c r="L17" s="71" t="n">
        <v>23</v>
      </c>
      <c r="M17" s="38" t="n">
        <f aca="false">VLOOKUP(L17,FPOSCORING,2, 0)</f>
        <v>7</v>
      </c>
      <c r="N17" s="42" t="s">
        <v>34</v>
      </c>
      <c r="O17" s="43" t="str">
        <f aca="false">IFERROR(__xludf.dummyfunction("IMPORTRANGE(A20,""W7"")"),"Paige pierce ")</f>
        <v>Paige pierce</v>
      </c>
      <c r="P17" s="72" t="n">
        <v>1</v>
      </c>
      <c r="Q17" s="38" t="n">
        <f aca="false">VLOOKUP(P17,FPOSCORING,2, 0)</f>
        <v>100</v>
      </c>
      <c r="R17" s="34" t="s">
        <v>34</v>
      </c>
      <c r="S17" s="73" t="str">
        <f aca="false">IFERROR(__xludf.dummyfunction("IMPORTRANGE(A20,""AE7"")"),"Erika stinchcomb ")</f>
        <v>Erika stinchcomb</v>
      </c>
      <c r="T17" s="74" t="n">
        <v>33</v>
      </c>
      <c r="U17" s="47" t="n">
        <f aca="false">VLOOKUP(T17,FPOSCORING,2, 0)</f>
        <v>0</v>
      </c>
      <c r="V17" s="48" t="s">
        <v>34</v>
      </c>
      <c r="W17" s="75" t="str">
        <f aca="false">IFERROR(__xludf.dummyfunction("IMPORTRANGE(A20,""Am7"")"),"Erika stinchcomb ")</f>
        <v>Erika stinchcomb</v>
      </c>
      <c r="X17" s="76" t="n">
        <v>34</v>
      </c>
      <c r="Y17" s="129" t="n">
        <f aca="false">VLOOKUP(X17,FPOSCORING,2, 0)</f>
        <v>0</v>
      </c>
      <c r="Z17" s="51"/>
      <c r="AA17" s="52" t="s">
        <v>34</v>
      </c>
      <c r="AB17" s="77" t="str">
        <f aca="false">IFERROR(__xludf.dummyfunction("IMPORTRANGE(A20,""Au7"")"),"Van Dyken ")</f>
        <v>Van Dyken</v>
      </c>
      <c r="AC17" s="78" t="n">
        <v>20</v>
      </c>
      <c r="AD17" s="130" t="n">
        <f aca="false">VLOOKUP(AC17,FPOSCORING,2, 0)</f>
        <v>12</v>
      </c>
      <c r="AE17" s="51"/>
      <c r="AF17" s="55" t="s">
        <v>34</v>
      </c>
      <c r="AG17" s="79" t="str">
        <f aca="false">IFERROR(__xludf.dummyfunction("IMPORTRANGE(A20,""bc7"")"),"Vanessa Van dyken ")</f>
        <v>Vanessa Van dyken</v>
      </c>
      <c r="AH17" s="80" t="n">
        <v>15</v>
      </c>
      <c r="AI17" s="131" t="n">
        <f aca="false">VLOOKUP(AH17,FPOSCORING,2, 0)</f>
        <v>34</v>
      </c>
      <c r="AJ17" s="51"/>
      <c r="AK17" s="58" t="s">
        <v>34</v>
      </c>
      <c r="AL17" s="81" t="str">
        <f aca="false">IFERROR(__xludf.dummyfunction("IMPORTRANGE(A20,""bk7"")"),"Vanessa van dyken ")</f>
        <v>Vanessa van dyken</v>
      </c>
      <c r="AM17" s="82" t="n">
        <v>34</v>
      </c>
      <c r="AN17" s="132" t="n">
        <f aca="false">VLOOKUP(AM17,FPOSCORING,2, 0)</f>
        <v>0</v>
      </c>
      <c r="AO17" s="51"/>
      <c r="AP17" s="61" t="s">
        <v>34</v>
      </c>
      <c r="AQ17" s="83" t="str">
        <f aca="false">IFERROR(__xludf.dummyfunction("IMPORTRANGE(A20,""bs7"")"),"Vanessa VD")</f>
        <v>Vanessa VD</v>
      </c>
      <c r="AR17" s="84" t="n">
        <v>29</v>
      </c>
      <c r="AS17" s="133" t="n">
        <f aca="false">VLOOKUP(AR17,MPOSCORING,2, 0)</f>
        <v>49</v>
      </c>
      <c r="AT17" s="51"/>
      <c r="AU17" s="64" t="s">
        <v>34</v>
      </c>
      <c r="AV17" s="85" t="str">
        <f aca="false">IFERROR(__xludf.dummyfunction("IMPORTRANGE(A20,""ca7"")"),"VVD")</f>
        <v>VVD</v>
      </c>
      <c r="AW17" s="86" t="n">
        <v>23</v>
      </c>
      <c r="AX17" s="134" t="n">
        <f aca="false">VLOOKUP(AW17,FPOSCORING,2, 0)</f>
        <v>7</v>
      </c>
      <c r="AY17" s="32"/>
      <c r="AZ17" s="36" t="s">
        <v>34</v>
      </c>
      <c r="BA17" s="35" t="str">
        <f aca="false">IFERROR(__xludf.dummyfunction("IMPORTRANGE(A20,""ci7"")"),"VVD")</f>
        <v>VVD</v>
      </c>
      <c r="BB17" s="69" t="s">
        <v>31</v>
      </c>
      <c r="BC17" s="135" t="n">
        <f aca="false">VLOOKUP(BB17,FPOSCORING,2, 0)</f>
        <v>0</v>
      </c>
      <c r="BD17" s="32"/>
      <c r="BE17" s="42" t="s">
        <v>34</v>
      </c>
      <c r="BF17" s="43" t="str">
        <f aca="false">IFERROR(__xludf.dummyfunction("IMPORTRANGE(A20,""cq7"")"),"VVD")</f>
        <v>VVD</v>
      </c>
      <c r="BG17" s="72" t="n">
        <v>34</v>
      </c>
      <c r="BH17" s="136" t="n">
        <f aca="false">VLOOKUP(BG17,FPOSCORING,2, 0)</f>
        <v>0</v>
      </c>
      <c r="BI17" s="32"/>
      <c r="BJ17" s="64" t="s">
        <v>34</v>
      </c>
      <c r="BK17" s="85" t="str">
        <f aca="false">IFERROR(__xludf.dummyfunction("IMPORTRANGE(A20,""cy7"")"),"VVD")</f>
        <v>VVD</v>
      </c>
      <c r="BL17" s="86" t="s">
        <v>31</v>
      </c>
      <c r="BM17" s="134" t="n">
        <f aca="false">VLOOKUP(BL17,FPOSCORING,2, 0)</f>
        <v>0</v>
      </c>
      <c r="BN17" s="32"/>
      <c r="BO17" s="64" t="s">
        <v>34</v>
      </c>
      <c r="BP17" s="85" t="str">
        <f aca="false">IFERROR(__xludf.dummyfunction("IMPORTRANGE(A20,""dg7"")"),"VVD")</f>
        <v>VVD</v>
      </c>
      <c r="BQ17" s="86" t="n">
        <v>18</v>
      </c>
      <c r="BR17" s="134" t="n">
        <f aca="false">VLOOKUP(BQ17,FPOSCORING,3, 0)</f>
        <v>38</v>
      </c>
      <c r="BS17" s="33"/>
      <c r="BT17" s="64" t="s">
        <v>34</v>
      </c>
      <c r="BU17" s="85" t="str">
        <f aca="false">IFERROR(__xludf.dummyfunction("IMPORTRANGE(A20,""do7"")"),"VVD")</f>
        <v>VVD</v>
      </c>
      <c r="BV17" s="86" t="n">
        <v>13</v>
      </c>
      <c r="BW17" s="134" t="n">
        <f aca="false">VLOOKUP(BV17,FPOSCORING,2, 0)</f>
        <v>42</v>
      </c>
      <c r="BX17" s="32"/>
      <c r="BY17" s="64" t="s">
        <v>34</v>
      </c>
      <c r="BZ17" s="85" t="str">
        <f aca="false">IFERROR(__xludf.dummyfunction("IMPORTRANGE(A20,""dw7"")"),"")</f>
        <v/>
      </c>
      <c r="CA17" s="86" t="s">
        <v>31</v>
      </c>
      <c r="CB17" s="134" t="n">
        <f aca="false">VLOOKUP(CA17,FPOSCORING,2, 0)</f>
        <v>0</v>
      </c>
      <c r="CC17" s="32"/>
      <c r="CD17" s="64" t="s">
        <v>34</v>
      </c>
      <c r="CE17" s="85"/>
      <c r="CF17" s="86" t="s">
        <v>31</v>
      </c>
      <c r="CG17" s="134" t="n">
        <f aca="false">VLOOKUP(CF17,FPOSCORING,3, 0)</f>
        <v>0</v>
      </c>
      <c r="CH17" s="33"/>
    </row>
    <row r="18" customFormat="false" ht="15" hidden="false" customHeight="false" outlineLevel="0" collapsed="false">
      <c r="A18" s="128" t="str">
        <f aca="false">IFERROR(__xludf.dummyfunction("IMPORTRANGE(A20,""a1"")"),"Hogan's Humans (Sean)")</f>
        <v>Hogan's Humans (Sean)</v>
      </c>
      <c r="B18" s="48" t="s">
        <v>61</v>
      </c>
      <c r="C18" s="48"/>
      <c r="D18" s="48"/>
      <c r="E18" s="48"/>
      <c r="F18" s="36" t="s">
        <v>36</v>
      </c>
      <c r="G18" s="87" t="s">
        <v>59</v>
      </c>
      <c r="H18" s="88" t="n">
        <v>16</v>
      </c>
      <c r="I18" s="136" t="n">
        <f aca="false">VLOOKUP(H18,MPOSCORING,2, 0)</f>
        <v>73</v>
      </c>
      <c r="J18" s="39" t="s">
        <v>36</v>
      </c>
      <c r="K18" s="137" t="str">
        <f aca="false">IFERROR(__xludf.dummyfunction("IMPORTRANGE(A20,""o8"")"),"Kyle Klein ")</f>
        <v>Kyle Klein</v>
      </c>
      <c r="L18" s="89" t="n">
        <v>25</v>
      </c>
      <c r="M18" s="136" t="n">
        <f aca="false">VLOOKUP(L18,MPOSCORING,2, 0)</f>
        <v>57</v>
      </c>
      <c r="N18" s="42" t="s">
        <v>36</v>
      </c>
      <c r="O18" s="43" t="str">
        <f aca="false">IFERROR(__xludf.dummyfunction("IMPORTRANGE(A20,""W8"")"),"Kyle Klein ")</f>
        <v>Kyle Klein</v>
      </c>
      <c r="P18" s="38" t="n">
        <v>27</v>
      </c>
      <c r="Q18" s="136" t="n">
        <f aca="false">VLOOKUP(P18,MPOSCORING,2, 0)</f>
        <v>53</v>
      </c>
      <c r="R18" s="34" t="s">
        <v>36</v>
      </c>
      <c r="S18" s="90" t="str">
        <f aca="false">IFERROR(__xludf.dummyfunction("IMPORTRANGE(A20,""AE8"")"),"Kyle klien")</f>
        <v>Kyle klien</v>
      </c>
      <c r="T18" s="47" t="n">
        <v>25</v>
      </c>
      <c r="U18" s="138" t="n">
        <f aca="false">VLOOKUP(T18,MPOSCORING,2, 0)</f>
        <v>57</v>
      </c>
      <c r="V18" s="48" t="s">
        <v>36</v>
      </c>
      <c r="W18" s="91" t="str">
        <f aca="false">IFERROR(__xludf.dummyfunction("IMPORTRANGE(A20,""Am8"")"),"Kyle klien ")</f>
        <v>Kyle klien</v>
      </c>
      <c r="X18" s="92" t="n">
        <v>13</v>
      </c>
      <c r="Y18" s="129" t="n">
        <f aca="false">VLOOKUP(X18,MPOSCORING,2, 0)</f>
        <v>78</v>
      </c>
      <c r="Z18" s="51"/>
      <c r="AA18" s="52" t="s">
        <v>36</v>
      </c>
      <c r="AB18" s="93" t="str">
        <f aca="false">IFERROR(__xludf.dummyfunction("IMPORTRANGE(A20,""Au8"")"),"Kyle klien ")</f>
        <v>Kyle klien</v>
      </c>
      <c r="AC18" s="94" t="n">
        <v>19</v>
      </c>
      <c r="AD18" s="130" t="n">
        <f aca="false">VLOOKUP(AC18,MPOSCORING,2, 0)</f>
        <v>67</v>
      </c>
      <c r="AE18" s="51"/>
      <c r="AF18" s="55" t="s">
        <v>36</v>
      </c>
      <c r="AG18" s="95" t="str">
        <f aca="false">IFERROR(__xludf.dummyfunction("IMPORTRANGE(A20,""bc8"")"),"Kyle Klein ")</f>
        <v>Kyle Klein</v>
      </c>
      <c r="AH18" s="96" t="n">
        <v>17</v>
      </c>
      <c r="AI18" s="131" t="n">
        <f aca="false">VLOOKUP(AH18,MPOSCORING,2, 0)</f>
        <v>71</v>
      </c>
      <c r="AJ18" s="51"/>
      <c r="AK18" s="58" t="s">
        <v>36</v>
      </c>
      <c r="AL18" s="97" t="str">
        <f aca="false">IFERROR(__xludf.dummyfunction("IMPORTRANGE(A20,""bk8"")"),"Kyle Klein ")</f>
        <v>Kyle Klein</v>
      </c>
      <c r="AM18" s="98" t="n">
        <v>3</v>
      </c>
      <c r="AN18" s="132" t="n">
        <f aca="false">VLOOKUP(AM18,MPOSCORING,2, 0)</f>
        <v>96</v>
      </c>
      <c r="AO18" s="51"/>
      <c r="AP18" s="61" t="s">
        <v>37</v>
      </c>
      <c r="AQ18" s="99" t="str">
        <f aca="false">IFERROR(__xludf.dummyfunction("IMPORTRANGE(A20,""bs8"")"),"")</f>
        <v/>
      </c>
      <c r="AR18" s="100" t="s">
        <v>31</v>
      </c>
      <c r="AS18" s="133" t="n">
        <f aca="false">VLOOKUP(AR18,MPOSCORING,2, 0)</f>
        <v>0</v>
      </c>
      <c r="AT18" s="51"/>
      <c r="AU18" s="64" t="s">
        <v>36</v>
      </c>
      <c r="AV18" s="101" t="str">
        <f aca="false">IFERROR(__xludf.dummyfunction("IMPORTRANGE(A20,""ca8"")"),"K Klein ")</f>
        <v>K Klein</v>
      </c>
      <c r="AW18" s="102" t="n">
        <v>3</v>
      </c>
      <c r="AX18" s="134" t="n">
        <f aca="false">VLOOKUP(AW18,MPOSCORING,2, 0)</f>
        <v>96</v>
      </c>
      <c r="AY18" s="32"/>
      <c r="AZ18" s="36" t="s">
        <v>36</v>
      </c>
      <c r="BA18" s="87" t="str">
        <f aca="false">IFERROR(__xludf.dummyfunction("IMPORTRANGE(A20,""ci8"")"),"K. Klien ")</f>
        <v>K. Klien</v>
      </c>
      <c r="BB18" s="88" t="n">
        <v>6</v>
      </c>
      <c r="BC18" s="135" t="n">
        <f aca="false">VLOOKUP(BB18,MPOSCORING,2, 0)</f>
        <v>91</v>
      </c>
      <c r="BD18" s="32"/>
      <c r="BE18" s="42" t="s">
        <v>36</v>
      </c>
      <c r="BF18" s="103" t="str">
        <f aca="false">IFERROR(__xludf.dummyfunction("IMPORTRANGE(A20,""cq8"")"),"K.Klein")</f>
        <v>K.Klein</v>
      </c>
      <c r="BG18" s="38" t="n">
        <v>7</v>
      </c>
      <c r="BH18" s="136" t="n">
        <f aca="false">VLOOKUP(BG18,MPOSCORING,2, 0)</f>
        <v>89</v>
      </c>
      <c r="BI18" s="32"/>
      <c r="BJ18" s="64" t="s">
        <v>36</v>
      </c>
      <c r="BK18" s="101" t="str">
        <f aca="false">IFERROR(__xludf.dummyfunction("IMPORTRANGE(A20,""cy8"")"),"KK")</f>
        <v>KK</v>
      </c>
      <c r="BL18" s="102" t="n">
        <v>7</v>
      </c>
      <c r="BM18" s="134" t="n">
        <f aca="false">VLOOKUP(BL18,MPOSCORING,2, 0)</f>
        <v>89</v>
      </c>
      <c r="BN18" s="32"/>
      <c r="BO18" s="64" t="s">
        <v>36</v>
      </c>
      <c r="BP18" s="101" t="str">
        <f aca="false">IFERROR(__xludf.dummyfunction("IMPORTRANGE(A20,""dg8"")"),"KK")</f>
        <v>KK</v>
      </c>
      <c r="BQ18" s="102" t="n">
        <v>23</v>
      </c>
      <c r="BR18" s="134" t="n">
        <f aca="false">VLOOKUP(BQ18,MPOSCORING,3, 0)</f>
        <v>120</v>
      </c>
      <c r="BS18" s="33"/>
      <c r="BT18" s="64" t="s">
        <v>36</v>
      </c>
      <c r="BU18" s="101" t="str">
        <f aca="false">IFERROR(__xludf.dummyfunction("IMPORTRANGE(A20,""do8"")"),"KK")</f>
        <v>KK</v>
      </c>
      <c r="BV18" s="102" t="n">
        <v>21</v>
      </c>
      <c r="BW18" s="134" t="n">
        <f aca="false">VLOOKUP(BV18,MPOSCORING,2, 0)</f>
        <v>64</v>
      </c>
      <c r="BX18" s="32"/>
      <c r="BY18" s="64" t="s">
        <v>36</v>
      </c>
      <c r="BZ18" s="101" t="str">
        <f aca="false">IFERROR(__xludf.dummyfunction("IMPORTRANGE(A20,""dw8"")"),"")</f>
        <v/>
      </c>
      <c r="CA18" s="102" t="s">
        <v>31</v>
      </c>
      <c r="CB18" s="134" t="n">
        <f aca="false">VLOOKUP(CA18,MPOSCORING,2, 0)</f>
        <v>0</v>
      </c>
      <c r="CC18" s="32"/>
      <c r="CD18" s="64" t="s">
        <v>36</v>
      </c>
      <c r="CE18" s="101"/>
      <c r="CF18" s="102" t="s">
        <v>31</v>
      </c>
      <c r="CG18" s="134" t="n">
        <f aca="false">VLOOKUP(CF18,MPOSCORING,3, 0)</f>
        <v>0</v>
      </c>
      <c r="CH18" s="33"/>
    </row>
    <row r="19" customFormat="false" ht="15" hidden="false" customHeight="false" outlineLevel="0" collapsed="false">
      <c r="A19" s="128" t="str">
        <f aca="false">IFERROR(__xludf.dummyfunction("IMPORTRANGE(A20,""a1"")"),"Hogan's Humans (Sean)")</f>
        <v>Hogan's Humans (Sean)</v>
      </c>
      <c r="B19" s="48" t="s">
        <v>62</v>
      </c>
      <c r="C19" s="48"/>
      <c r="D19" s="48"/>
      <c r="E19" s="48"/>
      <c r="F19" s="36" t="s">
        <v>39</v>
      </c>
      <c r="G19" s="139" t="s">
        <v>63</v>
      </c>
      <c r="H19" s="88" t="n">
        <v>16</v>
      </c>
      <c r="I19" s="136" t="n">
        <f aca="false">VLOOKUP(H19,MPOSCORING,2, 0)</f>
        <v>73</v>
      </c>
      <c r="J19" s="39" t="s">
        <v>39</v>
      </c>
      <c r="K19" s="105" t="str">
        <f aca="false">IFERROR(__xludf.dummyfunction("IMPORTRANGE(A20,""o9"")"),"B. Will")</f>
        <v>B. Will</v>
      </c>
      <c r="L19" s="41" t="n">
        <v>85</v>
      </c>
      <c r="M19" s="136" t="n">
        <f aca="false">VLOOKUP(L19,MPOSCORING,2, 0)</f>
        <v>0</v>
      </c>
      <c r="N19" s="42" t="s">
        <v>39</v>
      </c>
      <c r="O19" s="43" t="str">
        <f aca="false">IFERROR(__xludf.dummyfunction("IMPORTRANGE(A20,""w9"")"),"Albert Tamm")</f>
        <v>Albert Tamm</v>
      </c>
      <c r="P19" s="44" t="n">
        <v>57</v>
      </c>
      <c r="Q19" s="136" t="n">
        <f aca="false">VLOOKUP(P19,MPOSCORING,2, 0)</f>
        <v>0</v>
      </c>
      <c r="R19" s="34" t="s">
        <v>39</v>
      </c>
      <c r="S19" s="106" t="str">
        <f aca="false">IFERROR(__xludf.dummyfunction("IMPORTRANGE(A20,""AE9"")"),"Chris clemons")</f>
        <v>Chris clemons</v>
      </c>
      <c r="T19" s="46" t="n">
        <v>31</v>
      </c>
      <c r="U19" s="138" t="n">
        <f aca="false">VLOOKUP(T19,MPOSCORING,2, 0)</f>
        <v>46</v>
      </c>
      <c r="V19" s="48" t="s">
        <v>39</v>
      </c>
      <c r="W19" s="107" t="str">
        <f aca="false">IFERROR(__xludf.dummyfunction("IMPORTRANGE(A20,""Am9"")"),"B. Will")</f>
        <v>B. Will</v>
      </c>
      <c r="X19" s="50" t="n">
        <v>17</v>
      </c>
      <c r="Y19" s="129" t="n">
        <f aca="false">VLOOKUP(X19,MPOSCORING,2, 0)</f>
        <v>71</v>
      </c>
      <c r="Z19" s="51"/>
      <c r="AA19" s="52" t="s">
        <v>39</v>
      </c>
      <c r="AB19" s="108" t="str">
        <f aca="false">IFERROR(__xludf.dummyfunction("IMPORTRANGE(A20,""Au9"")"),"B. Will")</f>
        <v>B. Will</v>
      </c>
      <c r="AC19" s="54" t="n">
        <v>27</v>
      </c>
      <c r="AD19" s="130" t="n">
        <f aca="false">VLOOKUP(AC19,MPOSCORING,2, 0)</f>
        <v>53</v>
      </c>
      <c r="AE19" s="51"/>
      <c r="AF19" s="55" t="s">
        <v>39</v>
      </c>
      <c r="AG19" s="109" t="str">
        <f aca="false">IFERROR(__xludf.dummyfunction("IMPORTRANGE(A20,""bc9"")"),"Chris Clemons ")</f>
        <v>Chris Clemons</v>
      </c>
      <c r="AH19" s="57" t="n">
        <v>12</v>
      </c>
      <c r="AI19" s="131" t="n">
        <f aca="false">VLOOKUP(AH19,MPOSCORING,2, 0)</f>
        <v>80</v>
      </c>
      <c r="AJ19" s="51"/>
      <c r="AK19" s="58" t="s">
        <v>39</v>
      </c>
      <c r="AL19" s="110" t="str">
        <f aca="false">IFERROR(__xludf.dummyfunction("IMPORTRANGE(A20,""bk9"")"),"Chris Clemons ")</f>
        <v>Chris Clemons</v>
      </c>
      <c r="AM19" s="60" t="n">
        <v>40</v>
      </c>
      <c r="AN19" s="132" t="n">
        <f aca="false">VLOOKUP(AM19,MPOSCORING,2, 0)</f>
        <v>29</v>
      </c>
      <c r="AO19" s="51"/>
      <c r="AP19" s="61" t="s">
        <v>40</v>
      </c>
      <c r="AQ19" s="111" t="str">
        <f aca="false">IFERROR(__xludf.dummyfunction("IMPORTRANGE(A20,""bs9"")"),"")</f>
        <v/>
      </c>
      <c r="AR19" s="63" t="s">
        <v>31</v>
      </c>
      <c r="AS19" s="133" t="n">
        <f aca="false">VLOOKUP(AR19,MPOSCORING,2, 0)</f>
        <v>0</v>
      </c>
      <c r="AT19" s="51"/>
      <c r="AU19" s="64" t="s">
        <v>39</v>
      </c>
      <c r="AV19" s="112" t="str">
        <f aca="false">IFERROR(__xludf.dummyfunction("IMPORTRANGE(A20,""ca9"")"),"B. Will")</f>
        <v>B. Will</v>
      </c>
      <c r="AW19" s="66" t="n">
        <v>13</v>
      </c>
      <c r="AX19" s="134" t="n">
        <f aca="false">VLOOKUP(AW19,MPOSCORING,2, 0)</f>
        <v>78</v>
      </c>
      <c r="AY19" s="32"/>
      <c r="AZ19" s="36" t="s">
        <v>39</v>
      </c>
      <c r="BA19" s="139" t="str">
        <f aca="false">IFERROR(__xludf.dummyfunction("IMPORTRANGE(A20,""ci9"")"),"B.Will")</f>
        <v>B.Will</v>
      </c>
      <c r="BB19" s="37" t="n">
        <v>31</v>
      </c>
      <c r="BC19" s="135" t="n">
        <f aca="false">VLOOKUP(BB19,MPOSCORING,2, 0)</f>
        <v>46</v>
      </c>
      <c r="BD19" s="32"/>
      <c r="BE19" s="42" t="s">
        <v>39</v>
      </c>
      <c r="BF19" s="114" t="str">
        <f aca="false">IFERROR(__xludf.dummyfunction("IMPORTRANGE(A20,""cq9"")"),"C.Clemons")</f>
        <v>C.Clemons</v>
      </c>
      <c r="BG19" s="44" t="n">
        <v>8</v>
      </c>
      <c r="BH19" s="136" t="n">
        <f aca="false">VLOOKUP(BG19,MPOSCORING,2, 0)</f>
        <v>87</v>
      </c>
      <c r="BI19" s="32"/>
      <c r="BJ19" s="64" t="s">
        <v>39</v>
      </c>
      <c r="BK19" s="112" t="str">
        <f aca="false">IFERROR(__xludf.dummyfunction("IMPORTRANGE(A20,""cy9"")"),"B.Will")</f>
        <v>B.Will</v>
      </c>
      <c r="BL19" s="66" t="n">
        <v>47</v>
      </c>
      <c r="BM19" s="134" t="n">
        <f aca="false">VLOOKUP(BL19,MPOSCORING,2, 0)</f>
        <v>15</v>
      </c>
      <c r="BN19" s="32"/>
      <c r="BO19" s="64" t="s">
        <v>39</v>
      </c>
      <c r="BP19" s="112" t="str">
        <f aca="false">IFERROR(__xludf.dummyfunction("IMPORTRANGE(A20,""dg9"")"),"C. Clemons")</f>
        <v>C. Clemons</v>
      </c>
      <c r="BQ19" s="66" t="n">
        <v>3</v>
      </c>
      <c r="BR19" s="134" t="n">
        <f aca="false">VLOOKUP(BQ19,MPOSCORING,3, 0)</f>
        <v>192</v>
      </c>
      <c r="BS19" s="33"/>
      <c r="BT19" s="64" t="s">
        <v>39</v>
      </c>
      <c r="BU19" s="112" t="str">
        <f aca="false">IFERROR(__xludf.dummyfunction("IMPORTRANGE(A20,""do9"")"),"Clemonade")</f>
        <v>Clemonade</v>
      </c>
      <c r="BV19" s="66" t="n">
        <v>22</v>
      </c>
      <c r="BW19" s="134" t="n">
        <f aca="false">VLOOKUP(BV19,MPOSCORING,2, 0)</f>
        <v>62</v>
      </c>
      <c r="BX19" s="32"/>
      <c r="BY19" s="64" t="s">
        <v>39</v>
      </c>
      <c r="BZ19" s="112" t="str">
        <f aca="false">IFERROR(__xludf.dummyfunction("IMPORTRANGE(A20,""dw9"")"),"")</f>
        <v/>
      </c>
      <c r="CA19" s="66" t="s">
        <v>31</v>
      </c>
      <c r="CB19" s="134" t="n">
        <f aca="false">VLOOKUP(CA19,MPOSCORING,2, 0)</f>
        <v>0</v>
      </c>
      <c r="CC19" s="32"/>
      <c r="CD19" s="64" t="s">
        <v>39</v>
      </c>
      <c r="CE19" s="112"/>
      <c r="CF19" s="66" t="s">
        <v>31</v>
      </c>
      <c r="CG19" s="134" t="n">
        <f aca="false">VLOOKUP(CF19,MPOSCORING,3, 0)</f>
        <v>0</v>
      </c>
      <c r="CH19" s="33"/>
    </row>
    <row r="20" customFormat="false" ht="15" hidden="false" customHeight="false" outlineLevel="0" collapsed="false">
      <c r="A20" s="128" t="str">
        <f aca="false">IFERROR(__xludf.dummyfunction("IMPORTRANGE(A20,""a1"")"),"Hogan's Humans (Sean)")</f>
        <v>Hogan's Humans (Sean)</v>
      </c>
      <c r="B20" s="48" t="s">
        <v>64</v>
      </c>
      <c r="C20" s="48"/>
      <c r="D20" s="48"/>
      <c r="E20" s="48"/>
      <c r="F20" s="36" t="s">
        <v>42</v>
      </c>
      <c r="G20" s="139" t="s">
        <v>65</v>
      </c>
      <c r="H20" s="88" t="n">
        <v>3</v>
      </c>
      <c r="I20" s="136" t="n">
        <f aca="false">VLOOKUP(H20,MPOSCORING,2, 0)</f>
        <v>96</v>
      </c>
      <c r="J20" s="39" t="s">
        <v>42</v>
      </c>
      <c r="K20" s="105" t="str">
        <f aca="false">IFERROR(__xludf.dummyfunction("IMPORTRANGE(A20,""o10"")"),"Chris Clemons ")</f>
        <v>Chris Clemons</v>
      </c>
      <c r="L20" s="41" t="n">
        <v>25</v>
      </c>
      <c r="M20" s="136" t="n">
        <f aca="false">VLOOKUP(L20,MPOSCORING,2, 0)</f>
        <v>57</v>
      </c>
      <c r="N20" s="42" t="s">
        <v>42</v>
      </c>
      <c r="O20" s="43" t="str">
        <f aca="false">IFERROR(__xludf.dummyfunction("IMPORTRANGE(A20,""w10"")"),"B.will")</f>
        <v>B.will</v>
      </c>
      <c r="P20" s="44" t="n">
        <v>48</v>
      </c>
      <c r="Q20" s="136" t="n">
        <f aca="false">VLOOKUP(P20,MPOSCORING,2, 0)</f>
        <v>13</v>
      </c>
      <c r="R20" s="34" t="s">
        <v>42</v>
      </c>
      <c r="S20" s="106" t="str">
        <f aca="false">IFERROR(__xludf.dummyfunction("IMPORTRANGE(A20,""AE10"")"),"B. Will")</f>
        <v>B. Will</v>
      </c>
      <c r="T20" s="46" t="n">
        <v>31</v>
      </c>
      <c r="U20" s="138" t="n">
        <f aca="false">VLOOKUP(T20,MPOSCORING,2, 0)</f>
        <v>46</v>
      </c>
      <c r="V20" s="48" t="s">
        <v>42</v>
      </c>
      <c r="W20" s="107" t="str">
        <f aca="false">IFERROR(__xludf.dummyfunction("IMPORTRANGE(A20,""Am10"")"),"Chris Clemons ")</f>
        <v>Chris Clemons</v>
      </c>
      <c r="X20" s="50" t="n">
        <v>17</v>
      </c>
      <c r="Y20" s="129" t="n">
        <f aca="false">VLOOKUP(X20,MPOSCORING,2, 0)</f>
        <v>71</v>
      </c>
      <c r="Z20" s="51"/>
      <c r="AA20" s="52" t="s">
        <v>42</v>
      </c>
      <c r="AB20" s="108" t="str">
        <f aca="false">IFERROR(__xludf.dummyfunction("IMPORTRANGE(A20,""Au10"")"),"Chris Clemons ")</f>
        <v>Chris Clemons</v>
      </c>
      <c r="AC20" s="54" t="n">
        <v>19</v>
      </c>
      <c r="AD20" s="130" t="n">
        <f aca="false">VLOOKUP(AC20,MPOSCORING,2, 0)</f>
        <v>67</v>
      </c>
      <c r="AE20" s="51"/>
      <c r="AF20" s="55" t="s">
        <v>42</v>
      </c>
      <c r="AG20" s="109" t="str">
        <f aca="false">IFERROR(__xludf.dummyfunction("IMPORTRANGE(A20,""BC10"")"),"Brad Will")</f>
        <v>Brad Will</v>
      </c>
      <c r="AH20" s="57" t="s">
        <v>30</v>
      </c>
      <c r="AI20" s="131" t="n">
        <f aca="false">VLOOKUP(AH20,MPOSCORING,2, 0)</f>
        <v>0</v>
      </c>
      <c r="AJ20" s="51"/>
      <c r="AK20" s="58" t="s">
        <v>42</v>
      </c>
      <c r="AL20" s="110" t="str">
        <f aca="false">IFERROR(__xludf.dummyfunction("IMPORTRANGE(A20,""Bk10"")"),"Albert Tamm")</f>
        <v>Albert Tamm</v>
      </c>
      <c r="AM20" s="60" t="n">
        <v>6</v>
      </c>
      <c r="AN20" s="132" t="n">
        <f aca="false">VLOOKUP(AM20,MPOSCORING,2, 0)</f>
        <v>91</v>
      </c>
      <c r="AO20" s="51"/>
      <c r="AP20" s="61" t="s">
        <v>43</v>
      </c>
      <c r="AQ20" s="111" t="str">
        <f aca="false">IFERROR(__xludf.dummyfunction("IMPORTRANGE(A20,""Bs10"")"),"")</f>
        <v/>
      </c>
      <c r="AR20" s="63" t="s">
        <v>31</v>
      </c>
      <c r="AS20" s="133" t="n">
        <f aca="false">VLOOKUP(AR20,MPOSCORING,2, 0)</f>
        <v>0</v>
      </c>
      <c r="AT20" s="51"/>
      <c r="AU20" s="64" t="s">
        <v>42</v>
      </c>
      <c r="AV20" s="112" t="str">
        <f aca="false">IFERROR(__xludf.dummyfunction("IMPORTRANGE(A20,""ca10"")"),"Bert Tamm")</f>
        <v>Bert Tamm</v>
      </c>
      <c r="AW20" s="66" t="n">
        <v>49</v>
      </c>
      <c r="AX20" s="134" t="n">
        <f aca="false">VLOOKUP(AW20,MPOSCORING,2, 0)</f>
        <v>12</v>
      </c>
      <c r="AY20" s="32"/>
      <c r="AZ20" s="36" t="s">
        <v>42</v>
      </c>
      <c r="BA20" s="139" t="str">
        <f aca="false">IFERROR(__xludf.dummyfunction("IMPORTRANGE(A20,""ci10"")"),"C. Clemons")</f>
        <v>C. Clemons</v>
      </c>
      <c r="BB20" s="37" t="n">
        <v>15</v>
      </c>
      <c r="BC20" s="135" t="n">
        <f aca="false">VLOOKUP(BB20,MPOSCORING,2, 0)</f>
        <v>75</v>
      </c>
      <c r="BD20" s="32"/>
      <c r="BE20" s="42" t="s">
        <v>42</v>
      </c>
      <c r="BF20" s="114" t="str">
        <f aca="false">IFERROR(__xludf.dummyfunction("IMPORTRANGE(A20,""cq10"")"),"A.Tamm")</f>
        <v>A.Tamm</v>
      </c>
      <c r="BG20" s="44" t="n">
        <v>26</v>
      </c>
      <c r="BH20" s="136" t="n">
        <f aca="false">VLOOKUP(BG20,MPOSCORING,2, 0)</f>
        <v>55</v>
      </c>
      <c r="BI20" s="32"/>
      <c r="BJ20" s="64" t="s">
        <v>42</v>
      </c>
      <c r="BK20" s="112" t="str">
        <f aca="false">IFERROR(__xludf.dummyfunction("IMPORTRANGE(A20,""cy10"")"),"A.Tamm")</f>
        <v>A.Tamm</v>
      </c>
      <c r="BL20" s="66" t="n">
        <v>35</v>
      </c>
      <c r="BM20" s="134" t="n">
        <f aca="false">VLOOKUP(BL20,MPOSCORING,2, 0)</f>
        <v>38</v>
      </c>
      <c r="BN20" s="32"/>
      <c r="BO20" s="64" t="s">
        <v>42</v>
      </c>
      <c r="BP20" s="112" t="str">
        <f aca="false">IFERROR(__xludf.dummyfunction("IMPORTRANGE(A20,""dg10"")"),"L.Humph")</f>
        <v>L.Humph</v>
      </c>
      <c r="BQ20" s="66" t="n">
        <v>51</v>
      </c>
      <c r="BR20" s="134" t="n">
        <f aca="false">VLOOKUP(BQ20,MPOSCORING,3, 0)</f>
        <v>20</v>
      </c>
      <c r="BS20" s="33"/>
      <c r="BT20" s="64" t="s">
        <v>42</v>
      </c>
      <c r="BU20" s="112" t="str">
        <f aca="false">IFERROR(__xludf.dummyfunction("IMPORTRANGE(A20,""do10"")"),"B.Will")</f>
        <v>B.Will</v>
      </c>
      <c r="BV20" s="66" t="n">
        <v>12</v>
      </c>
      <c r="BW20" s="134" t="n">
        <f aca="false">VLOOKUP(BV20,MPOSCORING,2, 0)</f>
        <v>80</v>
      </c>
      <c r="BX20" s="32"/>
      <c r="BY20" s="64" t="s">
        <v>42</v>
      </c>
      <c r="BZ20" s="112" t="str">
        <f aca="false">IFERROR(__xludf.dummyfunction("IMPORTRANGE(A20,""dw10"") "),"")</f>
        <v/>
      </c>
      <c r="CA20" s="66" t="s">
        <v>31</v>
      </c>
      <c r="CB20" s="134" t="n">
        <f aca="false">VLOOKUP(CA20,MPOSCORING,2, 0)</f>
        <v>0</v>
      </c>
      <c r="CC20" s="32"/>
      <c r="CD20" s="64" t="s">
        <v>42</v>
      </c>
      <c r="CE20" s="112"/>
      <c r="CF20" s="66" t="s">
        <v>31</v>
      </c>
      <c r="CG20" s="134" t="n">
        <f aca="false">VLOOKUP(CF20,MPOSCORING,3, 0)</f>
        <v>0</v>
      </c>
      <c r="CH20" s="33"/>
    </row>
    <row r="21" customFormat="false" ht="17.25" hidden="false" customHeight="true" outlineLevel="0" collapsed="false">
      <c r="A21" s="128" t="str">
        <f aca="false">IFERROR(__xludf.dummyfunction("IMPORTRANGE(A20,""a1"")"),"Hogan's Humans (Sean)")</f>
        <v>Hogan's Humans (Sean)</v>
      </c>
      <c r="B21" s="48" t="s">
        <v>66</v>
      </c>
      <c r="C21" s="48"/>
      <c r="D21" s="48"/>
      <c r="E21" s="48"/>
      <c r="F21" s="36" t="s">
        <v>45</v>
      </c>
      <c r="G21" s="139" t="s">
        <v>67</v>
      </c>
      <c r="H21" s="88" t="n">
        <v>70</v>
      </c>
      <c r="I21" s="136" t="n">
        <f aca="false">VLOOKUP(H21,MPOSCORING,2, 0)</f>
        <v>0</v>
      </c>
      <c r="J21" s="39" t="s">
        <v>45</v>
      </c>
      <c r="K21" s="105" t="str">
        <f aca="false">IFERROR(__xludf.dummyfunction("IMPORTRANGE(A20,""o11"")"),"Luke Humphries")</f>
        <v>Luke Humphries</v>
      </c>
      <c r="L21" s="41" t="n">
        <v>45</v>
      </c>
      <c r="M21" s="136" t="n">
        <f aca="false">VLOOKUP(L21,MPOSCORING,2, 0)</f>
        <v>19</v>
      </c>
      <c r="N21" s="42" t="s">
        <v>45</v>
      </c>
      <c r="O21" s="43" t="str">
        <f aca="false">IFERROR(__xludf.dummyfunction("IMPORTRANGE(A20,""W11"")"),"Chris Clemons")</f>
        <v>Chris Clemons</v>
      </c>
      <c r="P21" s="44" t="n">
        <v>27</v>
      </c>
      <c r="Q21" s="136" t="n">
        <f aca="false">VLOOKUP(P21,MPOSCORING,2, 0)</f>
        <v>53</v>
      </c>
      <c r="R21" s="34" t="s">
        <v>45</v>
      </c>
      <c r="S21" s="106" t="str">
        <f aca="false">IFERROR(__xludf.dummyfunction("IMPORTRANGE(A20,""AE11"")"),"Albert Tamm")</f>
        <v>Albert Tamm</v>
      </c>
      <c r="T21" s="46" t="n">
        <v>31</v>
      </c>
      <c r="U21" s="138" t="n">
        <f aca="false">VLOOKUP(T21,MPOSCORING,2, 0)</f>
        <v>46</v>
      </c>
      <c r="V21" s="48" t="s">
        <v>45</v>
      </c>
      <c r="W21" s="107" t="str">
        <f aca="false">IFERROR(__xludf.dummyfunction("IMPORTRANGE(A20,""Am11"")"),"Albert Tamm")</f>
        <v>Albert Tamm</v>
      </c>
      <c r="X21" s="50" t="n">
        <v>58</v>
      </c>
      <c r="Y21" s="129" t="n">
        <f aca="false">VLOOKUP(X21,MPOSCORING,2, 0)</f>
        <v>0</v>
      </c>
      <c r="Z21" s="51"/>
      <c r="AA21" s="52" t="s">
        <v>45</v>
      </c>
      <c r="AB21" s="108" t="str">
        <f aca="false">IFERROR(__xludf.dummyfunction("IMPORTRANGE(A20,""Au11"")"),"Luke Humphries ")</f>
        <v>Luke Humphries</v>
      </c>
      <c r="AC21" s="54" t="n">
        <v>53</v>
      </c>
      <c r="AD21" s="130" t="n">
        <f aca="false">VLOOKUP(AC21,MPOSCORING,2, 0)</f>
        <v>7</v>
      </c>
      <c r="AE21" s="51"/>
      <c r="AF21" s="55" t="s">
        <v>45</v>
      </c>
      <c r="AG21" s="109" t="str">
        <f aca="false">IFERROR(__xludf.dummyfunction("IMPORTRANGE(A20,""bc11"")"),"Luke Humphries")</f>
        <v>Luke Humphries</v>
      </c>
      <c r="AH21" s="57" t="n">
        <v>69</v>
      </c>
      <c r="AI21" s="131" t="n">
        <f aca="false">VLOOKUP(AH21,MPOSCORING,2, 0)</f>
        <v>0</v>
      </c>
      <c r="AJ21" s="51"/>
      <c r="AK21" s="58" t="s">
        <v>45</v>
      </c>
      <c r="AL21" s="110" t="str">
        <f aca="false">IFERROR(__xludf.dummyfunction("IMPORTRANGE(A20,""bk11"")"),"Luke Humphries ")</f>
        <v>Luke Humphries</v>
      </c>
      <c r="AM21" s="60" t="n">
        <v>58</v>
      </c>
      <c r="AN21" s="132" t="n">
        <f aca="false">VLOOKUP(AM21,MPOSCORING,2, 0)</f>
        <v>0</v>
      </c>
      <c r="AO21" s="51"/>
      <c r="AP21" s="61" t="s">
        <v>46</v>
      </c>
      <c r="AQ21" s="111" t="str">
        <f aca="false">IFERROR(__xludf.dummyfunction("IMPORTRANGE(A20,""bs11"")"),"")</f>
        <v/>
      </c>
      <c r="AR21" s="63" t="s">
        <v>31</v>
      </c>
      <c r="AS21" s="133" t="n">
        <f aca="false">VLOOKUP(AR21,MPOSCORING,2, 0)</f>
        <v>0</v>
      </c>
      <c r="AT21" s="51"/>
      <c r="AU21" s="64" t="s">
        <v>45</v>
      </c>
      <c r="AV21" s="112" t="str">
        <f aca="false">IFERROR(__xludf.dummyfunction("IMPORTRANGE(A20,""ca11"")"),"Clemonade")</f>
        <v>Clemonade</v>
      </c>
      <c r="AW21" s="66" t="n">
        <v>4</v>
      </c>
      <c r="AX21" s="134" t="n">
        <f aca="false">VLOOKUP(AW21,MPOSCORING,2, 0)</f>
        <v>94</v>
      </c>
      <c r="AY21" s="32"/>
      <c r="AZ21" s="36" t="s">
        <v>45</v>
      </c>
      <c r="BA21" s="139" t="str">
        <f aca="false">IFERROR(__xludf.dummyfunction("IMPORTRANGE(A20,""ci11"")"),"Bert Tamm")</f>
        <v>Bert Tamm</v>
      </c>
      <c r="BB21" s="37" t="n">
        <v>15</v>
      </c>
      <c r="BC21" s="135" t="n">
        <f aca="false">VLOOKUP(BB21,MPOSCORING,2, 0)</f>
        <v>75</v>
      </c>
      <c r="BD21" s="32"/>
      <c r="BE21" s="42" t="s">
        <v>45</v>
      </c>
      <c r="BF21" s="114" t="str">
        <f aca="false">IFERROR(__xludf.dummyfunction("IMPORTRANGE(A20,""cq11"")"),"B.Will")</f>
        <v>B.Will</v>
      </c>
      <c r="BG21" s="44" t="n">
        <v>32</v>
      </c>
      <c r="BH21" s="136" t="n">
        <f aca="false">VLOOKUP(BG21,MPOSCORING,2, 0)</f>
        <v>44</v>
      </c>
      <c r="BI21" s="32"/>
      <c r="BJ21" s="64" t="s">
        <v>45</v>
      </c>
      <c r="BK21" s="112" t="str">
        <f aca="false">IFERROR(__xludf.dummyfunction("IMPORTRANGE(A20,""cy11"")"),"C.Clemons")</f>
        <v>C.Clemons</v>
      </c>
      <c r="BL21" s="66" t="n">
        <v>12</v>
      </c>
      <c r="BM21" s="134" t="n">
        <f aca="false">VLOOKUP(BL21,MPOSCORING,2, 0)</f>
        <v>80</v>
      </c>
      <c r="BN21" s="32"/>
      <c r="BO21" s="64" t="s">
        <v>45</v>
      </c>
      <c r="BP21" s="112" t="str">
        <f aca="false">IFERROR(__xludf.dummyfunction("IMPORTRANGE(A20,""dg11"")"),"A.Tamm")</f>
        <v>A.Tamm</v>
      </c>
      <c r="BQ21" s="66" t="n">
        <v>41</v>
      </c>
      <c r="BR21" s="134" t="n">
        <f aca="false">VLOOKUP(BQ21,MPOSCORING,3, 0)</f>
        <v>54</v>
      </c>
      <c r="BS21" s="33"/>
      <c r="BT21" s="64" t="s">
        <v>45</v>
      </c>
      <c r="BU21" s="112" t="str">
        <f aca="false">IFERROR(__xludf.dummyfunction("IMPORTRANGE(A20,""do11"")"),"Bazooka")</f>
        <v>Bazooka</v>
      </c>
      <c r="BV21" s="66" t="n">
        <v>65</v>
      </c>
      <c r="BW21" s="134" t="n">
        <f aca="false">VLOOKUP(BV21,MPOSCORING,2, 0)</f>
        <v>0</v>
      </c>
      <c r="BX21" s="32"/>
      <c r="BY21" s="64" t="s">
        <v>45</v>
      </c>
      <c r="BZ21" s="112" t="str">
        <f aca="false">IFERROR(__xludf.dummyfunction("IMPORTRANGE(A20,""dw11"")"),"")</f>
        <v/>
      </c>
      <c r="CA21" s="66" t="s">
        <v>31</v>
      </c>
      <c r="CB21" s="134" t="n">
        <f aca="false">VLOOKUP(CA21,MPOSCORING,2, 0)</f>
        <v>0</v>
      </c>
      <c r="CC21" s="32"/>
      <c r="CD21" s="64" t="s">
        <v>45</v>
      </c>
      <c r="CE21" s="112"/>
      <c r="CF21" s="66" t="s">
        <v>31</v>
      </c>
      <c r="CG21" s="134" t="n">
        <f aca="false">VLOOKUP(CF21,MPOSCORING,3, 0)</f>
        <v>0</v>
      </c>
      <c r="CH21" s="33"/>
    </row>
    <row r="22" customFormat="false" ht="15" hidden="false" customHeight="false" outlineLevel="0" collapsed="false">
      <c r="A22" s="128" t="str">
        <f aca="false">IFERROR(__xludf.dummyfunction("IMPORTRANGE(A20,""a1"")"),"Hogan's Humans (Sean)")</f>
        <v>Hogan's Humans (Sean)</v>
      </c>
      <c r="B22" s="48" t="s">
        <v>68</v>
      </c>
      <c r="C22" s="48"/>
      <c r="D22" s="48"/>
      <c r="E22" s="48"/>
      <c r="F22" s="36" t="s">
        <v>48</v>
      </c>
      <c r="G22" s="139" t="s">
        <v>69</v>
      </c>
      <c r="H22" s="88" t="n">
        <v>2</v>
      </c>
      <c r="I22" s="125" t="n">
        <f aca="false">VLOOKUP(H22,MPOSCORING,2, 0)</f>
        <v>98</v>
      </c>
      <c r="J22" s="39" t="s">
        <v>48</v>
      </c>
      <c r="K22" s="105" t="str">
        <f aca="false">IFERROR(__xludf.dummyfunction("IMPORTRANGE(A20,""o12"")"),"Albert Tamm")</f>
        <v>Albert Tamm</v>
      </c>
      <c r="L22" s="41" t="n">
        <v>36</v>
      </c>
      <c r="M22" s="136" t="n">
        <f aca="false">VLOOKUP(L22,MPOSCORING,2, 0)</f>
        <v>36</v>
      </c>
      <c r="N22" s="42" t="s">
        <v>48</v>
      </c>
      <c r="O22" s="43" t="str">
        <f aca="false">IFERROR(__xludf.dummyfunction("IMPORTRANGE(A20,""w12"")"),"Nathan Queen")</f>
        <v>Nathan Queen</v>
      </c>
      <c r="P22" s="44" t="n">
        <v>51</v>
      </c>
      <c r="Q22" s="136" t="n">
        <f aca="false">VLOOKUP(P22,MPOSCORING,2, 0)</f>
        <v>9</v>
      </c>
      <c r="R22" s="34" t="s">
        <v>48</v>
      </c>
      <c r="S22" s="106" t="str">
        <f aca="false">IFERROR(__xludf.dummyfunction("IMPORTRANGE(A20,""AE12"")"),"Luke Humphries")</f>
        <v>Luke Humphries</v>
      </c>
      <c r="T22" s="46" t="n">
        <v>31</v>
      </c>
      <c r="U22" s="138" t="n">
        <f aca="false">VLOOKUP(T22,MPOSCORING,2, 0)</f>
        <v>46</v>
      </c>
      <c r="V22" s="48" t="s">
        <v>48</v>
      </c>
      <c r="W22" s="107" t="str">
        <f aca="false">IFERROR(__xludf.dummyfunction("IMPORTRANGE(A20,""Am12"")"),"Luke Humphries ")</f>
        <v>Luke Humphries</v>
      </c>
      <c r="X22" s="50" t="n">
        <v>30</v>
      </c>
      <c r="Y22" s="129" t="n">
        <f aca="false">VLOOKUP(X22,MPOSCORING,2, 0)</f>
        <v>48</v>
      </c>
      <c r="Z22" s="51"/>
      <c r="AA22" s="52" t="s">
        <v>48</v>
      </c>
      <c r="AB22" s="108" t="str">
        <f aca="false">IFERROR(__xludf.dummyfunction("IMPORTRANGE(A20,""Au12"")"),"Albert tamm")</f>
        <v>Albert tamm</v>
      </c>
      <c r="AC22" s="54" t="n">
        <v>23</v>
      </c>
      <c r="AD22" s="130" t="n">
        <f aca="false">VLOOKUP(AC22,FPOSCORING,2, 0)</f>
        <v>7</v>
      </c>
      <c r="AE22" s="51"/>
      <c r="AF22" s="55" t="s">
        <v>48</v>
      </c>
      <c r="AG22" s="109" t="str">
        <f aca="false">IFERROR(__xludf.dummyfunction("IMPORTRANGE(A20,""bc12"")"),"Albert tamm")</f>
        <v>Albert tamm</v>
      </c>
      <c r="AH22" s="57" t="n">
        <v>5</v>
      </c>
      <c r="AI22" s="131" t="n">
        <f aca="false">VLOOKUP(AH22,MPOSCORING,2, 0)</f>
        <v>93</v>
      </c>
      <c r="AJ22" s="51"/>
      <c r="AK22" s="58" t="s">
        <v>48</v>
      </c>
      <c r="AL22" s="110" t="str">
        <f aca="false">IFERROR(__xludf.dummyfunction("IMPORTRANGE(A20,""bk12"")"),"B. Will")</f>
        <v>B. Will</v>
      </c>
      <c r="AM22" s="60" t="n">
        <v>1</v>
      </c>
      <c r="AN22" s="132" t="n">
        <f aca="false">VLOOKUP(AM22,MPOSCORING,2, 0)</f>
        <v>100</v>
      </c>
      <c r="AO22" s="51"/>
      <c r="AP22" s="61" t="s">
        <v>49</v>
      </c>
      <c r="AQ22" s="111" t="str">
        <f aca="false">IFERROR(__xludf.dummyfunction("IMPORTRANGE(A20,""bs12"")"),"")</f>
        <v/>
      </c>
      <c r="AR22" s="63" t="s">
        <v>31</v>
      </c>
      <c r="AS22" s="133" t="n">
        <f aca="false">VLOOKUP(AR22,MPOSCORING,2, 0)</f>
        <v>0</v>
      </c>
      <c r="AT22" s="51"/>
      <c r="AU22" s="64" t="s">
        <v>48</v>
      </c>
      <c r="AV22" s="112" t="str">
        <f aca="false">IFERROR(__xludf.dummyfunction("IMPORTRANGE(A20,""ca12"")"),"C. Monty")</f>
        <v>C. Monty</v>
      </c>
      <c r="AW22" s="66" t="n">
        <v>80</v>
      </c>
      <c r="AX22" s="134" t="n">
        <f aca="false">VLOOKUP(AW22,MPOSCORING,2, 0)</f>
        <v>0</v>
      </c>
      <c r="AY22" s="32"/>
      <c r="AZ22" s="36" t="s">
        <v>48</v>
      </c>
      <c r="BA22" s="139" t="str">
        <f aca="false">IFERROR(__xludf.dummyfunction("IMPORTRANGE(A20,""ci12"")"),"C.Monty")</f>
        <v>C.Monty</v>
      </c>
      <c r="BB22" s="37" t="n">
        <v>57</v>
      </c>
      <c r="BC22" s="135" t="n">
        <f aca="false">VLOOKUP(BB22,MPOSCORING,2, 0)</f>
        <v>0</v>
      </c>
      <c r="BD22" s="32"/>
      <c r="BE22" s="42" t="s">
        <v>48</v>
      </c>
      <c r="BF22" s="114" t="str">
        <f aca="false">IFERROR(__xludf.dummyfunction("IMPORTRANGE(A20,""cq12"")"),"L. Humph")</f>
        <v>L. Humph</v>
      </c>
      <c r="BG22" s="44" t="n">
        <v>76</v>
      </c>
      <c r="BH22" s="136" t="n">
        <f aca="false">VLOOKUP(BG22,MPOSCORING,2, 0)</f>
        <v>0</v>
      </c>
      <c r="BI22" s="32"/>
      <c r="BJ22" s="64" t="s">
        <v>48</v>
      </c>
      <c r="BK22" s="112" t="str">
        <f aca="false">IFERROR(__xludf.dummyfunction("IMPORTRANGE(A20,""cy12"")"),"C.Monty")</f>
        <v>C.Monty</v>
      </c>
      <c r="BL22" s="66" t="n">
        <v>47</v>
      </c>
      <c r="BM22" s="134" t="n">
        <f aca="false">VLOOKUP(BL22,MPOSCORING,2, 0)</f>
        <v>15</v>
      </c>
      <c r="BN22" s="32"/>
      <c r="BO22" s="64" t="s">
        <v>48</v>
      </c>
      <c r="BP22" s="112" t="str">
        <f aca="false">IFERROR(__xludf.dummyfunction("IMPORTRANGE(A20,""dg12"")"),"B.Will")</f>
        <v>B.Will</v>
      </c>
      <c r="BQ22" s="66" t="n">
        <v>33</v>
      </c>
      <c r="BR22" s="134" t="n">
        <f aca="false">VLOOKUP(BQ22,MPOSCORING,3, 0)</f>
        <v>84</v>
      </c>
      <c r="BS22" s="33"/>
      <c r="BT22" s="64" t="s">
        <v>48</v>
      </c>
      <c r="BU22" s="112" t="str">
        <f aca="false">IFERROR(__xludf.dummyfunction("IMPORTRANGE(A20,""do12"")"),"C.Monty")</f>
        <v>C.Monty</v>
      </c>
      <c r="BV22" s="66" t="n">
        <v>35</v>
      </c>
      <c r="BW22" s="134" t="n">
        <f aca="false">VLOOKUP(BV22,MPOSCORING,2, 0)</f>
        <v>38</v>
      </c>
      <c r="BX22" s="32"/>
      <c r="BY22" s="64" t="s">
        <v>48</v>
      </c>
      <c r="BZ22" s="112" t="str">
        <f aca="false">IFERROR(__xludf.dummyfunction("IMPORTRANGE(A20,""dw12"")"),"")</f>
        <v/>
      </c>
      <c r="CA22" s="66" t="s">
        <v>31</v>
      </c>
      <c r="CB22" s="134" t="n">
        <f aca="false">VLOOKUP(CA22,MPOSCORING,2, 0)</f>
        <v>0</v>
      </c>
      <c r="CC22" s="32"/>
      <c r="CD22" s="64" t="s">
        <v>48</v>
      </c>
      <c r="CE22" s="112"/>
      <c r="CF22" s="66" t="s">
        <v>31</v>
      </c>
      <c r="CG22" s="134" t="n">
        <f aca="false">VLOOKUP(CF22,FPOSCORING,3, 0)</f>
        <v>0</v>
      </c>
      <c r="CH22" s="33"/>
    </row>
    <row r="23" customFormat="false" ht="15" hidden="false" customHeight="false" outlineLevel="0" collapsed="false">
      <c r="A23" s="128" t="str">
        <f aca="false">IFERROR(__xludf.dummyfunction("IMPORTRANGE(A20,""a1"")"),"Hogan's Humans (Sean)")</f>
        <v>Hogan's Humans (Sean)</v>
      </c>
      <c r="B23" s="48" t="s">
        <v>70</v>
      </c>
      <c r="C23" s="48"/>
      <c r="D23" s="48"/>
      <c r="E23" s="48"/>
      <c r="F23" s="36" t="s">
        <v>40</v>
      </c>
      <c r="G23" s="139" t="s">
        <v>71</v>
      </c>
      <c r="H23" s="88" t="n">
        <v>26</v>
      </c>
      <c r="I23" s="115" t="n">
        <f aca="false">VLOOKUP(H23,FPOSCORING,2, 0)</f>
        <v>0</v>
      </c>
      <c r="J23" s="39" t="s">
        <v>40</v>
      </c>
      <c r="K23" s="105" t="str">
        <f aca="false">IFERROR(__xludf.dummyfunction("IMPORTRANGE(A20,""o13"")"),"Erika stinchcomb")</f>
        <v>Erika stinchcomb</v>
      </c>
      <c r="L23" s="41" t="s">
        <v>31</v>
      </c>
      <c r="M23" s="115" t="n">
        <f aca="false">VLOOKUP(L23,MPOSCORING,2, 0)</f>
        <v>0</v>
      </c>
      <c r="N23" s="42" t="s">
        <v>40</v>
      </c>
      <c r="O23" s="43" t="str">
        <f aca="false">IFERROR(__xludf.dummyfunction("IMPORTRANGE(A20,""w13"")"),"Luke Hunphries")</f>
        <v>Luke Hunphries</v>
      </c>
      <c r="P23" s="44" t="n">
        <v>44</v>
      </c>
      <c r="Q23" s="115" t="n">
        <f aca="false">VLOOKUP(P23,MPOSCORING,2, 0)</f>
        <v>21</v>
      </c>
      <c r="R23" s="34" t="s">
        <v>40</v>
      </c>
      <c r="S23" s="106" t="str">
        <f aca="false">IFERROR(__xludf.dummyfunction("IMPORTRANGE(A20,""AE13"")"),"Nate Queen ")</f>
        <v>Nate Queen</v>
      </c>
      <c r="T23" s="46" t="n">
        <v>59</v>
      </c>
      <c r="U23" s="116" t="n">
        <f aca="false">VLOOKUP(T23,MPOSCORING,2, 0)</f>
        <v>0</v>
      </c>
      <c r="V23" s="48" t="s">
        <v>40</v>
      </c>
      <c r="W23" s="107" t="str">
        <f aca="false">IFERROR(__xludf.dummyfunction("IMPORTRANGE(A20,""Am13"")"),"Heather Young ")</f>
        <v>Heather Young</v>
      </c>
      <c r="X23" s="50" t="s">
        <v>31</v>
      </c>
      <c r="Y23" s="117" t="n">
        <f aca="false">VLOOKUP(X23,MPOSCORING,2, 0)</f>
        <v>0</v>
      </c>
      <c r="Z23" s="51"/>
      <c r="AA23" s="52" t="s">
        <v>40</v>
      </c>
      <c r="AB23" s="108" t="str">
        <f aca="false">IFERROR(__xludf.dummyfunction("IMPORTRANGE(A20,""Au13"")"),"Heather Young ")</f>
        <v>Heather Young</v>
      </c>
      <c r="AC23" s="54" t="s">
        <v>31</v>
      </c>
      <c r="AD23" s="130" t="n">
        <f aca="false">VLOOKUP(AC23,MPOSCORING,2, 0)</f>
        <v>0</v>
      </c>
      <c r="AE23" s="51"/>
      <c r="AF23" s="55" t="s">
        <v>40</v>
      </c>
      <c r="AG23" s="109" t="str">
        <f aca="false">IFERROR(__xludf.dummyfunction("IMPORTRANGE(A20,""bc13"")"),"Colten")</f>
        <v>Colten</v>
      </c>
      <c r="AH23" s="57" t="n">
        <v>37</v>
      </c>
      <c r="AI23" s="118" t="n">
        <f aca="false">VLOOKUP(AH23,MPOSCORING,2, 0)</f>
        <v>34</v>
      </c>
      <c r="AJ23" s="51"/>
      <c r="AK23" s="58" t="s">
        <v>40</v>
      </c>
      <c r="AL23" s="110" t="str">
        <f aca="false">IFERROR(__xludf.dummyfunction("IMPORTRANGE(A20,""bk13"")"),"Heather Y")</f>
        <v>Heather Y</v>
      </c>
      <c r="AM23" s="60" t="s">
        <v>31</v>
      </c>
      <c r="AN23" s="119" t="n">
        <f aca="false">VLOOKUP(AM23,MPOSCORING,2, 0)</f>
        <v>0</v>
      </c>
      <c r="AO23" s="51"/>
      <c r="AP23" s="61" t="s">
        <v>51</v>
      </c>
      <c r="AQ23" s="111" t="str">
        <f aca="false">IFERROR(__xludf.dummyfunction("IMPORTRANGE(A20,""bs13"")"),"")</f>
        <v/>
      </c>
      <c r="AR23" s="63" t="s">
        <v>31</v>
      </c>
      <c r="AS23" s="61"/>
      <c r="AT23" s="51"/>
      <c r="AU23" s="64" t="s">
        <v>40</v>
      </c>
      <c r="AV23" s="123" t="str">
        <f aca="false">IFERROR(__xludf.dummyfunction("IMPORTRANGE(A20,""ca13"")"),"Stinch")</f>
        <v>Stinch</v>
      </c>
      <c r="AW23" s="66" t="n">
        <v>40</v>
      </c>
      <c r="AX23" s="120" t="n">
        <f aca="false">VLOOKUP(AW23,MPOSCORING,2, 0)</f>
        <v>29</v>
      </c>
      <c r="AY23" s="121"/>
      <c r="AZ23" s="36" t="s">
        <v>40</v>
      </c>
      <c r="BA23" s="140" t="str">
        <f aca="false">IFERROR(__xludf.dummyfunction("IMPORTRANGE(A20,""ci13"")"),"Young")</f>
        <v>Young</v>
      </c>
      <c r="BB23" s="37" t="s">
        <v>31</v>
      </c>
      <c r="BC23" s="122" t="n">
        <f aca="false">VLOOKUP(BB23,MPOSCORING,2, 0)</f>
        <v>0</v>
      </c>
      <c r="BD23" s="121"/>
      <c r="BE23" s="42" t="s">
        <v>40</v>
      </c>
      <c r="BF23" s="114" t="str">
        <f aca="false">IFERROR(__xludf.dummyfunction("IMPORTRANGE(A20,""cq13"")"),"")</f>
        <v/>
      </c>
      <c r="BG23" s="44" t="s">
        <v>31</v>
      </c>
      <c r="BH23" s="115" t="n">
        <f aca="false">VLOOKUP(BG23,MPOSCORING,2, 0)</f>
        <v>0</v>
      </c>
      <c r="BI23" s="121"/>
      <c r="BJ23" s="64" t="s">
        <v>40</v>
      </c>
      <c r="BK23" s="123" t="str">
        <f aca="false">IFERROR(__xludf.dummyfunction("IMPORTRANGE(A20,""cy13"")"),"Queen")</f>
        <v>Queen</v>
      </c>
      <c r="BL23" s="66" t="s">
        <v>31</v>
      </c>
      <c r="BM23" s="120" t="n">
        <f aca="false">VLOOKUP(BL23,MPOSCORING,2, 0)</f>
        <v>0</v>
      </c>
      <c r="BN23" s="121"/>
      <c r="BO23" s="64" t="s">
        <v>40</v>
      </c>
      <c r="BP23" s="123" t="str">
        <f aca="false">IFERROR(__xludf.dummyfunction("IMPORTRANGE(A20,""dg13"")"),"H.Y")</f>
        <v>H.Y</v>
      </c>
      <c r="BQ23" s="66" t="s">
        <v>31</v>
      </c>
      <c r="BR23" s="120" t="n">
        <f aca="false">VLOOKUP(BQ23,MPOSCORING,2, 0)*2</f>
        <v>0</v>
      </c>
      <c r="BS23" s="124"/>
      <c r="BT23" s="64" t="s">
        <v>40</v>
      </c>
      <c r="BU23" s="123" t="str">
        <f aca="false">IFERROR(__xludf.dummyfunction("IMPORTRANGE(A20,""do13"")"),"HY")</f>
        <v>HY</v>
      </c>
      <c r="BV23" s="66" t="s">
        <v>31</v>
      </c>
      <c r="BW23" s="120" t="n">
        <f aca="false">VLOOKUP(BV23,MPOSCORING,2, 0)</f>
        <v>0</v>
      </c>
      <c r="BX23" s="121"/>
      <c r="BY23" s="64" t="s">
        <v>40</v>
      </c>
      <c r="BZ23" s="112" t="str">
        <f aca="false">IFERROR(__xludf.dummyfunction("IMPORTRANGE(A20,""dw13"")"),"")</f>
        <v/>
      </c>
      <c r="CA23" s="66" t="s">
        <v>31</v>
      </c>
      <c r="CB23" s="120" t="n">
        <f aca="false">VLOOKUP(CA23,MPOSCORING,2, 0)</f>
        <v>0</v>
      </c>
      <c r="CC23" s="121"/>
      <c r="CD23" s="64" t="s">
        <v>40</v>
      </c>
      <c r="CE23" s="123"/>
      <c r="CF23" s="66" t="s">
        <v>31</v>
      </c>
      <c r="CG23" s="120" t="n">
        <f aca="false">VLOOKUP(CF23,MPOSCORING,3, 0)</f>
        <v>0</v>
      </c>
      <c r="CH23" s="124"/>
    </row>
    <row r="24" customFormat="false" ht="15" hidden="false" customHeight="false" outlineLevel="0" collapsed="false">
      <c r="A24" s="128" t="str">
        <f aca="false">IFERROR(__xludf.dummyfunction("IMPORTRANGE(A20,""a1"")"),"Hogan's Humans (Sean)")</f>
        <v>Hogan's Humans (Sean)</v>
      </c>
      <c r="B24" s="48" t="s">
        <v>72</v>
      </c>
      <c r="C24" s="48"/>
      <c r="D24" s="48"/>
      <c r="E24" s="48"/>
      <c r="F24" s="36" t="s">
        <v>43</v>
      </c>
      <c r="G24" s="139" t="s">
        <v>73</v>
      </c>
      <c r="H24" s="37" t="s">
        <v>31</v>
      </c>
      <c r="I24" s="125" t="n">
        <f aca="false">VLOOKUP(H24,FPOSCORING,2, 0)</f>
        <v>0</v>
      </c>
      <c r="J24" s="39" t="s">
        <v>43</v>
      </c>
      <c r="K24" s="105" t="str">
        <f aca="false">IFERROR(__xludf.dummyfunction("IMPORTRANGE(A20,""o14"")"),"Nathan queen ")</f>
        <v>Nathan queen</v>
      </c>
      <c r="L24" s="41" t="s">
        <v>31</v>
      </c>
      <c r="M24" s="125" t="n">
        <f aca="false">VLOOKUP(L24,FPOSCORING,2, 0)</f>
        <v>0</v>
      </c>
      <c r="N24" s="42" t="s">
        <v>43</v>
      </c>
      <c r="O24" s="43" t="str">
        <f aca="false">IFERROR(__xludf.dummyfunction("IMPORTRANGE(A20,""w14"")"),"Colten Monty")</f>
        <v>Colten Monty</v>
      </c>
      <c r="P24" s="44" t="n">
        <v>40</v>
      </c>
      <c r="Q24" s="125" t="n">
        <f aca="false">VLOOKUP(P24,MPOSCORING,2, 0)</f>
        <v>29</v>
      </c>
      <c r="R24" s="34" t="s">
        <v>43</v>
      </c>
      <c r="S24" s="106" t="str">
        <f aca="false">IFERROR(__xludf.dummyfunction("IMPORTRANGE(A20,""AE14"")"),"Colten Monty")</f>
        <v>Colten Monty</v>
      </c>
      <c r="T24" s="46" t="n">
        <v>46</v>
      </c>
      <c r="U24" s="126" t="n">
        <f aca="false">VLOOKUP(T24,MPOSCORING,2, 0)</f>
        <v>17</v>
      </c>
      <c r="V24" s="48" t="s">
        <v>43</v>
      </c>
      <c r="W24" s="107" t="str">
        <f aca="false">IFERROR(__xludf.dummyfunction("IMPORTRANGE(A20,""Am14"")"),"Colten Monty ")</f>
        <v>Colten Monty</v>
      </c>
      <c r="X24" s="50" t="s">
        <v>30</v>
      </c>
      <c r="Y24" s="117" t="n">
        <f aca="false">VLOOKUP(X24,MPOSCORING,2, 0)</f>
        <v>0</v>
      </c>
      <c r="Z24" s="51"/>
      <c r="AA24" s="52" t="s">
        <v>43</v>
      </c>
      <c r="AB24" s="108" t="str">
        <f aca="false">IFERROR(__xludf.dummyfunction("IMPORTRANGE(A20,""Au14"")"),"Colten")</f>
        <v>Colten</v>
      </c>
      <c r="AC24" s="54" t="s">
        <v>31</v>
      </c>
      <c r="AD24" s="130" t="n">
        <f aca="false">VLOOKUP(AC24,MPOSCORING,2, 0)</f>
        <v>0</v>
      </c>
      <c r="AE24" s="51"/>
      <c r="AF24" s="55" t="s">
        <v>43</v>
      </c>
      <c r="AG24" s="109" t="str">
        <f aca="false">IFERROR(__xludf.dummyfunction("IMPORTRANGE(A20,""bc14"")"),"Queen")</f>
        <v>Queen</v>
      </c>
      <c r="AH24" s="57" t="n">
        <v>64</v>
      </c>
      <c r="AI24" s="118" t="n">
        <f aca="false">VLOOKUP(AH24,MPOSCORING,2, 0)</f>
        <v>0</v>
      </c>
      <c r="AJ24" s="51"/>
      <c r="AK24" s="58" t="s">
        <v>43</v>
      </c>
      <c r="AL24" s="110" t="str">
        <f aca="false">IFERROR(__xludf.dummyfunction("IMPORTRANGE(A20,""bk14"")"),"Colten ")</f>
        <v>Colten</v>
      </c>
      <c r="AM24" s="60" t="s">
        <v>31</v>
      </c>
      <c r="AN24" s="119" t="n">
        <f aca="false">VLOOKUP(AM24,FPOSCORING,2, 0)</f>
        <v>0</v>
      </c>
      <c r="AO24" s="51"/>
      <c r="AP24" s="61" t="s">
        <v>53</v>
      </c>
      <c r="AQ24" s="111" t="str">
        <f aca="false">IFERROR(__xludf.dummyfunction("IMPORTRANGE(A20,""bs14"")"),"")</f>
        <v/>
      </c>
      <c r="AR24" s="63" t="s">
        <v>31</v>
      </c>
      <c r="AS24" s="61"/>
      <c r="AT24" s="51"/>
      <c r="AU24" s="64" t="s">
        <v>43</v>
      </c>
      <c r="AV24" s="112" t="str">
        <f aca="false">IFERROR(__xludf.dummyfunction("IMPORTRANGE(A20,""ca14"")"),"Luke humph")</f>
        <v>Luke humph</v>
      </c>
      <c r="AW24" s="66" t="s">
        <v>31</v>
      </c>
      <c r="AX24" s="120" t="n">
        <f aca="false">VLOOKUP(AW24,FPOSCORING,2, 0)</f>
        <v>0</v>
      </c>
      <c r="AY24" s="121"/>
      <c r="AZ24" s="36" t="s">
        <v>43</v>
      </c>
      <c r="BA24" s="139" t="str">
        <f aca="false">IFERROR(__xludf.dummyfunction("IMPORTRANGE(A20,""ci14"")"),"Humph ")</f>
        <v>Humph</v>
      </c>
      <c r="BB24" s="37" t="s">
        <v>31</v>
      </c>
      <c r="BC24" s="122" t="n">
        <f aca="false">VLOOKUP(BB24,FPOSCORING,2, 0)</f>
        <v>0</v>
      </c>
      <c r="BD24" s="121"/>
      <c r="BE24" s="42" t="s">
        <v>43</v>
      </c>
      <c r="BF24" s="114" t="str">
        <f aca="false">IFERROR(__xludf.dummyfunction("IMPORTRANGE(A20,""cq14"")"),"")</f>
        <v/>
      </c>
      <c r="BG24" s="44" t="s">
        <v>31</v>
      </c>
      <c r="BH24" s="115" t="n">
        <f aca="false">VLOOKUP(BG24,FPOSCORING,2, 0)</f>
        <v>0</v>
      </c>
      <c r="BI24" s="121"/>
      <c r="BJ24" s="64" t="s">
        <v>43</v>
      </c>
      <c r="BK24" s="112" t="str">
        <f aca="false">IFERROR(__xludf.dummyfunction("IMPORTRANGE(A20,""cy14"")"),"HY")</f>
        <v>HY</v>
      </c>
      <c r="BL24" s="66" t="s">
        <v>31</v>
      </c>
      <c r="BM24" s="120" t="n">
        <f aca="false">VLOOKUP(BL24,FPOSCORING,2, 0)</f>
        <v>0</v>
      </c>
      <c r="BN24" s="121"/>
      <c r="BO24" s="64" t="s">
        <v>43</v>
      </c>
      <c r="BP24" s="112" t="str">
        <f aca="false">IFERROR(__xludf.dummyfunction("IMPORTRANGE(A20,""dg14"")"),"Queen")</f>
        <v>Queen</v>
      </c>
      <c r="BQ24" s="66" t="s">
        <v>31</v>
      </c>
      <c r="BR24" s="120" t="n">
        <f aca="false">VLOOKUP(BQ24,FPOSCORING,2, 0)*2</f>
        <v>0</v>
      </c>
      <c r="BS24" s="124"/>
      <c r="BT24" s="64" t="s">
        <v>43</v>
      </c>
      <c r="BU24" s="112" t="str">
        <f aca="false">IFERROR(__xludf.dummyfunction("IMPORTRANGE(A20,""do14"")"),"LH")</f>
        <v>LH</v>
      </c>
      <c r="BV24" s="66" t="s">
        <v>31</v>
      </c>
      <c r="BW24" s="120" t="n">
        <f aca="false">VLOOKUP(BV24,FPOSCORING,2, 0)</f>
        <v>0</v>
      </c>
      <c r="BX24" s="121"/>
      <c r="BY24" s="64" t="s">
        <v>43</v>
      </c>
      <c r="BZ24" s="112" t="str">
        <f aca="false">IFERROR(__xludf.dummyfunction("IMPORTRANGE(A20,""dw14"")"),"")</f>
        <v/>
      </c>
      <c r="CA24" s="66" t="s">
        <v>31</v>
      </c>
      <c r="CB24" s="120" t="n">
        <f aca="false">VLOOKUP(CA24,FPOSCORING,2, 0)</f>
        <v>0</v>
      </c>
      <c r="CC24" s="121"/>
      <c r="CD24" s="64" t="s">
        <v>43</v>
      </c>
      <c r="CE24" s="112"/>
      <c r="CF24" s="66" t="s">
        <v>31</v>
      </c>
      <c r="CG24" s="120" t="n">
        <f aca="false">VLOOKUP(CF24,FPOSCORING,3, 0)</f>
        <v>0</v>
      </c>
      <c r="CH24" s="124"/>
    </row>
    <row r="25" customFormat="false" ht="15" hidden="false" customHeight="false" outlineLevel="0" collapsed="false">
      <c r="A25" s="128" t="str">
        <f aca="false">IFERROR(__xludf.dummyfunction("IMPORTRANGE(A20,""a1"")"),"Hogan's Humans (Sean)")</f>
        <v>Hogan's Humans (Sean)</v>
      </c>
      <c r="B25" s="48" t="s">
        <v>74</v>
      </c>
      <c r="C25" s="48"/>
      <c r="D25" s="48"/>
      <c r="E25" s="48"/>
      <c r="F25" s="36" t="s">
        <v>46</v>
      </c>
      <c r="G25" s="139" t="s">
        <v>75</v>
      </c>
      <c r="H25" s="37" t="n">
        <v>28</v>
      </c>
      <c r="I25" s="115" t="n">
        <f aca="false">VLOOKUP(H25,MPOSCORING,2, 0)</f>
        <v>51</v>
      </c>
      <c r="J25" s="39" t="s">
        <v>46</v>
      </c>
      <c r="K25" s="105" t="str">
        <f aca="false">IFERROR(__xludf.dummyfunction("IMPORTRANGE(A20,""o15"")"),"Colten Montgomery ")</f>
        <v>Colten Montgomery</v>
      </c>
      <c r="L25" s="41" t="s">
        <v>31</v>
      </c>
      <c r="M25" s="115" t="n">
        <f aca="false">VLOOKUP(L25,MPOSCORING,2, 0)</f>
        <v>0</v>
      </c>
      <c r="N25" s="42" t="s">
        <v>46</v>
      </c>
      <c r="O25" s="43" t="str">
        <f aca="false">IFERROR(__xludf.dummyfunction("IMPORTRANGE(A20,""w15"")"),"Heather young ")</f>
        <v>Heather young</v>
      </c>
      <c r="P25" s="44" t="s">
        <v>31</v>
      </c>
      <c r="Q25" s="115" t="n">
        <f aca="false">VLOOKUP(P25,MPOSCORING,2, 0)</f>
        <v>0</v>
      </c>
      <c r="R25" s="34" t="s">
        <v>46</v>
      </c>
      <c r="S25" s="106" t="str">
        <f aca="false">IFERROR(__xludf.dummyfunction("IMPORTRANGE(A20,""AE15"")"),"Heather young ")</f>
        <v>Heather young</v>
      </c>
      <c r="T25" s="46" t="s">
        <v>31</v>
      </c>
      <c r="U25" s="116" t="n">
        <f aca="false">VLOOKUP(T25,MPOSCORING,2, 0)</f>
        <v>0</v>
      </c>
      <c r="V25" s="48" t="s">
        <v>46</v>
      </c>
      <c r="W25" s="107" t="str">
        <f aca="false">IFERROR(__xludf.dummyfunction("IMPORTRANGE(A20,""Am15"")"),"Queen")</f>
        <v>Queen</v>
      </c>
      <c r="X25" s="50" t="n">
        <v>13</v>
      </c>
      <c r="Y25" s="117" t="n">
        <f aca="false">VLOOKUP(X25,MPOSCORING,2, 0)</f>
        <v>78</v>
      </c>
      <c r="Z25" s="51"/>
      <c r="AA25" s="52" t="s">
        <v>46</v>
      </c>
      <c r="AB25" s="108" t="str">
        <f aca="false">IFERROR(__xludf.dummyfunction("IMPORTRANGE(A20,""Au15"")"),"Queen")</f>
        <v>Queen</v>
      </c>
      <c r="AC25" s="54" t="s">
        <v>31</v>
      </c>
      <c r="AD25" s="130" t="n">
        <f aca="false">VLOOKUP(AC25,MPOSCORING,2, 0)</f>
        <v>0</v>
      </c>
      <c r="AE25" s="51"/>
      <c r="AF25" s="55" t="s">
        <v>46</v>
      </c>
      <c r="AG25" s="109" t="str">
        <f aca="false">IFERROR(__xludf.dummyfunction("IMPORTRANGE(A20,""bc15"")"),"Heather young ")</f>
        <v>Heather young</v>
      </c>
      <c r="AH25" s="57" t="s">
        <v>31</v>
      </c>
      <c r="AI25" s="118" t="n">
        <f aca="false">VLOOKUP(AH25,MPOSCORING,2, 0)</f>
        <v>0</v>
      </c>
      <c r="AJ25" s="51"/>
      <c r="AK25" s="58" t="s">
        <v>46</v>
      </c>
      <c r="AL25" s="110" t="str">
        <f aca="false">IFERROR(__xludf.dummyfunction("IMPORTRANGE(A20,""bk15"")"),"Queen ")</f>
        <v>Queen</v>
      </c>
      <c r="AM25" s="60" t="s">
        <v>31</v>
      </c>
      <c r="AN25" s="119" t="n">
        <f aca="false">VLOOKUP(AM25,MPOSCORING,2, 0)</f>
        <v>0</v>
      </c>
      <c r="AO25" s="51"/>
      <c r="AP25" s="61" t="s">
        <v>55</v>
      </c>
      <c r="AQ25" s="111" t="str">
        <f aca="false">IFERROR(__xludf.dummyfunction("IMPORTRANGE(A20,""bs15"")"),"")</f>
        <v/>
      </c>
      <c r="AR25" s="63" t="s">
        <v>31</v>
      </c>
      <c r="AS25" s="61"/>
      <c r="AT25" s="51"/>
      <c r="AU25" s="64" t="s">
        <v>46</v>
      </c>
      <c r="AV25" s="112" t="str">
        <f aca="false">IFERROR(__xludf.dummyfunction("IMPORTRANGE(A20,""ca15"")"),"Queen")</f>
        <v>Queen</v>
      </c>
      <c r="AW25" s="66" t="s">
        <v>31</v>
      </c>
      <c r="AX25" s="120" t="n">
        <f aca="false">VLOOKUP(AW25,MPOSCORING,2, 0)</f>
        <v>0</v>
      </c>
      <c r="AY25" s="121"/>
      <c r="AZ25" s="36" t="s">
        <v>46</v>
      </c>
      <c r="BA25" s="139" t="str">
        <f aca="false">IFERROR(__xludf.dummyfunction("IMPORTRANGE(A20,""ci15"")"),"Queen ")</f>
        <v>Queen</v>
      </c>
      <c r="BB25" s="37" t="s">
        <v>31</v>
      </c>
      <c r="BC25" s="122" t="n">
        <f aca="false">VLOOKUP(BB25,MPOSCORING,2, 0)</f>
        <v>0</v>
      </c>
      <c r="BD25" s="121"/>
      <c r="BE25" s="42" t="s">
        <v>46</v>
      </c>
      <c r="BF25" s="114" t="str">
        <f aca="false">IFERROR(__xludf.dummyfunction("IMPORTRANGE(A20,""cq15"")"),"")</f>
        <v/>
      </c>
      <c r="BG25" s="44" t="s">
        <v>31</v>
      </c>
      <c r="BH25" s="115" t="n">
        <f aca="false">VLOOKUP(BG25,MPOSCORING,2, 0)</f>
        <v>0</v>
      </c>
      <c r="BI25" s="121"/>
      <c r="BJ25" s="64" t="s">
        <v>46</v>
      </c>
      <c r="BK25" s="112" t="str">
        <f aca="false">IFERROR(__xludf.dummyfunction("IMPORTRANGE(A20,""cy15"")"),"L.Humph")</f>
        <v>L.Humph</v>
      </c>
      <c r="BL25" s="66" t="n">
        <v>118</v>
      </c>
      <c r="BM25" s="120" t="e">
        <f aca="false">VLOOKUP(BL25,MPOSCORING,2, 0)</f>
        <v>#N/A</v>
      </c>
      <c r="BN25" s="121"/>
      <c r="BO25" s="64" t="s">
        <v>46</v>
      </c>
      <c r="BP25" s="112" t="str">
        <f aca="false">IFERROR(__xludf.dummyfunction("IMPORTRANGE(A20,""dg15"")"),"C.Monty")</f>
        <v>C.Monty</v>
      </c>
      <c r="BQ25" s="66" t="s">
        <v>31</v>
      </c>
      <c r="BR25" s="120" t="n">
        <f aca="false">VLOOKUP(BQ25,MPOSCORING,2, 0)*2</f>
        <v>0</v>
      </c>
      <c r="BS25" s="124"/>
      <c r="BT25" s="64" t="s">
        <v>46</v>
      </c>
      <c r="BU25" s="112" t="str">
        <f aca="false">IFERROR(__xludf.dummyfunction("IMPORTRANGE(A20,""do15"")"),"NQ")</f>
        <v>NQ</v>
      </c>
      <c r="BV25" s="66" t="s">
        <v>31</v>
      </c>
      <c r="BW25" s="120" t="n">
        <f aca="false">VLOOKUP(BV25,MPOSCORING,2, 0)</f>
        <v>0</v>
      </c>
      <c r="BX25" s="121"/>
      <c r="BY25" s="64" t="s">
        <v>46</v>
      </c>
      <c r="BZ25" s="112" t="str">
        <f aca="false">IFERROR(__xludf.dummyfunction("IMPORTRANGE(A20,""dw15"")"),"")</f>
        <v/>
      </c>
      <c r="CA25" s="66" t="s">
        <v>31</v>
      </c>
      <c r="CB25" s="120" t="n">
        <f aca="false">VLOOKUP(CA25,MPOSCORING,2, 0)</f>
        <v>0</v>
      </c>
      <c r="CC25" s="121"/>
      <c r="CD25" s="64" t="s">
        <v>46</v>
      </c>
      <c r="CE25" s="112"/>
      <c r="CF25" s="66" t="s">
        <v>31</v>
      </c>
      <c r="CG25" s="120" t="n">
        <f aca="false">VLOOKUP(CF25,MPOSCORING,3, 0)</f>
        <v>0</v>
      </c>
      <c r="CH25" s="33"/>
    </row>
    <row r="26" customFormat="false" ht="13.85" hidden="true" customHeight="false" outlineLevel="0" collapsed="false">
      <c r="A26" s="16" t="s">
        <v>76</v>
      </c>
      <c r="I26" s="127"/>
      <c r="M26" s="127"/>
      <c r="U26" s="127"/>
      <c r="BS26" s="18"/>
      <c r="CH26" s="18"/>
    </row>
    <row r="27" customFormat="false" ht="15" hidden="false" customHeight="false" outlineLevel="0" collapsed="false">
      <c r="A27" s="141" t="str">
        <f aca="false">IFERROR(__xludf.dummyfunction("IMPORTRANGE(A35,""a1"")"),"Catoutofthebuhrdiebag (Brandon)")</f>
        <v>Catoutofthebuhrdiebag (Brandon)</v>
      </c>
      <c r="B27" s="39" t="s">
        <v>77</v>
      </c>
      <c r="C27" s="39"/>
      <c r="D27" s="39"/>
      <c r="E27" s="39"/>
      <c r="F27" s="36" t="s">
        <v>29</v>
      </c>
      <c r="G27" s="35" t="s">
        <v>77</v>
      </c>
      <c r="H27" s="88" t="n">
        <v>3</v>
      </c>
      <c r="I27" s="38" t="n">
        <f aca="false">VLOOKUP(H27,FPOSCORING,2, 0)</f>
        <v>91</v>
      </c>
      <c r="J27" s="39" t="s">
        <v>29</v>
      </c>
      <c r="K27" s="40" t="str">
        <f aca="false">IFERROR(__xludf.dummyfunction("IMPORTRANGE(A35,""o6"")"),"Catrina A")</f>
        <v>Catrina A</v>
      </c>
      <c r="L27" s="41" t="n">
        <v>2</v>
      </c>
      <c r="M27" s="38" t="n">
        <f aca="false">VLOOKUP(L27,FPOSCORING,2, 0)</f>
        <v>96</v>
      </c>
      <c r="N27" s="42" t="s">
        <v>29</v>
      </c>
      <c r="O27" s="43" t="str">
        <f aca="false">IFERROR(__xludf.dummyfunction("IMPORTRANGE(A35,""W6"")"),"Catrina Allen")</f>
        <v>Catrina Allen</v>
      </c>
      <c r="P27" s="44" t="n">
        <v>5</v>
      </c>
      <c r="Q27" s="38" t="n">
        <f aca="false">VLOOKUP(P27,FPOSCORING,2, 0)</f>
        <v>82</v>
      </c>
      <c r="R27" s="34" t="s">
        <v>29</v>
      </c>
      <c r="S27" s="45" t="str">
        <f aca="false">IFERROR(__xludf.dummyfunction("IMPORTRANGE(A35,""AE6"")"),"Catrina allen")</f>
        <v>Catrina allen</v>
      </c>
      <c r="T27" s="46" t="n">
        <v>5</v>
      </c>
      <c r="U27" s="47" t="n">
        <f aca="false">VLOOKUP(T27,FPOSCORING,2, 0)</f>
        <v>82</v>
      </c>
      <c r="V27" s="48" t="s">
        <v>29</v>
      </c>
      <c r="W27" s="49" t="str">
        <f aca="false">IFERROR(__xludf.dummyfunction("IMPORTRANGE(A35,""Am6"")"),"Catrina allen")</f>
        <v>Catrina allen</v>
      </c>
      <c r="X27" s="50" t="n">
        <v>2</v>
      </c>
      <c r="Y27" s="129" t="n">
        <f aca="false">VLOOKUP(X27,FPOSCORING,2, 0)</f>
        <v>96</v>
      </c>
      <c r="Z27" s="51"/>
      <c r="AA27" s="52" t="s">
        <v>29</v>
      </c>
      <c r="AB27" s="53" t="str">
        <f aca="false">IFERROR(__xludf.dummyfunction("IMPORTRANGE(A35,""Au6"")"),"Catrina allen")</f>
        <v>Catrina allen</v>
      </c>
      <c r="AC27" s="54" t="n">
        <v>9</v>
      </c>
      <c r="AD27" s="130" t="n">
        <f aca="false">VLOOKUP(AC27,FPOSCORING,2, 0)</f>
        <v>62</v>
      </c>
      <c r="AE27" s="51"/>
      <c r="AF27" s="55" t="s">
        <v>29</v>
      </c>
      <c r="AG27" s="56" t="str">
        <f aca="false">IFERROR(__xludf.dummyfunction("IMPORTRANGE(A35,""bc6"")"),"Catrina allen")</f>
        <v>Catrina allen</v>
      </c>
      <c r="AH27" s="57" t="n">
        <v>3</v>
      </c>
      <c r="AI27" s="131" t="n">
        <f aca="false">VLOOKUP(AH27,FPOSCORING,2, 0)</f>
        <v>91</v>
      </c>
      <c r="AJ27" s="51"/>
      <c r="AK27" s="58" t="s">
        <v>29</v>
      </c>
      <c r="AL27" s="59" t="str">
        <f aca="false">IFERROR(__xludf.dummyfunction("IMPORTRANGE(A35,""bk6"")"),"Catrina allen")</f>
        <v>Catrina allen</v>
      </c>
      <c r="AM27" s="60" t="n">
        <v>4</v>
      </c>
      <c r="AN27" s="132" t="n">
        <f aca="false">VLOOKUP(AM27,FPOSCORING,2, 0)</f>
        <v>86</v>
      </c>
      <c r="AO27" s="51"/>
      <c r="AP27" s="61" t="s">
        <v>29</v>
      </c>
      <c r="AQ27" s="62" t="str">
        <f aca="false">IFERROR(__xludf.dummyfunction("IMPORTRANGE(A35,""bs6"")"),"Catrina allen")</f>
        <v>Catrina allen</v>
      </c>
      <c r="AR27" s="63" t="n">
        <v>4</v>
      </c>
      <c r="AS27" s="133" t="n">
        <f aca="false">VLOOKUP(AR27,MPOSCORING,2, 0)</f>
        <v>94</v>
      </c>
      <c r="AT27" s="51"/>
      <c r="AU27" s="64" t="s">
        <v>29</v>
      </c>
      <c r="AV27" s="65" t="str">
        <f aca="false">IFERROR(__xludf.dummyfunction("IMPORTRANGE(A35,""ca6"")"),"Catrina Allen ")</f>
        <v>Catrina Allen</v>
      </c>
      <c r="AW27" s="66" t="n">
        <v>1</v>
      </c>
      <c r="AX27" s="134" t="n">
        <f aca="false">VLOOKUP(AW27,FPOSCORING,2, 0)</f>
        <v>100</v>
      </c>
      <c r="AY27" s="32"/>
      <c r="AZ27" s="36" t="s">
        <v>29</v>
      </c>
      <c r="BA27" s="67" t="str">
        <f aca="false">IFERROR(__xludf.dummyfunction("IMPORTRANGE(A35,""ci6"")"),"Holyn")</f>
        <v>Holyn</v>
      </c>
      <c r="BB27" s="37" t="n">
        <v>10</v>
      </c>
      <c r="BC27" s="135" t="n">
        <f aca="false">VLOOKUP(BB27,FPOSCORING,2, 0)</f>
        <v>58</v>
      </c>
      <c r="BD27" s="32"/>
      <c r="BE27" s="42" t="s">
        <v>29</v>
      </c>
      <c r="BF27" s="68" t="str">
        <f aca="false">IFERROR(__xludf.dummyfunction("IMPORTRANGE(A35,""cq6"")"),"Catrina allen")</f>
        <v>Catrina allen</v>
      </c>
      <c r="BG27" s="44" t="n">
        <v>7</v>
      </c>
      <c r="BH27" s="136" t="n">
        <f aca="false">VLOOKUP(BG27,FPOSCORING,2, 0)</f>
        <v>71</v>
      </c>
      <c r="BI27" s="32"/>
      <c r="BJ27" s="64" t="s">
        <v>29</v>
      </c>
      <c r="BK27" s="65" t="str">
        <f aca="false">IFERROR(__xludf.dummyfunction("IMPORTRANGE(A35,""cy6"")"),"Catrina allen")</f>
        <v>Catrina allen</v>
      </c>
      <c r="BL27" s="66" t="n">
        <v>11</v>
      </c>
      <c r="BM27" s="134" t="n">
        <f aca="false">VLOOKUP(BL27,FPOSCORING,2, 0)</f>
        <v>52</v>
      </c>
      <c r="BN27" s="32"/>
      <c r="BO27" s="64" t="s">
        <v>29</v>
      </c>
      <c r="BP27" s="65" t="str">
        <f aca="false">IFERROR(__xludf.dummyfunction("IMPORTRANGE(A35,""dg6"")"),"Catrina allen")</f>
        <v>Catrina allen</v>
      </c>
      <c r="BQ27" s="66" t="n">
        <v>11</v>
      </c>
      <c r="BR27" s="134" t="n">
        <f aca="false">VLOOKUP(BQ27,FPOSCORING,3, 0)</f>
        <v>104</v>
      </c>
      <c r="BS27" s="33"/>
      <c r="BT27" s="64" t="s">
        <v>29</v>
      </c>
      <c r="BU27" s="65" t="str">
        <f aca="false">IFERROR(__xludf.dummyfunction("IMPORTRANGE(A35,""do6"")"),"Eveliina ")</f>
        <v>Eveliina</v>
      </c>
      <c r="BV27" s="66" t="n">
        <v>6</v>
      </c>
      <c r="BW27" s="134" t="n">
        <f aca="false">VLOOKUP(BV27,FPOSCORING,2, 0)</f>
        <v>76</v>
      </c>
      <c r="BX27" s="32"/>
      <c r="BY27" s="64" t="s">
        <v>29</v>
      </c>
      <c r="BZ27" s="65" t="str">
        <f aca="false">IFERROR(__xludf.dummyfunction("IMPORTRANGE(A35,""dw6"")"),"Catrina allen")</f>
        <v>Catrina allen</v>
      </c>
      <c r="CA27" s="66" t="n">
        <v>13</v>
      </c>
      <c r="CB27" s="134" t="n">
        <f aca="false">VLOOKUP(CA27,FPOSCORING,2, 0)</f>
        <v>42</v>
      </c>
      <c r="CC27" s="32"/>
      <c r="CD27" s="64" t="s">
        <v>29</v>
      </c>
      <c r="CE27" s="65" t="str">
        <f aca="false">IFERROR(__xludf.dummyfunction("IMPORTRANGE(A35,""ee6"")"),"Holyn")</f>
        <v>Holyn</v>
      </c>
      <c r="CF27" s="66" t="n">
        <v>9</v>
      </c>
      <c r="CG27" s="134" t="n">
        <f aca="false">VLOOKUP(CF27,FPOSCORING,3, 0)</f>
        <v>124</v>
      </c>
      <c r="CH27" s="33"/>
    </row>
    <row r="28" customFormat="false" ht="15" hidden="false" customHeight="false" outlineLevel="0" collapsed="false">
      <c r="A28" s="141" t="str">
        <f aca="false">IFERROR(__xludf.dummyfunction("IMPORTRANGE(A35,""a1"")"),"Catoutofthebuhrdiebag (Brandon)")</f>
        <v>Catoutofthebuhrdiebag (Brandon)</v>
      </c>
      <c r="B28" s="39" t="s">
        <v>78</v>
      </c>
      <c r="C28" s="39"/>
      <c r="D28" s="39"/>
      <c r="E28" s="39"/>
      <c r="F28" s="36" t="s">
        <v>34</v>
      </c>
      <c r="G28" s="67" t="s">
        <v>79</v>
      </c>
      <c r="H28" s="69" t="n">
        <v>9</v>
      </c>
      <c r="I28" s="38" t="n">
        <f aca="false">VLOOKUP(H28,FPOSCORING,2, 0)</f>
        <v>62</v>
      </c>
      <c r="J28" s="39" t="s">
        <v>34</v>
      </c>
      <c r="K28" s="70" t="str">
        <f aca="false">IFERROR(__xludf.dummyfunction("IMPORTRANGE(A35,""o7"")"),"Eveliina s")</f>
        <v>Eveliina s</v>
      </c>
      <c r="L28" s="71" t="n">
        <v>27</v>
      </c>
      <c r="M28" s="38" t="n">
        <f aca="false">VLOOKUP(L28,FPOSCORING,2, 0)</f>
        <v>0</v>
      </c>
      <c r="N28" s="42" t="s">
        <v>34</v>
      </c>
      <c r="O28" s="43" t="str">
        <f aca="false">IFERROR(__xludf.dummyfunction("IMPORTRANGE(A35,""W7"")"),"Eveliina s")</f>
        <v>Eveliina s</v>
      </c>
      <c r="P28" s="72" t="n">
        <v>16</v>
      </c>
      <c r="Q28" s="38" t="n">
        <f aca="false">VLOOKUP(P28,FPOSCORING,2, 0)</f>
        <v>29</v>
      </c>
      <c r="R28" s="34" t="s">
        <v>34</v>
      </c>
      <c r="S28" s="73" t="str">
        <f aca="false">IFERROR(__xludf.dummyfunction("IMPORTRANGE(A35,""AE7"")"),"Holyn handley")</f>
        <v>Holyn handley</v>
      </c>
      <c r="T28" s="74" t="n">
        <v>5</v>
      </c>
      <c r="U28" s="47" t="n">
        <f aca="false">VLOOKUP(T28,FPOSCORING,2, 0)</f>
        <v>82</v>
      </c>
      <c r="V28" s="48" t="s">
        <v>34</v>
      </c>
      <c r="W28" s="75" t="str">
        <f aca="false">IFERROR(__xludf.dummyfunction("IMPORTRANGE(A35,""Am7"")"),"Holyn Handley")</f>
        <v>Holyn Handley</v>
      </c>
      <c r="X28" s="76" t="n">
        <v>19</v>
      </c>
      <c r="Y28" s="129" t="n">
        <f aca="false">VLOOKUP(X28,FPOSCORING,2, 0)</f>
        <v>15</v>
      </c>
      <c r="Z28" s="51"/>
      <c r="AA28" s="52" t="s">
        <v>34</v>
      </c>
      <c r="AB28" s="77" t="str">
        <f aca="false">IFERROR(__xludf.dummyfunction("IMPORTRANGE(A35,""Au7"")"),"Holyn handley")</f>
        <v>Holyn handley</v>
      </c>
      <c r="AC28" s="78" t="n">
        <v>9</v>
      </c>
      <c r="AD28" s="130" t="n">
        <f aca="false">VLOOKUP(AC28,FPOSCORING,2, 0)</f>
        <v>62</v>
      </c>
      <c r="AE28" s="51"/>
      <c r="AF28" s="55" t="s">
        <v>34</v>
      </c>
      <c r="AG28" s="79" t="str">
        <f aca="false">IFERROR(__xludf.dummyfunction("IMPORTRANGE(A35,""bc7"")"),"Rebecca cox")</f>
        <v>Rebecca cox</v>
      </c>
      <c r="AH28" s="80" t="n">
        <v>4</v>
      </c>
      <c r="AI28" s="131" t="n">
        <f aca="false">VLOOKUP(AH28,FPOSCORING,2, 0)</f>
        <v>86</v>
      </c>
      <c r="AJ28" s="51"/>
      <c r="AK28" s="58" t="s">
        <v>34</v>
      </c>
      <c r="AL28" s="81" t="str">
        <f aca="false">IFERROR(__xludf.dummyfunction("IMPORTRANGE(A35,""bk7"")"),"Rebecca cox")</f>
        <v>Rebecca cox</v>
      </c>
      <c r="AM28" s="82" t="n">
        <v>10</v>
      </c>
      <c r="AN28" s="132" t="n">
        <f aca="false">VLOOKUP(AM28,FPOSCORING,2, 0)</f>
        <v>58</v>
      </c>
      <c r="AO28" s="51"/>
      <c r="AP28" s="61" t="s">
        <v>34</v>
      </c>
      <c r="AQ28" s="83" t="str">
        <f aca="false">IFERROR(__xludf.dummyfunction("IMPORTRANGE(A35,""bs7"")"),"Rebecca cox")</f>
        <v>Rebecca cox</v>
      </c>
      <c r="AR28" s="84" t="n">
        <v>27</v>
      </c>
      <c r="AS28" s="133" t="n">
        <f aca="false">VLOOKUP(AR28,MPOSCORING,2, 0)</f>
        <v>53</v>
      </c>
      <c r="AT28" s="51"/>
      <c r="AU28" s="64" t="s">
        <v>34</v>
      </c>
      <c r="AV28" s="85" t="str">
        <f aca="false">IFERROR(__xludf.dummyfunction("IMPORTRANGE(A35,""ca7"")"),"Holyn Handley")</f>
        <v>Holyn Handley</v>
      </c>
      <c r="AW28" s="86" t="n">
        <v>17</v>
      </c>
      <c r="AX28" s="134" t="n">
        <f aca="false">VLOOKUP(AW28,FPOSCORING,2, 0)</f>
        <v>24</v>
      </c>
      <c r="AY28" s="32"/>
      <c r="AZ28" s="36" t="s">
        <v>34</v>
      </c>
      <c r="BA28" s="35" t="str">
        <f aca="false">IFERROR(__xludf.dummyfunction("IMPORTRANGE(A35,""ci7"")"),"Catrina")</f>
        <v>Catrina</v>
      </c>
      <c r="BB28" s="69" t="n">
        <v>6</v>
      </c>
      <c r="BC28" s="135" t="n">
        <f aca="false">VLOOKUP(BB28,FPOSCORING,2, 0)</f>
        <v>76</v>
      </c>
      <c r="BD28" s="32"/>
      <c r="BE28" s="42" t="s">
        <v>34</v>
      </c>
      <c r="BF28" s="43" t="str">
        <f aca="false">IFERROR(__xludf.dummyfunction("IMPORTRANGE(A35,""cq7"")"),"Holyn")</f>
        <v>Holyn</v>
      </c>
      <c r="BG28" s="72" t="n">
        <v>10</v>
      </c>
      <c r="BH28" s="136" t="n">
        <f aca="false">VLOOKUP(BG28,FPOSCORING,2, 0)</f>
        <v>58</v>
      </c>
      <c r="BI28" s="32"/>
      <c r="BJ28" s="64" t="s">
        <v>34</v>
      </c>
      <c r="BK28" s="85" t="str">
        <f aca="false">IFERROR(__xludf.dummyfunction("IMPORTRANGE(A35,""cy7"")"),"Eveliina ")</f>
        <v>Eveliina</v>
      </c>
      <c r="BL28" s="86" t="n">
        <v>2</v>
      </c>
      <c r="BM28" s="134" t="n">
        <f aca="false">VLOOKUP(BL28,FPOSCORING,2, 0)</f>
        <v>96</v>
      </c>
      <c r="BN28" s="32"/>
      <c r="BO28" s="64" t="s">
        <v>34</v>
      </c>
      <c r="BP28" s="85" t="str">
        <f aca="false">IFERROR(__xludf.dummyfunction("IMPORTRANGE(A35,""dg7"")"),"Eveliina S")</f>
        <v>Eveliina S</v>
      </c>
      <c r="BQ28" s="86" t="n">
        <v>5</v>
      </c>
      <c r="BR28" s="134" t="n">
        <f aca="false">VLOOKUP(BQ28,FPOSCORING,3, 0)</f>
        <v>164</v>
      </c>
      <c r="BS28" s="33"/>
      <c r="BT28" s="64" t="s">
        <v>34</v>
      </c>
      <c r="BU28" s="85" t="str">
        <f aca="false">IFERROR(__xludf.dummyfunction("IMPORTRANGE(A35,""do7"")"),"Catrina")</f>
        <v>Catrina</v>
      </c>
      <c r="BV28" s="86" t="n">
        <v>24</v>
      </c>
      <c r="BW28" s="134" t="n">
        <f aca="false">VLOOKUP(BV28,FPOSCORING,2, 0)</f>
        <v>6</v>
      </c>
      <c r="BX28" s="32"/>
      <c r="BY28" s="64" t="s">
        <v>34</v>
      </c>
      <c r="BZ28" s="85" t="str">
        <f aca="false">IFERROR(__xludf.dummyfunction("IMPORTRANGE(A35,""dw7"")"),"Eveliina ")</f>
        <v>Eveliina</v>
      </c>
      <c r="CA28" s="86" t="n">
        <v>6</v>
      </c>
      <c r="CB28" s="134" t="n">
        <f aca="false">VLOOKUP(CA28,FPOSCORING,2, 0)</f>
        <v>76</v>
      </c>
      <c r="CC28" s="32"/>
      <c r="CD28" s="64" t="s">
        <v>34</v>
      </c>
      <c r="CE28" s="85" t="str">
        <f aca="false">IFERROR(__xludf.dummyfunction("IMPORTRANGE(A35,""ee7"")"),"Eveliina ")</f>
        <v>Eveliina</v>
      </c>
      <c r="CF28" s="86" t="n">
        <v>9</v>
      </c>
      <c r="CG28" s="134" t="n">
        <f aca="false">VLOOKUP(CF28,FPOSCORING,3, 0)</f>
        <v>124</v>
      </c>
      <c r="CH28" s="33"/>
    </row>
    <row r="29" customFormat="false" ht="15" hidden="false" customHeight="false" outlineLevel="0" collapsed="false">
      <c r="A29" s="141" t="str">
        <f aca="false">IFERROR(__xludf.dummyfunction("IMPORTRANGE(A35,""a1"")"),"Catoutofthebuhrdiebag (Brandon)")</f>
        <v>Catoutofthebuhrdiebag (Brandon)</v>
      </c>
      <c r="B29" s="39" t="s">
        <v>80</v>
      </c>
      <c r="C29" s="39"/>
      <c r="D29" s="39"/>
      <c r="E29" s="39"/>
      <c r="F29" s="36" t="s">
        <v>36</v>
      </c>
      <c r="G29" s="87" t="s">
        <v>81</v>
      </c>
      <c r="H29" s="88" t="n">
        <v>25</v>
      </c>
      <c r="I29" s="136" t="n">
        <f aca="false">VLOOKUP(H29,MPOSCORING,2, 0)</f>
        <v>57</v>
      </c>
      <c r="J29" s="39" t="s">
        <v>36</v>
      </c>
      <c r="K29" s="137" t="str">
        <f aca="false">IFERROR(__xludf.dummyfunction("IMPORTRANGE(A35,""o8"")"),"Gannon")</f>
        <v>Gannon</v>
      </c>
      <c r="L29" s="89" t="n">
        <v>7</v>
      </c>
      <c r="M29" s="136" t="n">
        <f aca="false">VLOOKUP(L29,MPOSCORING,2, 0)</f>
        <v>89</v>
      </c>
      <c r="N29" s="42" t="s">
        <v>36</v>
      </c>
      <c r="O29" s="43" t="str">
        <f aca="false">IFERROR(__xludf.dummyfunction("IMPORTRANGE(A35,""W8"")"),"Gannon")</f>
        <v>Gannon</v>
      </c>
      <c r="P29" s="38" t="n">
        <v>5</v>
      </c>
      <c r="Q29" s="136" t="n">
        <f aca="false">VLOOKUP(P29,MPOSCORING,2, 0)</f>
        <v>93</v>
      </c>
      <c r="R29" s="34" t="s">
        <v>36</v>
      </c>
      <c r="S29" s="90" t="str">
        <f aca="false">IFERROR(__xludf.dummyfunction("IMPORTRANGE(A35,""AE8"")"),"Gannon")</f>
        <v>Gannon</v>
      </c>
      <c r="T29" s="47" t="n">
        <v>5</v>
      </c>
      <c r="U29" s="138" t="n">
        <f aca="false">VLOOKUP(T29,MPOSCORING,2, 0)</f>
        <v>93</v>
      </c>
      <c r="V29" s="48" t="s">
        <v>36</v>
      </c>
      <c r="W29" s="91" t="str">
        <f aca="false">IFERROR(__xludf.dummyfunction("IMPORTRANGE(A35,""Am8"")"),"Gannon")</f>
        <v>Gannon</v>
      </c>
      <c r="X29" s="92" t="n">
        <v>10</v>
      </c>
      <c r="Y29" s="129" t="n">
        <f aca="false">VLOOKUP(X29,MPOSCORING,2, 0)</f>
        <v>84</v>
      </c>
      <c r="Z29" s="51"/>
      <c r="AA29" s="52" t="s">
        <v>36</v>
      </c>
      <c r="AB29" s="93" t="str">
        <f aca="false">IFERROR(__xludf.dummyfunction("IMPORTRANGE(A35,""Au8"")"),"Gannon ")</f>
        <v>Gannon</v>
      </c>
      <c r="AC29" s="94" t="n">
        <v>9</v>
      </c>
      <c r="AD29" s="130" t="n">
        <f aca="false">VLOOKUP(AC29,MPOSCORING,2, 0)</f>
        <v>85</v>
      </c>
      <c r="AE29" s="51"/>
      <c r="AF29" s="55" t="s">
        <v>36</v>
      </c>
      <c r="AG29" s="95" t="str">
        <f aca="false">IFERROR(__xludf.dummyfunction("IMPORTRANGE(A35,""bc8"")"),"Gannon")</f>
        <v>Gannon</v>
      </c>
      <c r="AH29" s="96" t="n">
        <v>4</v>
      </c>
      <c r="AI29" s="131" t="n">
        <f aca="false">VLOOKUP(AH29,MPOSCORING,2, 0)</f>
        <v>94</v>
      </c>
      <c r="AJ29" s="51"/>
      <c r="AK29" s="58" t="s">
        <v>36</v>
      </c>
      <c r="AL29" s="97" t="str">
        <f aca="false">IFERROR(__xludf.dummyfunction("IMPORTRANGE(A35,""bk8"")"),"Gannon ")</f>
        <v>Gannon</v>
      </c>
      <c r="AM29" s="98" t="n">
        <v>6</v>
      </c>
      <c r="AN29" s="132" t="n">
        <f aca="false">VLOOKUP(AM29,MPOSCORING,2, 0)</f>
        <v>91</v>
      </c>
      <c r="AO29" s="51"/>
      <c r="AP29" s="61" t="s">
        <v>37</v>
      </c>
      <c r="AQ29" s="99" t="str">
        <f aca="false">IFERROR(__xludf.dummyfunction("IMPORTRANGE(A35,""bs8"")"),"Eveliina ")</f>
        <v>Eveliina</v>
      </c>
      <c r="AR29" s="100" t="n">
        <v>6</v>
      </c>
      <c r="AS29" s="133" t="n">
        <f aca="false">VLOOKUP(AR29,MPOSCORING,2, 0)</f>
        <v>91</v>
      </c>
      <c r="AT29" s="51"/>
      <c r="AU29" s="64" t="s">
        <v>36</v>
      </c>
      <c r="AV29" s="101" t="str">
        <f aca="false">IFERROR(__xludf.dummyfunction("IMPORTRANGE(A35,""ca8"")"),"Gannon buhr")</f>
        <v>Gannon buhr</v>
      </c>
      <c r="AW29" s="102" t="n">
        <v>4</v>
      </c>
      <c r="AX29" s="134" t="n">
        <f aca="false">VLOOKUP(AW29,MPOSCORING,2, 0)</f>
        <v>94</v>
      </c>
      <c r="AY29" s="32"/>
      <c r="AZ29" s="36" t="s">
        <v>36</v>
      </c>
      <c r="BA29" s="87" t="str">
        <f aca="false">IFERROR(__xludf.dummyfunction("IMPORTRANGE(A35,""ci8"")"),"Gannon")</f>
        <v>Gannon</v>
      </c>
      <c r="BB29" s="88" t="n">
        <v>12</v>
      </c>
      <c r="BC29" s="135" t="n">
        <f aca="false">VLOOKUP(BB29,MPOSCORING,2, 0)</f>
        <v>80</v>
      </c>
      <c r="BD29" s="32"/>
      <c r="BE29" s="42" t="s">
        <v>36</v>
      </c>
      <c r="BF29" s="103" t="str">
        <f aca="false">IFERROR(__xludf.dummyfunction("IMPORTRANGE(A35,""cq8"")"),"Gannon ")</f>
        <v>Gannon</v>
      </c>
      <c r="BG29" s="38" t="n">
        <v>3</v>
      </c>
      <c r="BH29" s="136" t="n">
        <f aca="false">VLOOKUP(BG29,MPOSCORING,2, 0)</f>
        <v>96</v>
      </c>
      <c r="BI29" s="32"/>
      <c r="BJ29" s="64" t="s">
        <v>36</v>
      </c>
      <c r="BK29" s="101" t="str">
        <f aca="false">IFERROR(__xludf.dummyfunction("IMPORTRANGE(A35,""cy8"")"),"Gannon ")</f>
        <v>Gannon</v>
      </c>
      <c r="BL29" s="102" t="n">
        <v>12</v>
      </c>
      <c r="BM29" s="134" t="n">
        <f aca="false">VLOOKUP(BL29,MPOSCORING,2, 0)</f>
        <v>80</v>
      </c>
      <c r="BN29" s="32"/>
      <c r="BO29" s="64" t="s">
        <v>36</v>
      </c>
      <c r="BP29" s="101" t="str">
        <f aca="false">IFERROR(__xludf.dummyfunction("IMPORTRANGE(A35,""dg8"")"),"Gannon")</f>
        <v>Gannon</v>
      </c>
      <c r="BQ29" s="102" t="n">
        <v>14</v>
      </c>
      <c r="BR29" s="134" t="n">
        <f aca="false">VLOOKUP(BQ29,MPOSCORING,3, 0)</f>
        <v>152</v>
      </c>
      <c r="BS29" s="33"/>
      <c r="BT29" s="64" t="s">
        <v>36</v>
      </c>
      <c r="BU29" s="101" t="str">
        <f aca="false">IFERROR(__xludf.dummyfunction("IMPORTRANGE(A35,""do8"")"),"Gannon buhr ")</f>
        <v>Gannon buhr</v>
      </c>
      <c r="BV29" s="102" t="n">
        <v>6</v>
      </c>
      <c r="BW29" s="134" t="n">
        <f aca="false">VLOOKUP(BV29,MPOSCORING,2, 0)</f>
        <v>91</v>
      </c>
      <c r="BX29" s="32"/>
      <c r="BY29" s="64" t="s">
        <v>36</v>
      </c>
      <c r="BZ29" s="101" t="str">
        <f aca="false">IFERROR(__xludf.dummyfunction("IMPORTRANGE(A35,""dw8"")"),"Gannon")</f>
        <v>Gannon</v>
      </c>
      <c r="CA29" s="102" t="n">
        <v>3</v>
      </c>
      <c r="CB29" s="134" t="n">
        <f aca="false">VLOOKUP(CA29,MPOSCORING,2, 0)</f>
        <v>96</v>
      </c>
      <c r="CC29" s="32"/>
      <c r="CD29" s="64" t="s">
        <v>36</v>
      </c>
      <c r="CE29" s="101" t="str">
        <f aca="false">IFERROR(__xludf.dummyfunction("IMPORTRANGE(A35,""ee8"")"),"Gannon")</f>
        <v>Gannon</v>
      </c>
      <c r="CF29" s="102" t="n">
        <v>1</v>
      </c>
      <c r="CG29" s="134" t="n">
        <f aca="false">VLOOKUP(CF29,MPOSCORING,3, 0)</f>
        <v>200</v>
      </c>
      <c r="CH29" s="33"/>
    </row>
    <row r="30" customFormat="false" ht="15" hidden="false" customHeight="false" outlineLevel="0" collapsed="false">
      <c r="A30" s="141" t="str">
        <f aca="false">IFERROR(__xludf.dummyfunction("IMPORTRANGE(A35,""a1"")"),"Catoutofthebuhrdiebag (Brandon)")</f>
        <v>Catoutofthebuhrdiebag (Brandon)</v>
      </c>
      <c r="B30" s="39" t="s">
        <v>82</v>
      </c>
      <c r="C30" s="39"/>
      <c r="D30" s="39"/>
      <c r="E30" s="39"/>
      <c r="F30" s="36" t="s">
        <v>39</v>
      </c>
      <c r="G30" s="139" t="s">
        <v>82</v>
      </c>
      <c r="H30" s="88" t="n">
        <v>39</v>
      </c>
      <c r="I30" s="136" t="n">
        <f aca="false">VLOOKUP(H30,MPOSCORING,2, 0)</f>
        <v>30</v>
      </c>
      <c r="J30" s="39" t="s">
        <v>39</v>
      </c>
      <c r="K30" s="105" t="str">
        <f aca="false">IFERROR(__xludf.dummyfunction("IMPORTRANGE(A35,""o9"")"),"Gurthie")</f>
        <v>Gurthie</v>
      </c>
      <c r="L30" s="41" t="n">
        <v>88</v>
      </c>
      <c r="M30" s="136" t="n">
        <f aca="false">VLOOKUP(L30,MPOSCORING,2, 0)</f>
        <v>0</v>
      </c>
      <c r="N30" s="42" t="s">
        <v>39</v>
      </c>
      <c r="O30" s="43" t="str">
        <f aca="false">IFERROR(__xludf.dummyfunction("IMPORTRANGE(A35,""w9"")"),"Andrew Marwede ")</f>
        <v>Andrew Marwede</v>
      </c>
      <c r="P30" s="44" t="n">
        <v>27</v>
      </c>
      <c r="Q30" s="136" t="n">
        <f aca="false">VLOOKUP(P30,MPOSCORING,2, 0)</f>
        <v>53</v>
      </c>
      <c r="R30" s="34" t="s">
        <v>39</v>
      </c>
      <c r="S30" s="106" t="str">
        <f aca="false">IFERROR(__xludf.dummyfunction("IMPORTRANGE(A35,""AE9"")"),"Marwede")</f>
        <v>Marwede</v>
      </c>
      <c r="T30" s="46" t="n">
        <v>56</v>
      </c>
      <c r="U30" s="138" t="n">
        <f aca="false">VLOOKUP(T30,MPOSCORING,2, 0)</f>
        <v>0</v>
      </c>
      <c r="V30" s="48" t="s">
        <v>39</v>
      </c>
      <c r="W30" s="107" t="str">
        <f aca="false">IFERROR(__xludf.dummyfunction("IMPORTRANGE(A35,""Am9"")"),"Gurthie")</f>
        <v>Gurthie</v>
      </c>
      <c r="X30" s="50" t="n">
        <v>46</v>
      </c>
      <c r="Y30" s="129" t="n">
        <f aca="false">VLOOKUP(X30,MPOSCORING,2, 0)</f>
        <v>17</v>
      </c>
      <c r="Z30" s="51"/>
      <c r="AA30" s="52" t="s">
        <v>39</v>
      </c>
      <c r="AB30" s="108" t="str">
        <f aca="false">IFERROR(__xludf.dummyfunction("IMPORTRANGE(A35,""Au9"")"),"Brodie")</f>
        <v>Brodie</v>
      </c>
      <c r="AC30" s="54" t="n">
        <v>36</v>
      </c>
      <c r="AD30" s="130" t="n">
        <f aca="false">VLOOKUP(AC30,MPOSCORING,2, 0)</f>
        <v>36</v>
      </c>
      <c r="AE30" s="51"/>
      <c r="AF30" s="55" t="s">
        <v>39</v>
      </c>
      <c r="AG30" s="109" t="str">
        <f aca="false">IFERROR(__xludf.dummyfunction("IMPORTRANGE(A35,""bc9"")"),"Gurthie")</f>
        <v>Gurthie</v>
      </c>
      <c r="AH30" s="57" t="n">
        <v>2</v>
      </c>
      <c r="AI30" s="131" t="n">
        <f aca="false">VLOOKUP(AH30,MPOSCORING,2, 0)</f>
        <v>98</v>
      </c>
      <c r="AJ30" s="51"/>
      <c r="AK30" s="58" t="s">
        <v>39</v>
      </c>
      <c r="AL30" s="110" t="str">
        <f aca="false">IFERROR(__xludf.dummyfunction("IMPORTRANGE(A35,""bk9"")"),"Gurthie")</f>
        <v>Gurthie</v>
      </c>
      <c r="AM30" s="60" t="n">
        <v>15</v>
      </c>
      <c r="AN30" s="132" t="n">
        <f aca="false">VLOOKUP(AM30,MPOSCORING,2, 0)</f>
        <v>75</v>
      </c>
      <c r="AO30" s="51"/>
      <c r="AP30" s="61" t="s">
        <v>40</v>
      </c>
      <c r="AQ30" s="111" t="str">
        <f aca="false">IFERROR(__xludf.dummyfunction("IMPORTRANGE(A35,""bs9"")"),"")</f>
        <v/>
      </c>
      <c r="AR30" s="63" t="s">
        <v>31</v>
      </c>
      <c r="AS30" s="133" t="n">
        <f aca="false">VLOOKUP(AR30,MPOSCORING,2, 0)</f>
        <v>0</v>
      </c>
      <c r="AT30" s="51"/>
      <c r="AU30" s="64" t="s">
        <v>39</v>
      </c>
      <c r="AV30" s="112" t="str">
        <f aca="false">IFERROR(__xludf.dummyfunction("IMPORTRANGE(A35,""ca9"")"),"Garret Gurthie ")</f>
        <v>Garret Gurthie</v>
      </c>
      <c r="AW30" s="66" t="n">
        <v>34</v>
      </c>
      <c r="AX30" s="134" t="n">
        <f aca="false">VLOOKUP(AW30,MPOSCORING,2, 0)</f>
        <v>40</v>
      </c>
      <c r="AY30" s="32"/>
      <c r="AZ30" s="36" t="s">
        <v>39</v>
      </c>
      <c r="BA30" s="139" t="str">
        <f aca="false">IFERROR(__xludf.dummyfunction("IMPORTRANGE(A35,""ci9"")"),"Gurthie")</f>
        <v>Gurthie</v>
      </c>
      <c r="BB30" s="37" t="n">
        <v>31</v>
      </c>
      <c r="BC30" s="135" t="n">
        <f aca="false">VLOOKUP(BB30,MPOSCORING,2, 0)</f>
        <v>46</v>
      </c>
      <c r="BD30" s="32"/>
      <c r="BE30" s="42" t="s">
        <v>39</v>
      </c>
      <c r="BF30" s="114" t="str">
        <f aca="false">IFERROR(__xludf.dummyfunction("IMPORTRANGE(A35,""cq9"")"),"Gurthie")</f>
        <v>Gurthie</v>
      </c>
      <c r="BG30" s="44" t="n">
        <v>20</v>
      </c>
      <c r="BH30" s="136" t="n">
        <f aca="false">VLOOKUP(BG30,MPOSCORING,2, 0)</f>
        <v>66</v>
      </c>
      <c r="BI30" s="32"/>
      <c r="BJ30" s="64" t="s">
        <v>39</v>
      </c>
      <c r="BK30" s="112" t="str">
        <f aca="false">IFERROR(__xludf.dummyfunction("IMPORTRANGE(A35,""cy9"")"),"Marwede")</f>
        <v>Marwede</v>
      </c>
      <c r="BL30" s="66" t="n">
        <v>16</v>
      </c>
      <c r="BM30" s="134" t="n">
        <f aca="false">VLOOKUP(BL30,MPOSCORING,2, 0)</f>
        <v>73</v>
      </c>
      <c r="BN30" s="32"/>
      <c r="BO30" s="64" t="s">
        <v>39</v>
      </c>
      <c r="BP30" s="112" t="str">
        <f aca="false">IFERROR(__xludf.dummyfunction("IMPORTRANGE(A35,""dg9"")"),"Garret Gurthie ")</f>
        <v>Garret Gurthie</v>
      </c>
      <c r="BQ30" s="66" t="n">
        <v>23</v>
      </c>
      <c r="BR30" s="134" t="n">
        <f aca="false">VLOOKUP(BQ30,MPOSCORING,3, 0)</f>
        <v>120</v>
      </c>
      <c r="BS30" s="33"/>
      <c r="BT30" s="64" t="s">
        <v>39</v>
      </c>
      <c r="BU30" s="112" t="str">
        <f aca="false">IFERROR(__xludf.dummyfunction("IMPORTRANGE(A35,""do9"")"),"Gurthie")</f>
        <v>Gurthie</v>
      </c>
      <c r="BV30" s="66" t="n">
        <v>40</v>
      </c>
      <c r="BW30" s="134" t="n">
        <f aca="false">VLOOKUP(BV30,MPOSCORING,2, 0)</f>
        <v>29</v>
      </c>
      <c r="BX30" s="32"/>
      <c r="BY30" s="64" t="s">
        <v>39</v>
      </c>
      <c r="BZ30" s="112" t="str">
        <f aca="false">IFERROR(__xludf.dummyfunction("IMPORTRANGE(A35,""dw9"")"),"Gurthie")</f>
        <v>Gurthie</v>
      </c>
      <c r="CA30" s="66" t="n">
        <v>26</v>
      </c>
      <c r="CB30" s="134" t="n">
        <f aca="false">VLOOKUP(CA30,MPOSCORING,2, 0)</f>
        <v>55</v>
      </c>
      <c r="CC30" s="32"/>
      <c r="CD30" s="64" t="s">
        <v>39</v>
      </c>
      <c r="CE30" s="112" t="str">
        <f aca="false">IFERROR(__xludf.dummyfunction("IMPORTRANGE(A35,""ee9"")"),"Gurthie")</f>
        <v>Gurthie</v>
      </c>
      <c r="CF30" s="66" t="n">
        <v>35</v>
      </c>
      <c r="CG30" s="134" t="n">
        <f aca="false">VLOOKUP(CF30,MPOSCORING,3, 0)</f>
        <v>76</v>
      </c>
      <c r="CH30" s="33"/>
    </row>
    <row r="31" customFormat="false" ht="15" hidden="false" customHeight="false" outlineLevel="0" collapsed="false">
      <c r="A31" s="141" t="str">
        <f aca="false">IFERROR(__xludf.dummyfunction("IMPORTRANGE(A35,""a1"")"),"Catoutofthebuhrdiebag (Brandon)")</f>
        <v>Catoutofthebuhrdiebag (Brandon)</v>
      </c>
      <c r="B31" s="39" t="s">
        <v>83</v>
      </c>
      <c r="C31" s="39"/>
      <c r="D31" s="39"/>
      <c r="E31" s="39"/>
      <c r="F31" s="36" t="s">
        <v>42</v>
      </c>
      <c r="G31" s="139" t="s">
        <v>84</v>
      </c>
      <c r="H31" s="88" t="n">
        <v>83</v>
      </c>
      <c r="I31" s="136" t="n">
        <f aca="false">VLOOKUP(H31,MPOSCORING,2, 0)</f>
        <v>0</v>
      </c>
      <c r="J31" s="39" t="s">
        <v>42</v>
      </c>
      <c r="K31" s="105" t="str">
        <f aca="false">IFERROR(__xludf.dummyfunction("IMPORTRANGE(A35,""o10"")"),"Brodie")</f>
        <v>Brodie</v>
      </c>
      <c r="L31" s="41" t="n">
        <v>36</v>
      </c>
      <c r="M31" s="136" t="n">
        <f aca="false">VLOOKUP(L31,MPOSCORING,2, 0)</f>
        <v>36</v>
      </c>
      <c r="N31" s="42" t="s">
        <v>42</v>
      </c>
      <c r="O31" s="43" t="str">
        <f aca="false">IFERROR(__xludf.dummyfunction("IMPORTRANGE(A35,""w10"")"),"Brodie Smith")</f>
        <v>Brodie Smith</v>
      </c>
      <c r="P31" s="44" t="n">
        <v>51</v>
      </c>
      <c r="Q31" s="136" t="n">
        <f aca="false">VLOOKUP(P31,MPOSCORING,2, 0)</f>
        <v>9</v>
      </c>
      <c r="R31" s="34" t="s">
        <v>42</v>
      </c>
      <c r="S31" s="106" t="str">
        <f aca="false">IFERROR(__xludf.dummyfunction("IMPORTRANGE(A35,""AE10"")"),"Brodie")</f>
        <v>Brodie</v>
      </c>
      <c r="T31" s="46" t="n">
        <v>25</v>
      </c>
      <c r="U31" s="138" t="n">
        <f aca="false">VLOOKUP(T31,MPOSCORING,2, 0)</f>
        <v>57</v>
      </c>
      <c r="V31" s="48" t="s">
        <v>42</v>
      </c>
      <c r="W31" s="107" t="str">
        <f aca="false">IFERROR(__xludf.dummyfunction("IMPORTRANGE(A35,""Am10"")"),"Zack johnson")</f>
        <v>Zack johnson</v>
      </c>
      <c r="X31" s="50" t="n">
        <v>46</v>
      </c>
      <c r="Y31" s="129" t="n">
        <f aca="false">VLOOKUP(X31,MPOSCORING,2, 0)</f>
        <v>17</v>
      </c>
      <c r="Z31" s="51"/>
      <c r="AA31" s="52" t="s">
        <v>42</v>
      </c>
      <c r="AB31" s="108" t="str">
        <f aca="false">IFERROR(__xludf.dummyfunction("IMPORTRANGE(A35,""Au10"")"),"Gurthie")</f>
        <v>Gurthie</v>
      </c>
      <c r="AC31" s="54" t="n">
        <v>19</v>
      </c>
      <c r="AD31" s="130" t="n">
        <f aca="false">VLOOKUP(AC31,MPOSCORING,2, 0)</f>
        <v>67</v>
      </c>
      <c r="AE31" s="51"/>
      <c r="AF31" s="55" t="s">
        <v>42</v>
      </c>
      <c r="AG31" s="109" t="str">
        <f aca="false">IFERROR(__xludf.dummyfunction("IMPORTRANGE(A35,""BC10"")"),"Brodie")</f>
        <v>Brodie</v>
      </c>
      <c r="AH31" s="57" t="n">
        <v>32</v>
      </c>
      <c r="AI31" s="131" t="n">
        <f aca="false">VLOOKUP(AH31,MPOSCORING,2, 0)</f>
        <v>44</v>
      </c>
      <c r="AJ31" s="51"/>
      <c r="AK31" s="58" t="s">
        <v>42</v>
      </c>
      <c r="AL31" s="110" t="str">
        <f aca="false">IFERROR(__xludf.dummyfunction("IMPORTRANGE(A35,""Bk10"")"),"Brodie")</f>
        <v>Brodie</v>
      </c>
      <c r="AM31" s="60" t="n">
        <v>80</v>
      </c>
      <c r="AN31" s="132" t="n">
        <f aca="false">VLOOKUP(AM31,MPOSCORING,2, 0)</f>
        <v>0</v>
      </c>
      <c r="AO31" s="51"/>
      <c r="AP31" s="61" t="s">
        <v>43</v>
      </c>
      <c r="AQ31" s="111" t="str">
        <f aca="false">IFERROR(__xludf.dummyfunction("IMPORTRANGE(A35,""Bs10"")"),"")</f>
        <v/>
      </c>
      <c r="AR31" s="63" t="s">
        <v>31</v>
      </c>
      <c r="AS31" s="133" t="n">
        <f aca="false">VLOOKUP(AR31,MPOSCORING,2, 0)</f>
        <v>0</v>
      </c>
      <c r="AT31" s="51"/>
      <c r="AU31" s="64" t="s">
        <v>42</v>
      </c>
      <c r="AV31" s="112" t="str">
        <f aca="false">IFERROR(__xludf.dummyfunction("IMPORTRANGE(A35,""ca10"")"),"Andrew Marwede")</f>
        <v>Andrew Marwede</v>
      </c>
      <c r="AW31" s="66" t="n">
        <v>30</v>
      </c>
      <c r="AX31" s="134" t="n">
        <f aca="false">VLOOKUP(AW31,MPOSCORING,2, 0)</f>
        <v>48</v>
      </c>
      <c r="AY31" s="32"/>
      <c r="AZ31" s="36" t="s">
        <v>42</v>
      </c>
      <c r="BA31" s="139" t="str">
        <f aca="false">IFERROR(__xludf.dummyfunction("IMPORTRANGE(A35,""ci10"")"),"Brodie")</f>
        <v>Brodie</v>
      </c>
      <c r="BB31" s="37" t="n">
        <v>9</v>
      </c>
      <c r="BC31" s="135" t="n">
        <f aca="false">VLOOKUP(BB31,MPOSCORING,2, 0)</f>
        <v>85</v>
      </c>
      <c r="BD31" s="32"/>
      <c r="BE31" s="42" t="s">
        <v>42</v>
      </c>
      <c r="BF31" s="114" t="str">
        <f aca="false">IFERROR(__xludf.dummyfunction("IMPORTRANGE(A35,""cq10"")"),"Brodie")</f>
        <v>Brodie</v>
      </c>
      <c r="BG31" s="44" t="n">
        <v>53</v>
      </c>
      <c r="BH31" s="136" t="n">
        <f aca="false">VLOOKUP(BG31,MPOSCORING,2, 0)</f>
        <v>7</v>
      </c>
      <c r="BI31" s="32"/>
      <c r="BJ31" s="64" t="s">
        <v>42</v>
      </c>
      <c r="BK31" s="112" t="str">
        <f aca="false">IFERROR(__xludf.dummyfunction("IMPORTRANGE(A35,""cy10"")"),"Gurthie")</f>
        <v>Gurthie</v>
      </c>
      <c r="BL31" s="66" t="n">
        <v>57</v>
      </c>
      <c r="BM31" s="134" t="n">
        <f aca="false">VLOOKUP(BL31,MPOSCORING,2, 0)</f>
        <v>0</v>
      </c>
      <c r="BN31" s="32"/>
      <c r="BO31" s="64" t="s">
        <v>42</v>
      </c>
      <c r="BP31" s="112" t="str">
        <f aca="false">IFERROR(__xludf.dummyfunction("IMPORTRANGE(A35,""dg10"")"),"Andrew marwede")</f>
        <v>Andrew marwede</v>
      </c>
      <c r="BQ31" s="66" t="n">
        <v>73</v>
      </c>
      <c r="BR31" s="134" t="n">
        <f aca="false">VLOOKUP(BQ31,MPOSCORING,3, 0)</f>
        <v>0</v>
      </c>
      <c r="BS31" s="33"/>
      <c r="BT31" s="64" t="s">
        <v>42</v>
      </c>
      <c r="BU31" s="112" t="str">
        <f aca="false">IFERROR(__xludf.dummyfunction("IMPORTRANGE(A35,""do10"")"),"Andrew marwede")</f>
        <v>Andrew marwede</v>
      </c>
      <c r="BV31" s="66" t="n">
        <v>22</v>
      </c>
      <c r="BW31" s="134" t="n">
        <f aca="false">VLOOKUP(BV31,MPOSCORING,2, 0)</f>
        <v>62</v>
      </c>
      <c r="BX31" s="32"/>
      <c r="BY31" s="64" t="s">
        <v>42</v>
      </c>
      <c r="BZ31" s="112" t="str">
        <f aca="false">IFERROR(__xludf.dummyfunction("IMPORTRANGE(A35,""dw10"") "),"Marwede")</f>
        <v>Marwede</v>
      </c>
      <c r="CA31" s="66" t="n">
        <v>17</v>
      </c>
      <c r="CB31" s="134" t="n">
        <f aca="false">VLOOKUP(CA31,MPOSCORING,2, 0)</f>
        <v>71</v>
      </c>
      <c r="CC31" s="32"/>
      <c r="CD31" s="64" t="s">
        <v>42</v>
      </c>
      <c r="CE31" s="112" t="str">
        <f aca="false">IFERROR(__xludf.dummyfunction("IMPORTRANGE(A35,""ee10"") "),"Brodie")</f>
        <v>Brodie</v>
      </c>
      <c r="CF31" s="66" t="n">
        <v>28</v>
      </c>
      <c r="CG31" s="134" t="n">
        <f aca="false">VLOOKUP(CF31,MPOSCORING,3, 0)</f>
        <v>102</v>
      </c>
      <c r="CH31" s="33"/>
    </row>
    <row r="32" customFormat="false" ht="15" hidden="false" customHeight="false" outlineLevel="0" collapsed="false">
      <c r="A32" s="141" t="str">
        <f aca="false">IFERROR(__xludf.dummyfunction("IMPORTRANGE(A35,""a1"")"),"Catoutofthebuhrdiebag (Brandon)")</f>
        <v>Catoutofthebuhrdiebag (Brandon)</v>
      </c>
      <c r="B32" s="39" t="s">
        <v>85</v>
      </c>
      <c r="C32" s="39"/>
      <c r="D32" s="39"/>
      <c r="E32" s="39"/>
      <c r="F32" s="36" t="s">
        <v>45</v>
      </c>
      <c r="G32" s="139" t="s">
        <v>86</v>
      </c>
      <c r="H32" s="88" t="n">
        <v>34</v>
      </c>
      <c r="I32" s="136" t="n">
        <f aca="false">VLOOKUP(H32,MPOSCORING,2, 0)</f>
        <v>40</v>
      </c>
      <c r="J32" s="39" t="s">
        <v>45</v>
      </c>
      <c r="K32" s="105" t="str">
        <f aca="false">IFERROR(__xludf.dummyfunction("IMPORTRANGE(A35,""o11"")"),"Marwede")</f>
        <v>Marwede</v>
      </c>
      <c r="L32" s="41" t="n">
        <v>20</v>
      </c>
      <c r="M32" s="136" t="n">
        <f aca="false">VLOOKUP(L32,MPOSCORING,2, 0)</f>
        <v>66</v>
      </c>
      <c r="N32" s="42" t="s">
        <v>45</v>
      </c>
      <c r="O32" s="43" t="str">
        <f aca="false">IFERROR(__xludf.dummyfunction("IMPORTRANGE(A35,""W11"")"),"Ben callaway ")</f>
        <v>Ben callaway</v>
      </c>
      <c r="P32" s="44" t="n">
        <v>40</v>
      </c>
      <c r="Q32" s="136" t="n">
        <f aca="false">VLOOKUP(P32,MPOSCORING,2, 0)</f>
        <v>29</v>
      </c>
      <c r="R32" s="34" t="s">
        <v>45</v>
      </c>
      <c r="S32" s="106" t="str">
        <f aca="false">IFERROR(__xludf.dummyfunction("IMPORTRANGE(A35,""AE11"")"),"Gurthie")</f>
        <v>Gurthie</v>
      </c>
      <c r="T32" s="46" t="n">
        <v>29</v>
      </c>
      <c r="U32" s="138" t="n">
        <f aca="false">VLOOKUP(T32,MPOSCORING,2, 0)</f>
        <v>49</v>
      </c>
      <c r="V32" s="48" t="s">
        <v>45</v>
      </c>
      <c r="W32" s="107" t="str">
        <f aca="false">IFERROR(__xludf.dummyfunction("IMPORTRANGE(A35,""Am11"")"),"Brodie smith")</f>
        <v>Brodie smith</v>
      </c>
      <c r="X32" s="50" t="n">
        <v>3</v>
      </c>
      <c r="Y32" s="129" t="n">
        <f aca="false">VLOOKUP(X32,MPOSCORING,2, 0)</f>
        <v>96</v>
      </c>
      <c r="Z32" s="51"/>
      <c r="AA32" s="52" t="s">
        <v>45</v>
      </c>
      <c r="AB32" s="108" t="str">
        <f aca="false">IFERROR(__xludf.dummyfunction("IMPORTRANGE(A35,""Au11"")"),"Zackeriath johnson")</f>
        <v>Zackeriath johnson</v>
      </c>
      <c r="AC32" s="54" t="n">
        <v>47</v>
      </c>
      <c r="AD32" s="130" t="n">
        <f aca="false">VLOOKUP(AC32,MPOSCORING,2, 0)</f>
        <v>15</v>
      </c>
      <c r="AE32" s="51"/>
      <c r="AF32" s="55" t="s">
        <v>45</v>
      </c>
      <c r="AG32" s="109" t="str">
        <f aca="false">IFERROR(__xludf.dummyfunction("IMPORTRANGE(A35,""bc11"")"),"Ben callaway")</f>
        <v>Ben callaway</v>
      </c>
      <c r="AH32" s="57" t="n">
        <v>32</v>
      </c>
      <c r="AI32" s="131" t="n">
        <f aca="false">VLOOKUP(AH32,MPOSCORING,2, 0)</f>
        <v>44</v>
      </c>
      <c r="AJ32" s="51"/>
      <c r="AK32" s="58" t="s">
        <v>45</v>
      </c>
      <c r="AL32" s="110" t="str">
        <f aca="false">IFERROR(__xludf.dummyfunction("IMPORTRANGE(A35,""bk11"")"),"Marwede")</f>
        <v>Marwede</v>
      </c>
      <c r="AM32" s="60" t="n">
        <v>33</v>
      </c>
      <c r="AN32" s="132" t="n">
        <f aca="false">VLOOKUP(AM32,MPOSCORING,2, 0)</f>
        <v>42</v>
      </c>
      <c r="AO32" s="51"/>
      <c r="AP32" s="61" t="s">
        <v>46</v>
      </c>
      <c r="AQ32" s="111" t="str">
        <f aca="false">IFERROR(__xludf.dummyfunction("IMPORTRANGE(A35,""bs11"")"),"")</f>
        <v/>
      </c>
      <c r="AR32" s="63" t="s">
        <v>31</v>
      </c>
      <c r="AS32" s="133" t="n">
        <f aca="false">VLOOKUP(AR32,MPOSCORING,2, 0)</f>
        <v>0</v>
      </c>
      <c r="AT32" s="51"/>
      <c r="AU32" s="64" t="s">
        <v>45</v>
      </c>
      <c r="AV32" s="112" t="str">
        <f aca="false">IFERROR(__xludf.dummyfunction("IMPORTRANGE(A35,""ca11"")"),"Zack Johnson")</f>
        <v>Zack Johnson</v>
      </c>
      <c r="AW32" s="66" t="n">
        <v>90</v>
      </c>
      <c r="AX32" s="134" t="n">
        <f aca="false">VLOOKUP(AW32,MPOSCORING,2, 0)</f>
        <v>0</v>
      </c>
      <c r="AY32" s="32"/>
      <c r="AZ32" s="36" t="s">
        <v>45</v>
      </c>
      <c r="BA32" s="139" t="str">
        <f aca="false">IFERROR(__xludf.dummyfunction("IMPORTRANGE(A35,""ci11"")"),"Marwede")</f>
        <v>Marwede</v>
      </c>
      <c r="BB32" s="37" t="n">
        <v>7</v>
      </c>
      <c r="BC32" s="135" t="n">
        <f aca="false">VLOOKUP(BB32,MPOSCORING,2, 0)</f>
        <v>89</v>
      </c>
      <c r="BD32" s="32"/>
      <c r="BE32" s="42" t="s">
        <v>45</v>
      </c>
      <c r="BF32" s="114" t="str">
        <f aca="false">IFERROR(__xludf.dummyfunction("IMPORTRANGE(A35,""cq11"")"),"Marwede")</f>
        <v>Marwede</v>
      </c>
      <c r="BG32" s="44" t="n">
        <v>16</v>
      </c>
      <c r="BH32" s="136" t="n">
        <f aca="false">VLOOKUP(BG32,MPOSCORING,2, 0)</f>
        <v>73</v>
      </c>
      <c r="BI32" s="32"/>
      <c r="BJ32" s="64" t="s">
        <v>45</v>
      </c>
      <c r="BK32" s="112" t="str">
        <f aca="false">IFERROR(__xludf.dummyfunction("IMPORTRANGE(A35,""cy11"")"),"Brodie")</f>
        <v>Brodie</v>
      </c>
      <c r="BL32" s="66" t="n">
        <v>83</v>
      </c>
      <c r="BM32" s="134" t="n">
        <f aca="false">VLOOKUP(BL32,MPOSCORING,2, 0)</f>
        <v>0</v>
      </c>
      <c r="BN32" s="32"/>
      <c r="BO32" s="64" t="s">
        <v>45</v>
      </c>
      <c r="BP32" s="112" t="str">
        <f aca="false">IFERROR(__xludf.dummyfunction("IMPORTRANGE(A35,""dg11"")"),"Brodie smith")</f>
        <v>Brodie smith</v>
      </c>
      <c r="BQ32" s="66" t="n">
        <v>41</v>
      </c>
      <c r="BR32" s="134" t="n">
        <f aca="false">VLOOKUP(BQ32,MPOSCORING,3, 0)</f>
        <v>54</v>
      </c>
      <c r="BS32" s="33"/>
      <c r="BT32" s="64" t="s">
        <v>45</v>
      </c>
      <c r="BU32" s="112" t="str">
        <f aca="false">IFERROR(__xludf.dummyfunction("IMPORTRANGE(A35,""do11"")"),"Brodie Smith")</f>
        <v>Brodie Smith</v>
      </c>
      <c r="BV32" s="66" t="n">
        <v>19</v>
      </c>
      <c r="BW32" s="134" t="n">
        <f aca="false">VLOOKUP(BV32,MPOSCORING,2, 0)</f>
        <v>67</v>
      </c>
      <c r="BX32" s="32"/>
      <c r="BY32" s="64" t="s">
        <v>45</v>
      </c>
      <c r="BZ32" s="112" t="str">
        <f aca="false">IFERROR(__xludf.dummyfunction("IMPORTRANGE(A35,""dw11"")"),"Ben callaway")</f>
        <v>Ben callaway</v>
      </c>
      <c r="CA32" s="66" t="n">
        <v>17</v>
      </c>
      <c r="CB32" s="134" t="n">
        <f aca="false">VLOOKUP(CA32,MPOSCORING,2, 0)</f>
        <v>71</v>
      </c>
      <c r="CC32" s="32"/>
      <c r="CD32" s="64" t="s">
        <v>45</v>
      </c>
      <c r="CE32" s="112" t="str">
        <f aca="false">IFERROR(__xludf.dummyfunction("IMPORTRANGE(A35,""ee11"")"),"Marwede")</f>
        <v>Marwede</v>
      </c>
      <c r="CF32" s="66" t="n">
        <v>23</v>
      </c>
      <c r="CG32" s="134" t="n">
        <f aca="false">VLOOKUP(CF32,MPOSCORING,3, 0)</f>
        <v>120</v>
      </c>
      <c r="CH32" s="33"/>
    </row>
    <row r="33" customFormat="false" ht="15" hidden="false" customHeight="false" outlineLevel="0" collapsed="false">
      <c r="A33" s="141" t="str">
        <f aca="false">IFERROR(__xludf.dummyfunction("IMPORTRANGE(A35,""a1"")"),"Catoutofthebuhrdiebag (Brandon)")</f>
        <v>Catoutofthebuhrdiebag (Brandon)</v>
      </c>
      <c r="B33" s="39" t="s">
        <v>87</v>
      </c>
      <c r="C33" s="39"/>
      <c r="D33" s="39"/>
      <c r="E33" s="39"/>
      <c r="F33" s="36" t="s">
        <v>48</v>
      </c>
      <c r="G33" s="139" t="s">
        <v>83</v>
      </c>
      <c r="H33" s="88" t="n">
        <v>17</v>
      </c>
      <c r="I33" s="136" t="n">
        <f aca="false">VLOOKUP(H33,FPOSCORING,2, 0)</f>
        <v>24</v>
      </c>
      <c r="J33" s="39" t="s">
        <v>48</v>
      </c>
      <c r="K33" s="105" t="str">
        <f aca="false">IFERROR(__xludf.dummyfunction("IMPORTRANGE(A35,""o12"")"),"Holyn Handley")</f>
        <v>Holyn Handley</v>
      </c>
      <c r="L33" s="41" t="n">
        <v>13</v>
      </c>
      <c r="M33" s="136" t="n">
        <f aca="false">VLOOKUP(L33,FPOSCORING,2, 0)</f>
        <v>42</v>
      </c>
      <c r="N33" s="42" t="s">
        <v>48</v>
      </c>
      <c r="O33" s="43" t="str">
        <f aca="false">IFERROR(__xludf.dummyfunction("IMPORTRANGE(A35,""w12"")"),"Rebecca Cox ")</f>
        <v>Rebecca Cox</v>
      </c>
      <c r="P33" s="44" t="n">
        <v>31</v>
      </c>
      <c r="Q33" s="136" t="n">
        <f aca="false">VLOOKUP(P33,FPOSCORING,2, 0)</f>
        <v>0</v>
      </c>
      <c r="R33" s="34" t="s">
        <v>48</v>
      </c>
      <c r="S33" s="106" t="str">
        <f aca="false">IFERROR(__xludf.dummyfunction("IMPORTRANGE(A35,""AE12"")"),"Zack Johnson")</f>
        <v>Zack Johnson</v>
      </c>
      <c r="T33" s="46" t="n">
        <v>46</v>
      </c>
      <c r="U33" s="138" t="n">
        <f aca="false">VLOOKUP(T33,MPOSCORING,2, 0)</f>
        <v>17</v>
      </c>
      <c r="V33" s="48" t="s">
        <v>48</v>
      </c>
      <c r="W33" s="107" t="str">
        <f aca="false">IFERROR(__xludf.dummyfunction("IMPORTRANGE(A35,""Am12"")"),"Rebecca cox")</f>
        <v>Rebecca cox</v>
      </c>
      <c r="X33" s="50" t="n">
        <v>13</v>
      </c>
      <c r="Y33" s="129" t="n">
        <f aca="false">VLOOKUP(X33,FPOSCORING,2, 0)</f>
        <v>42</v>
      </c>
      <c r="Z33" s="51"/>
      <c r="AA33" s="52" t="s">
        <v>48</v>
      </c>
      <c r="AB33" s="108" t="str">
        <f aca="false">IFERROR(__xludf.dummyfunction("IMPORTRANGE(A35,""Au12"")"),"Ben callaway")</f>
        <v>Ben callaway</v>
      </c>
      <c r="AC33" s="54" t="n">
        <v>27</v>
      </c>
      <c r="AD33" s="130" t="n">
        <f aca="false">VLOOKUP(AC33,MPOSCORING,2, 0)</f>
        <v>53</v>
      </c>
      <c r="AE33" s="51"/>
      <c r="AF33" s="55" t="s">
        <v>48</v>
      </c>
      <c r="AG33" s="109" t="str">
        <f aca="false">IFERROR(__xludf.dummyfunction("IMPORTRANGE(A35,""bc12"")"),"Marwede")</f>
        <v>Marwede</v>
      </c>
      <c r="AH33" s="57" t="n">
        <v>37</v>
      </c>
      <c r="AI33" s="131" t="n">
        <f aca="false">VLOOKUP(AH33,MPOSCORING,2, 0)</f>
        <v>34</v>
      </c>
      <c r="AJ33" s="51"/>
      <c r="AK33" s="58" t="s">
        <v>48</v>
      </c>
      <c r="AL33" s="110" t="str">
        <f aca="false">IFERROR(__xludf.dummyfunction("IMPORTRANGE(A35,""bk12"")"),"Eveliina ")</f>
        <v>Eveliina</v>
      </c>
      <c r="AM33" s="60" t="n">
        <v>5</v>
      </c>
      <c r="AN33" s="132" t="n">
        <f aca="false">VLOOKUP(AM33,MPOSCORING,2, 0)</f>
        <v>93</v>
      </c>
      <c r="AO33" s="51"/>
      <c r="AP33" s="61" t="s">
        <v>49</v>
      </c>
      <c r="AQ33" s="111" t="str">
        <f aca="false">IFERROR(__xludf.dummyfunction("IMPORTRANGE(A35,""bs12"")"),"")</f>
        <v/>
      </c>
      <c r="AR33" s="63" t="s">
        <v>31</v>
      </c>
      <c r="AS33" s="133" t="n">
        <f aca="false">VLOOKUP(AR33,MPOSCORING,2, 0)</f>
        <v>0</v>
      </c>
      <c r="AT33" s="51"/>
      <c r="AU33" s="64" t="s">
        <v>48</v>
      </c>
      <c r="AV33" s="112" t="str">
        <f aca="false">IFERROR(__xludf.dummyfunction("IMPORTRANGE(A35,""ca12"")"),"Cox")</f>
        <v>Cox</v>
      </c>
      <c r="AW33" s="66" t="n">
        <v>19</v>
      </c>
      <c r="AX33" s="134" t="n">
        <f aca="false">VLOOKUP(AW33,FPOSCORING,2, 0)</f>
        <v>15</v>
      </c>
      <c r="AY33" s="32"/>
      <c r="AZ33" s="36" t="s">
        <v>48</v>
      </c>
      <c r="BA33" s="139" t="str">
        <f aca="false">IFERROR(__xludf.dummyfunction("IMPORTRANGE(A35,""ci12"")"),"Cox")</f>
        <v>Cox</v>
      </c>
      <c r="BB33" s="37" t="n">
        <v>26</v>
      </c>
      <c r="BC33" s="135" t="n">
        <f aca="false">VLOOKUP(BB33,FPOSCORING,2, 0)</f>
        <v>0</v>
      </c>
      <c r="BD33" s="32"/>
      <c r="BE33" s="42" t="s">
        <v>48</v>
      </c>
      <c r="BF33" s="114" t="str">
        <f aca="false">IFERROR(__xludf.dummyfunction("IMPORTRANGE(A35,""cq12"")"),"Callaway")</f>
        <v>Callaway</v>
      </c>
      <c r="BG33" s="44" t="n">
        <v>58</v>
      </c>
      <c r="BH33" s="136" t="n">
        <f aca="false">VLOOKUP(BG33,MPOSCORING,2, 0)</f>
        <v>0</v>
      </c>
      <c r="BI33" s="32"/>
      <c r="BJ33" s="64" t="s">
        <v>48</v>
      </c>
      <c r="BK33" s="112" t="str">
        <f aca="false">IFERROR(__xludf.dummyfunction("IMPORTRANGE(A35,""cy12"")"),"Z Johnson")</f>
        <v>Z Johnson</v>
      </c>
      <c r="BL33" s="66" t="n">
        <v>99</v>
      </c>
      <c r="BM33" s="134" t="n">
        <f aca="false">VLOOKUP(BL33,MPOSCORING,2, 0)</f>
        <v>0</v>
      </c>
      <c r="BN33" s="32"/>
      <c r="BO33" s="64" t="s">
        <v>48</v>
      </c>
      <c r="BP33" s="112" t="str">
        <f aca="false">IFERROR(__xludf.dummyfunction("IMPORTRANGE(A35,""dg12"")"),"Holyn Handley ")</f>
        <v>Holyn Handley</v>
      </c>
      <c r="BQ33" s="66" t="n">
        <v>3</v>
      </c>
      <c r="BR33" s="134" t="n">
        <f aca="false">VLOOKUP(BQ33,FPOSCORING,3, 0)</f>
        <v>182</v>
      </c>
      <c r="BS33" s="33"/>
      <c r="BT33" s="64" t="s">
        <v>48</v>
      </c>
      <c r="BU33" s="112" t="str">
        <f aca="false">IFERROR(__xludf.dummyfunction("IMPORTRANGE(A35,""do12"")"),"Ben Callaway")</f>
        <v>Ben Callaway</v>
      </c>
      <c r="BV33" s="66" t="n">
        <v>63</v>
      </c>
      <c r="BW33" s="134" t="n">
        <f aca="false">VLOOKUP(BV33,MPOSCORING,2, 0)</f>
        <v>0</v>
      </c>
      <c r="BX33" s="32"/>
      <c r="BY33" s="64" t="s">
        <v>48</v>
      </c>
      <c r="BZ33" s="112" t="str">
        <f aca="false">IFERROR(__xludf.dummyfunction("IMPORTRANGE(A35,""dw12"")"),"Holyn")</f>
        <v>Holyn</v>
      </c>
      <c r="CA33" s="66" t="n">
        <v>4</v>
      </c>
      <c r="CB33" s="134" t="n">
        <f aca="false">VLOOKUP(CA33,FPOSCORING,2, 0)</f>
        <v>86</v>
      </c>
      <c r="CC33" s="32"/>
      <c r="CD33" s="64" t="s">
        <v>48</v>
      </c>
      <c r="CE33" s="112" t="str">
        <f aca="false">IFERROR(__xludf.dummyfunction("IMPORTRANGE(A35,""ee12"")"),"Catrina")</f>
        <v>Catrina</v>
      </c>
      <c r="CF33" s="66" t="n">
        <v>1</v>
      </c>
      <c r="CG33" s="134" t="n">
        <f aca="false">VLOOKUP(CF33,FPOSCORING,3, 0)</f>
        <v>200</v>
      </c>
      <c r="CH33" s="33"/>
    </row>
    <row r="34" customFormat="false" ht="15" hidden="false" customHeight="false" outlineLevel="0" collapsed="false">
      <c r="A34" s="141" t="str">
        <f aca="false">IFERROR(__xludf.dummyfunction("IMPORTRANGE(A35,""a1"")"),"Catoutofthebuhrdiebag (Brandon)")</f>
        <v>Catoutofthebuhrdiebag (Brandon)</v>
      </c>
      <c r="B34" s="39" t="s">
        <v>84</v>
      </c>
      <c r="C34" s="39"/>
      <c r="D34" s="39"/>
      <c r="E34" s="39"/>
      <c r="F34" s="36" t="s">
        <v>40</v>
      </c>
      <c r="G34" s="139" t="s">
        <v>88</v>
      </c>
      <c r="H34" s="88" t="n">
        <v>44</v>
      </c>
      <c r="I34" s="115" t="n">
        <f aca="false">VLOOKUP(H34,MPOSCORING,2, 0)</f>
        <v>21</v>
      </c>
      <c r="J34" s="39" t="s">
        <v>40</v>
      </c>
      <c r="K34" s="105" t="str">
        <f aca="false">IFERROR(__xludf.dummyfunction("IMPORTRANGE(A35,""o13"")"),"Zac")</f>
        <v>Zac</v>
      </c>
      <c r="L34" s="41" t="n">
        <v>34</v>
      </c>
      <c r="M34" s="115" t="n">
        <f aca="false">VLOOKUP(L34,MPOSCORING,2, 0)</f>
        <v>40</v>
      </c>
      <c r="N34" s="42" t="s">
        <v>40</v>
      </c>
      <c r="O34" s="43" t="str">
        <f aca="false">IFERROR(__xludf.dummyfunction("IMPORTRANGE(A35,""w13"")"),"Garret Gurthie ")</f>
        <v>Garret Gurthie</v>
      </c>
      <c r="P34" s="44" t="s">
        <v>31</v>
      </c>
      <c r="Q34" s="115" t="n">
        <f aca="false">VLOOKUP(P34,MPOSCORING,2, 0)</f>
        <v>0</v>
      </c>
      <c r="R34" s="34" t="s">
        <v>40</v>
      </c>
      <c r="S34" s="106" t="str">
        <f aca="false">IFERROR(__xludf.dummyfunction("IMPORTRANGE(A35,""AE13"")"),"Eveliina")</f>
        <v>Eveliina</v>
      </c>
      <c r="T34" s="46" t="s">
        <v>31</v>
      </c>
      <c r="U34" s="116" t="n">
        <f aca="false">VLOOKUP(T34,MPOSCORING,2, 0)</f>
        <v>0</v>
      </c>
      <c r="V34" s="48" t="s">
        <v>40</v>
      </c>
      <c r="W34" s="107" t="s">
        <v>89</v>
      </c>
      <c r="X34" s="50" t="s">
        <v>31</v>
      </c>
      <c r="Y34" s="117" t="n">
        <f aca="false">VLOOKUP(X34,MPOSCORING,2, 0)</f>
        <v>0</v>
      </c>
      <c r="Z34" s="51"/>
      <c r="AA34" s="52" t="s">
        <v>40</v>
      </c>
      <c r="AB34" s="108" t="str">
        <f aca="false">IFERROR(__xludf.dummyfunction("IMPORTRANGE(A35,""Au13"")"),"Andrew Marwede")</f>
        <v>Andrew Marwede</v>
      </c>
      <c r="AC34" s="54" t="s">
        <v>31</v>
      </c>
      <c r="AD34" s="130" t="n">
        <f aca="false">VLOOKUP(AC34,MPOSCORING,2, 0)</f>
        <v>0</v>
      </c>
      <c r="AE34" s="51"/>
      <c r="AF34" s="55" t="s">
        <v>40</v>
      </c>
      <c r="AG34" s="109" t="str">
        <f aca="false">IFERROR(__xludf.dummyfunction("IMPORTRANGE(A35,""bc13"")"),"Zackeriath johnson")</f>
        <v>Zackeriath johnson</v>
      </c>
      <c r="AH34" s="57" t="n">
        <v>26</v>
      </c>
      <c r="AI34" s="118" t="n">
        <f aca="false">VLOOKUP(AH34,MPOSCORING,2, 0)</f>
        <v>55</v>
      </c>
      <c r="AJ34" s="51"/>
      <c r="AK34" s="58" t="s">
        <v>40</v>
      </c>
      <c r="AL34" s="110" t="str">
        <f aca="false">IFERROR(__xludf.dummyfunction("IMPORTRANGE(A35,""bk13"")"),"Holyn")</f>
        <v>Holyn</v>
      </c>
      <c r="AM34" s="60" t="n">
        <v>6</v>
      </c>
      <c r="AN34" s="119" t="n">
        <f aca="false">VLOOKUP(AM34,FPOSCORING,2, 0)</f>
        <v>76</v>
      </c>
      <c r="AO34" s="51"/>
      <c r="AP34" s="61" t="s">
        <v>51</v>
      </c>
      <c r="AQ34" s="111" t="str">
        <f aca="false">IFERROR(__xludf.dummyfunction("IMPORTRANGE(A35,""bs13"")"),"")</f>
        <v/>
      </c>
      <c r="AR34" s="63" t="s">
        <v>31</v>
      </c>
      <c r="AS34" s="61"/>
      <c r="AT34" s="51"/>
      <c r="AU34" s="64" t="s">
        <v>40</v>
      </c>
      <c r="AV34" s="123" t="str">
        <f aca="false">IFERROR(__xludf.dummyfunction("IMPORTRANGE(A35,""ca13"")"),"Ben callaway")</f>
        <v>Ben callaway</v>
      </c>
      <c r="AW34" s="66" t="n">
        <v>25</v>
      </c>
      <c r="AX34" s="120" t="n">
        <f aca="false">VLOOKUP(AW34,MPOSCORING,2, 0)</f>
        <v>57</v>
      </c>
      <c r="AY34" s="121"/>
      <c r="AZ34" s="36" t="s">
        <v>40</v>
      </c>
      <c r="BA34" s="140" t="str">
        <f aca="false">IFERROR(__xludf.dummyfunction("IMPORTRANGE(A35,""ci13"")"),"Z Johnson ")</f>
        <v>Z Johnson</v>
      </c>
      <c r="BB34" s="37" t="s">
        <v>31</v>
      </c>
      <c r="BC34" s="122" t="n">
        <f aca="false">VLOOKUP(BB34,MPOSCORING,2, 0)</f>
        <v>0</v>
      </c>
      <c r="BD34" s="121"/>
      <c r="BE34" s="42" t="s">
        <v>40</v>
      </c>
      <c r="BF34" s="114" t="str">
        <f aca="false">IFERROR(__xludf.dummyfunction("IMPORTRANGE(A35,""cq13"")"),"Cox")</f>
        <v>Cox</v>
      </c>
      <c r="BG34" s="44" t="n">
        <v>27</v>
      </c>
      <c r="BH34" s="115" t="n">
        <f aca="false">VLOOKUP(BG34,FPOSCORING,2, 0)</f>
        <v>0</v>
      </c>
      <c r="BI34" s="121"/>
      <c r="BJ34" s="64" t="s">
        <v>40</v>
      </c>
      <c r="BK34" s="123" t="str">
        <f aca="false">IFERROR(__xludf.dummyfunction("IMPORTRANGE(A35,""cy13"")"),"Cox")</f>
        <v>Cox</v>
      </c>
      <c r="BL34" s="66" t="n">
        <v>15</v>
      </c>
      <c r="BM34" s="120" t="n">
        <f aca="false">VLOOKUP(BL34,FPOSCORING,2, 0)</f>
        <v>34</v>
      </c>
      <c r="BN34" s="121"/>
      <c r="BO34" s="64" t="s">
        <v>40</v>
      </c>
      <c r="BP34" s="123" t="str">
        <f aca="false">IFERROR(__xludf.dummyfunction("IMPORTRANGE(A35,""dg13"")"),"Z johnson")</f>
        <v>Z johnson</v>
      </c>
      <c r="BQ34" s="66" t="s">
        <v>31</v>
      </c>
      <c r="BR34" s="120" t="n">
        <f aca="false">VLOOKUP(BQ34,MPOSCORING,2, 0)*2</f>
        <v>0</v>
      </c>
      <c r="BS34" s="124"/>
      <c r="BT34" s="64" t="s">
        <v>40</v>
      </c>
      <c r="BU34" s="123" t="str">
        <f aca="false">IFERROR(__xludf.dummyfunction("IMPORTRANGE(A35,""do13"")"),"Rebecca ")</f>
        <v>Rebecca</v>
      </c>
      <c r="BV34" s="66" t="s">
        <v>31</v>
      </c>
      <c r="BW34" s="120" t="n">
        <f aca="false">VLOOKUP(BV34,MPOSCORING,2, 0)</f>
        <v>0</v>
      </c>
      <c r="BX34" s="121"/>
      <c r="BY34" s="64" t="s">
        <v>40</v>
      </c>
      <c r="BZ34" s="112" t="str">
        <f aca="false">IFERROR(__xludf.dummyfunction("IMPORTRANGE(A35,""dw13"")"),"Brodie")</f>
        <v>Brodie</v>
      </c>
      <c r="CA34" s="66" t="s">
        <v>31</v>
      </c>
      <c r="CB34" s="120" t="n">
        <f aca="false">VLOOKUP(CA34,MPOSCORING,2, 0)</f>
        <v>0</v>
      </c>
      <c r="CC34" s="121"/>
      <c r="CD34" s="64" t="s">
        <v>40</v>
      </c>
      <c r="CE34" s="112" t="str">
        <f aca="false">IFERROR(__xludf.dummyfunction("IMPORTRANGE(A35,""ee13"")"),"Callaway")</f>
        <v>Callaway</v>
      </c>
      <c r="CF34" s="66" t="n">
        <v>21</v>
      </c>
      <c r="CG34" s="120" t="n">
        <f aca="false">VLOOKUP(CF34,MPOSCORING,3, 0)</f>
        <v>128</v>
      </c>
      <c r="CH34" s="124"/>
    </row>
    <row r="35" customFormat="false" ht="15" hidden="false" customHeight="false" outlineLevel="0" collapsed="false">
      <c r="A35" s="141" t="str">
        <f aca="false">IFERROR(__xludf.dummyfunction("IMPORTRANGE(A35,""a1"")"),"Catoutofthebuhrdiebag (Brandon)")</f>
        <v>Catoutofthebuhrdiebag (Brandon)</v>
      </c>
      <c r="B35" s="39" t="s">
        <v>90</v>
      </c>
      <c r="C35" s="39"/>
      <c r="D35" s="39"/>
      <c r="E35" s="39"/>
      <c r="F35" s="36" t="s">
        <v>43</v>
      </c>
      <c r="G35" s="139" t="s">
        <v>91</v>
      </c>
      <c r="H35" s="37" t="n">
        <v>13</v>
      </c>
      <c r="I35" s="125" t="n">
        <f aca="false">VLOOKUP(H35,FPOSCORING,2, 0)</f>
        <v>42</v>
      </c>
      <c r="J35" s="39" t="s">
        <v>43</v>
      </c>
      <c r="K35" s="105" t="str">
        <f aca="false">IFERROR(__xludf.dummyfunction("IMPORTRANGE(A35,""o14"")"),"Seppo")</f>
        <v>Seppo</v>
      </c>
      <c r="L35" s="41" t="s">
        <v>31</v>
      </c>
      <c r="M35" s="125" t="n">
        <f aca="false">VLOOKUP(L35,FPOSCORING,2, 0)</f>
        <v>0</v>
      </c>
      <c r="N35" s="42" t="s">
        <v>43</v>
      </c>
      <c r="O35" s="43" t="str">
        <f aca="false">IFERROR(__xludf.dummyfunction("IMPORTRANGE(A35,""w14"")"),"Zack Johnson ")</f>
        <v>Zack Johnson</v>
      </c>
      <c r="P35" s="44" t="s">
        <v>31</v>
      </c>
      <c r="Q35" s="125" t="n">
        <f aca="false">VLOOKUP(P35,FPOSCORING,2, 0)</f>
        <v>0</v>
      </c>
      <c r="R35" s="34" t="s">
        <v>43</v>
      </c>
      <c r="S35" s="106" t="str">
        <f aca="false">IFERROR(__xludf.dummyfunction("IMPORTRANGE(A35,""AE14"")"),"Rebecca Cox")</f>
        <v>Rebecca Cox</v>
      </c>
      <c r="T35" s="46" t="n">
        <v>28</v>
      </c>
      <c r="U35" s="126" t="n">
        <f aca="false">VLOOKUP(T35,FPOSCORING,2, 0)</f>
        <v>0</v>
      </c>
      <c r="V35" s="48" t="s">
        <v>43</v>
      </c>
      <c r="W35" s="107" t="s">
        <v>92</v>
      </c>
      <c r="X35" s="50" t="s">
        <v>31</v>
      </c>
      <c r="Y35" s="117" t="n">
        <f aca="false">VLOOKUP(X35,MPOSCORING,2, 0)</f>
        <v>0</v>
      </c>
      <c r="Z35" s="51"/>
      <c r="AA35" s="52" t="s">
        <v>43</v>
      </c>
      <c r="AB35" s="108" t="str">
        <f aca="false">IFERROR(__xludf.dummyfunction("IMPORTRANGE(A35,""Au14"")"),"Rebecca cox")</f>
        <v>Rebecca cox</v>
      </c>
      <c r="AC35" s="54" t="s">
        <v>31</v>
      </c>
      <c r="AD35" s="130" t="n">
        <f aca="false">VLOOKUP(AC35,MPOSCORING,2, 0)</f>
        <v>0</v>
      </c>
      <c r="AE35" s="51"/>
      <c r="AF35" s="55" t="s">
        <v>43</v>
      </c>
      <c r="AG35" s="109" t="str">
        <f aca="false">IFERROR(__xludf.dummyfunction("IMPORTRANGE(A35,""bc14"")"),"Eveliina")</f>
        <v>Eveliina</v>
      </c>
      <c r="AH35" s="57" t="s">
        <v>31</v>
      </c>
      <c r="AI35" s="118" t="n">
        <f aca="false">VLOOKUP(AH35,MPOSCORING,2, 0)</f>
        <v>0</v>
      </c>
      <c r="AJ35" s="51"/>
      <c r="AK35" s="58" t="s">
        <v>43</v>
      </c>
      <c r="AL35" s="110" t="str">
        <f aca="false">IFERROR(__xludf.dummyfunction("IMPORTRANGE(A35,""bk14"")"),"Callaway")</f>
        <v>Callaway</v>
      </c>
      <c r="AM35" s="60" t="s">
        <v>31</v>
      </c>
      <c r="AN35" s="119" t="n">
        <f aca="false">VLOOKUP(AM35,FPOSCORING,2, 0)</f>
        <v>0</v>
      </c>
      <c r="AO35" s="51"/>
      <c r="AP35" s="61" t="s">
        <v>53</v>
      </c>
      <c r="AQ35" s="111" t="str">
        <f aca="false">IFERROR(__xludf.dummyfunction("IMPORTRANGE(A35,""bs14"")"),"")</f>
        <v/>
      </c>
      <c r="AR35" s="63" t="s">
        <v>31</v>
      </c>
      <c r="AS35" s="61"/>
      <c r="AT35" s="51"/>
      <c r="AU35" s="64" t="s">
        <v>43</v>
      </c>
      <c r="AV35" s="112" t="str">
        <f aca="false">IFERROR(__xludf.dummyfunction("IMPORTRANGE(A35,""ca14"")"),"Brodie")</f>
        <v>Brodie</v>
      </c>
      <c r="AW35" s="66" t="n">
        <v>44</v>
      </c>
      <c r="AX35" s="120" t="n">
        <f aca="false">VLOOKUP(AW35,MPOSCORING,2, 0)</f>
        <v>21</v>
      </c>
      <c r="AY35" s="121"/>
      <c r="AZ35" s="36" t="s">
        <v>43</v>
      </c>
      <c r="BA35" s="139" t="str">
        <f aca="false">IFERROR(__xludf.dummyfunction("IMPORTRANGE(A35,""ci14"")"),"Callaway")</f>
        <v>Callaway</v>
      </c>
      <c r="BB35" s="37" t="s">
        <v>31</v>
      </c>
      <c r="BC35" s="122" t="n">
        <f aca="false">VLOOKUP(BB35,FPOSCORING,2, 0)</f>
        <v>0</v>
      </c>
      <c r="BD35" s="121"/>
      <c r="BE35" s="42" t="s">
        <v>43</v>
      </c>
      <c r="BF35" s="114" t="str">
        <f aca="false">IFERROR(__xludf.dummyfunction("IMPORTRANGE(A35,""cq14"")"),"Z Johnson ")</f>
        <v>Z Johnson</v>
      </c>
      <c r="BG35" s="44" t="n">
        <v>47</v>
      </c>
      <c r="BH35" s="115" t="n">
        <f aca="false">VLOOKUP(BG35,MPOSCORING,2, 0)</f>
        <v>15</v>
      </c>
      <c r="BI35" s="121"/>
      <c r="BJ35" s="64" t="s">
        <v>43</v>
      </c>
      <c r="BK35" s="112" t="str">
        <f aca="false">IFERROR(__xludf.dummyfunction("IMPORTRANGE(A35,""cy14"")"),"Ben callaway")</f>
        <v>Ben callaway</v>
      </c>
      <c r="BL35" s="66" t="n">
        <v>66</v>
      </c>
      <c r="BM35" s="120" t="e">
        <f aca="false">VLOOKUP(BL35,FPOSCORING,2, 0)</f>
        <v>#N/A</v>
      </c>
      <c r="BN35" s="121"/>
      <c r="BO35" s="64" t="s">
        <v>43</v>
      </c>
      <c r="BP35" s="112" t="str">
        <f aca="false">IFERROR(__xludf.dummyfunction("IMPORTRANGE(A35,""dg14"")"),"Ben callaway")</f>
        <v>Ben callaway</v>
      </c>
      <c r="BQ35" s="66" t="n">
        <v>9</v>
      </c>
      <c r="BR35" s="120" t="n">
        <f aca="false">VLOOKUP(BQ35,FPOSCORING,2, 0)*2</f>
        <v>124</v>
      </c>
      <c r="BS35" s="124"/>
      <c r="BT35" s="64" t="s">
        <v>43</v>
      </c>
      <c r="BU35" s="112" t="str">
        <f aca="false">IFERROR(__xludf.dummyfunction("IMPORTRANGE(A35,""do14"")"),"")</f>
        <v/>
      </c>
      <c r="BV35" s="66" t="s">
        <v>31</v>
      </c>
      <c r="BW35" s="120" t="n">
        <f aca="false">VLOOKUP(BV35,FPOSCORING,2, 0)</f>
        <v>0</v>
      </c>
      <c r="BX35" s="121"/>
      <c r="BY35" s="64" t="s">
        <v>43</v>
      </c>
      <c r="BZ35" s="112" t="str">
        <f aca="false">IFERROR(__xludf.dummyfunction("IMPORTRANGE(A35,""dw14"")"),"Cox")</f>
        <v>Cox</v>
      </c>
      <c r="CA35" s="66" t="s">
        <v>31</v>
      </c>
      <c r="CB35" s="120" t="n">
        <f aca="false">VLOOKUP(CA35,FPOSCORING,2, 0)</f>
        <v>0</v>
      </c>
      <c r="CC35" s="121"/>
      <c r="CD35" s="64" t="s">
        <v>43</v>
      </c>
      <c r="CE35" s="112" t="str">
        <f aca="false">IFERROR(__xludf.dummyfunction("IMPORTRANGE(A35,""ee14"")"),"")</f>
        <v/>
      </c>
      <c r="CF35" s="66" t="s">
        <v>31</v>
      </c>
      <c r="CG35" s="120" t="n">
        <f aca="false">VLOOKUP(CF35,FPOSCORING,3, 0)</f>
        <v>0</v>
      </c>
      <c r="CH35" s="124"/>
    </row>
    <row r="36" customFormat="false" ht="15" hidden="false" customHeight="false" outlineLevel="0" collapsed="false">
      <c r="A36" s="141" t="str">
        <f aca="false">IFERROR(__xludf.dummyfunction("IMPORTRANGE(A35,""a1"")"),"Catoutofthebuhrdiebag (Brandon)")</f>
        <v>Catoutofthebuhrdiebag (Brandon)</v>
      </c>
      <c r="B36" s="39" t="s">
        <v>93</v>
      </c>
      <c r="C36" s="39"/>
      <c r="D36" s="39"/>
      <c r="E36" s="39"/>
      <c r="F36" s="36" t="s">
        <v>46</v>
      </c>
      <c r="G36" s="139" t="s">
        <v>94</v>
      </c>
      <c r="H36" s="37" t="s">
        <v>31</v>
      </c>
      <c r="I36" s="115" t="n">
        <f aca="false">VLOOKUP(H36,MPOSCORING,2, 0)</f>
        <v>0</v>
      </c>
      <c r="J36" s="39" t="s">
        <v>46</v>
      </c>
      <c r="K36" s="105" t="str">
        <f aca="false">IFERROR(__xludf.dummyfunction("IMPORTRANGE(A35,""o15"")"),"Rebecca C")</f>
        <v>Rebecca C</v>
      </c>
      <c r="L36" s="41" t="n">
        <v>23</v>
      </c>
      <c r="M36" s="115" t="n">
        <f aca="false">VLOOKUP(L36,FPOSCORING,2, 0)</f>
        <v>7</v>
      </c>
      <c r="N36" s="42" t="s">
        <v>46</v>
      </c>
      <c r="O36" s="43" t="str">
        <f aca="false">IFERROR(__xludf.dummyfunction("IMPORTRANGE(A35,""w15"")"),"Holyn Handley ")</f>
        <v>Holyn Handley</v>
      </c>
      <c r="P36" s="44" t="s">
        <v>31</v>
      </c>
      <c r="Q36" s="115" t="n">
        <f aca="false">VLOOKUP(P36,MPOSCORING,2, 0)</f>
        <v>0</v>
      </c>
      <c r="R36" s="34" t="s">
        <v>46</v>
      </c>
      <c r="S36" s="106" t="str">
        <f aca="false">IFERROR(__xludf.dummyfunction("IMPORTRANGE(A35,""AE15"")"),"Ben Callaway ")</f>
        <v>Ben Callaway</v>
      </c>
      <c r="T36" s="46" t="n">
        <v>20</v>
      </c>
      <c r="U36" s="116" t="n">
        <f aca="false">VLOOKUP(T36,MPOSCORING,2, 0)</f>
        <v>66</v>
      </c>
      <c r="V36" s="48" t="s">
        <v>46</v>
      </c>
      <c r="W36" s="107" t="s">
        <v>95</v>
      </c>
      <c r="X36" s="50" t="s">
        <v>31</v>
      </c>
      <c r="Y36" s="117" t="n">
        <f aca="false">VLOOKUP(X36,MPOSCORING,2, 0)</f>
        <v>0</v>
      </c>
      <c r="Z36" s="51"/>
      <c r="AA36" s="52" t="s">
        <v>46</v>
      </c>
      <c r="AB36" s="108" t="str">
        <f aca="false">IFERROR(__xludf.dummyfunction("IMPORTRANGE(A35,""Au15"")"),"Eveliina")</f>
        <v>Eveliina</v>
      </c>
      <c r="AC36" s="54" t="s">
        <v>31</v>
      </c>
      <c r="AD36" s="130" t="n">
        <f aca="false">VLOOKUP(AC36,MPOSCORING,2, 0)</f>
        <v>0</v>
      </c>
      <c r="AE36" s="51"/>
      <c r="AF36" s="55" t="s">
        <v>46</v>
      </c>
      <c r="AG36" s="109" t="str">
        <f aca="false">IFERROR(__xludf.dummyfunction("IMPORTRANGE(A35,""bc15"")"),"Holyn handley")</f>
        <v>Holyn handley</v>
      </c>
      <c r="AH36" s="57" t="s">
        <v>31</v>
      </c>
      <c r="AI36" s="118" t="n">
        <f aca="false">VLOOKUP(AH36,MPOSCORING,2, 0)</f>
        <v>0</v>
      </c>
      <c r="AJ36" s="51"/>
      <c r="AK36" s="58" t="s">
        <v>46</v>
      </c>
      <c r="AL36" s="110" t="str">
        <f aca="false">IFERROR(__xludf.dummyfunction("IMPORTRANGE(A35,""bk15"")"),"Z johnson")</f>
        <v>Z johnson</v>
      </c>
      <c r="AM36" s="60" t="s">
        <v>31</v>
      </c>
      <c r="AN36" s="119" t="n">
        <f aca="false">VLOOKUP(AM36,MPOSCORING,2, 0)</f>
        <v>0</v>
      </c>
      <c r="AO36" s="51"/>
      <c r="AP36" s="61" t="s">
        <v>55</v>
      </c>
      <c r="AQ36" s="111" t="str">
        <f aca="false">IFERROR(__xludf.dummyfunction("IMPORTRANGE(A35,""bs15"")"),"")</f>
        <v/>
      </c>
      <c r="AR36" s="63" t="s">
        <v>31</v>
      </c>
      <c r="AS36" s="61"/>
      <c r="AT36" s="51"/>
      <c r="AU36" s="64" t="s">
        <v>46</v>
      </c>
      <c r="AV36" s="112" t="str">
        <f aca="false">IFERROR(__xludf.dummyfunction("IMPORTRANGE(A35,""ca15"")"),"Eveliina ")</f>
        <v>Eveliina</v>
      </c>
      <c r="AW36" s="66" t="s">
        <v>31</v>
      </c>
      <c r="AX36" s="120" t="n">
        <f aca="false">VLOOKUP(AW36,MPOSCORING,2, 0)</f>
        <v>0</v>
      </c>
      <c r="AY36" s="121"/>
      <c r="AZ36" s="36" t="s">
        <v>46</v>
      </c>
      <c r="BA36" s="139" t="str">
        <f aca="false">IFERROR(__xludf.dummyfunction("IMPORTRANGE(A35,""ci15"")"),"Eveliina ")</f>
        <v>Eveliina</v>
      </c>
      <c r="BB36" s="37" t="s">
        <v>31</v>
      </c>
      <c r="BC36" s="122" t="n">
        <f aca="false">VLOOKUP(BB36,MPOSCORING,2, 0)</f>
        <v>0</v>
      </c>
      <c r="BD36" s="121"/>
      <c r="BE36" s="42" t="s">
        <v>46</v>
      </c>
      <c r="BF36" s="114" t="str">
        <f aca="false">IFERROR(__xludf.dummyfunction("IMPORTRANGE(A35,""cq15"")"),"")</f>
        <v/>
      </c>
      <c r="BG36" s="44" t="s">
        <v>31</v>
      </c>
      <c r="BH36" s="115" t="n">
        <f aca="false">VLOOKUP(BG36,MPOSCORING,2, 0)</f>
        <v>0</v>
      </c>
      <c r="BI36" s="121"/>
      <c r="BJ36" s="64" t="s">
        <v>46</v>
      </c>
      <c r="BK36" s="112" t="str">
        <f aca="false">IFERROR(__xludf.dummyfunction("IMPORTRANGE(A35,""cy15"")"),"")</f>
        <v/>
      </c>
      <c r="BL36" s="66" t="s">
        <v>31</v>
      </c>
      <c r="BM36" s="120" t="n">
        <f aca="false">VLOOKUP(BL36,MPOSCORING,2, 0)</f>
        <v>0</v>
      </c>
      <c r="BN36" s="121"/>
      <c r="BO36" s="64" t="s">
        <v>46</v>
      </c>
      <c r="BP36" s="112" t="str">
        <f aca="false">IFERROR(__xludf.dummyfunction("IMPORTRANGE(A35,""dg15"")"),"Rebecca cox")</f>
        <v>Rebecca cox</v>
      </c>
      <c r="BQ36" s="66" t="s">
        <v>31</v>
      </c>
      <c r="BR36" s="120" t="n">
        <f aca="false">VLOOKUP(BQ36,MPOSCORING,2, 0)*2</f>
        <v>0</v>
      </c>
      <c r="BS36" s="124"/>
      <c r="BT36" s="64" t="s">
        <v>46</v>
      </c>
      <c r="BU36" s="112" t="str">
        <f aca="false">IFERROR(__xludf.dummyfunction("IMPORTRANGE(A35,""do15"")"),"")</f>
        <v/>
      </c>
      <c r="BV36" s="66" t="s">
        <v>31</v>
      </c>
      <c r="BW36" s="120" t="n">
        <f aca="false">VLOOKUP(BV36,MPOSCORING,2, 0)</f>
        <v>0</v>
      </c>
      <c r="BX36" s="121"/>
      <c r="BY36" s="64" t="s">
        <v>46</v>
      </c>
      <c r="BZ36" s="112" t="str">
        <f aca="false">IFERROR(__xludf.dummyfunction("IMPORTRANGE(A35,""dw15"")"),"")</f>
        <v/>
      </c>
      <c r="CA36" s="66" t="s">
        <v>31</v>
      </c>
      <c r="CB36" s="120" t="n">
        <f aca="false">VLOOKUP(CA36,MPOSCORING,2, 0)</f>
        <v>0</v>
      </c>
      <c r="CC36" s="121"/>
      <c r="CD36" s="64" t="s">
        <v>46</v>
      </c>
      <c r="CE36" s="112" t="str">
        <f aca="false">IFERROR(__xludf.dummyfunction("IMPORTRANGE(A35,""ee15"")"),"")</f>
        <v/>
      </c>
      <c r="CF36" s="66" t="s">
        <v>31</v>
      </c>
      <c r="CG36" s="120" t="n">
        <f aca="false">VLOOKUP(CF36,MPOSCORING,3, 0)</f>
        <v>0</v>
      </c>
      <c r="CH36" s="33"/>
    </row>
    <row r="37" customFormat="false" ht="13.85" hidden="true" customHeight="false" outlineLevel="0" collapsed="false">
      <c r="A37" s="16" t="s">
        <v>96</v>
      </c>
      <c r="I37" s="127"/>
      <c r="M37" s="127"/>
      <c r="U37" s="127"/>
      <c r="BS37" s="18"/>
      <c r="CH37" s="18"/>
    </row>
    <row r="38" customFormat="false" ht="15" hidden="false" customHeight="false" outlineLevel="0" collapsed="false">
      <c r="A38" s="142" t="str">
        <f aca="false">IFERROR(__xludf.dummyfunction("IMPORTRANGE(A50,""a1"")"),"The AutoDrafters (Jake)")</f>
        <v>The AutoDrafters (Jake)</v>
      </c>
      <c r="B38" s="52" t="s">
        <v>97</v>
      </c>
      <c r="C38" s="52"/>
      <c r="D38" s="52"/>
      <c r="E38" s="52"/>
      <c r="F38" s="36" t="s">
        <v>29</v>
      </c>
      <c r="G38" s="35" t="s">
        <v>98</v>
      </c>
      <c r="H38" s="88" t="n">
        <v>26</v>
      </c>
      <c r="I38" s="38" t="n">
        <f aca="false">VLOOKUP(H38,FPOSCORING,2, 0)</f>
        <v>0</v>
      </c>
      <c r="J38" s="39" t="s">
        <v>29</v>
      </c>
      <c r="K38" s="40" t="str">
        <f aca="false">IFERROR(__xludf.dummyfunction("IMPORTRANGE(A50,""o6"")"),"Henna B")</f>
        <v>Henna B</v>
      </c>
      <c r="L38" s="41" t="n">
        <v>7</v>
      </c>
      <c r="M38" s="38" t="n">
        <f aca="false">VLOOKUP(L38,FPOSCORING,2, 0)</f>
        <v>71</v>
      </c>
      <c r="N38" s="42" t="s">
        <v>29</v>
      </c>
      <c r="O38" s="43" t="str">
        <f aca="false">IFERROR(__xludf.dummyfunction("IMPORTRANGE(A50,""o6"")"),"Henna B")</f>
        <v>Henna B</v>
      </c>
      <c r="P38" s="44" t="n">
        <v>11</v>
      </c>
      <c r="Q38" s="38" t="n">
        <f aca="false">VLOOKUP(P38,FPOSCORING,2, 0)</f>
        <v>52</v>
      </c>
      <c r="R38" s="34" t="s">
        <v>29</v>
      </c>
      <c r="S38" s="45" t="str">
        <f aca="false">IFERROR(__xludf.dummyfunction("IMPORTRANGE(A50,""AE6"")"),"Lisa Fajkus ")</f>
        <v>Lisa Fajkus</v>
      </c>
      <c r="T38" s="46" t="n">
        <v>9</v>
      </c>
      <c r="U38" s="47" t="n">
        <f aca="false">VLOOKUP(T38,FPOSCORING,2, 0)</f>
        <v>62</v>
      </c>
      <c r="V38" s="48" t="s">
        <v>29</v>
      </c>
      <c r="W38" s="49" t="str">
        <f aca="false">IFERROR(__xludf.dummyfunction("IMPORTRANGE(A50,""Am6"")"),"Lisa")</f>
        <v>Lisa</v>
      </c>
      <c r="X38" s="50" t="s">
        <v>31</v>
      </c>
      <c r="Y38" s="129" t="n">
        <f aca="false">VLOOKUP(X38,FPOSCORING,2, 0)</f>
        <v>0</v>
      </c>
      <c r="Z38" s="51"/>
      <c r="AA38" s="52" t="s">
        <v>29</v>
      </c>
      <c r="AB38" s="53" t="str">
        <f aca="false">IFERROR(__xludf.dummyfunction("IMPORTRANGE(A50,""Au6"")"),"Lisa")</f>
        <v>Lisa</v>
      </c>
      <c r="AC38" s="54" t="n">
        <v>18</v>
      </c>
      <c r="AD38" s="130" t="n">
        <f aca="false">VLOOKUP(AC38,FPOSCORING,2, 0)</f>
        <v>19</v>
      </c>
      <c r="AE38" s="51"/>
      <c r="AF38" s="55" t="s">
        <v>29</v>
      </c>
      <c r="AG38" s="56" t="str">
        <f aca="false">IFERROR(__xludf.dummyfunction("IMPORTRANGE(A50,""bc6"")"),"Callie")</f>
        <v>Callie</v>
      </c>
      <c r="AH38" s="57" t="n">
        <v>28</v>
      </c>
      <c r="AI38" s="131" t="n">
        <f aca="false">VLOOKUP(AH38,FPOSCORING,2, 0)</f>
        <v>0</v>
      </c>
      <c r="AJ38" s="51"/>
      <c r="AK38" s="58" t="s">
        <v>29</v>
      </c>
      <c r="AL38" s="59" t="str">
        <f aca="false">IFERROR(__xludf.dummyfunction("IMPORTRANGE(A50,""bk6"")"),"Callie")</f>
        <v>Callie</v>
      </c>
      <c r="AM38" s="60" t="s">
        <v>31</v>
      </c>
      <c r="AN38" s="132" t="n">
        <f aca="false">VLOOKUP(AM38,FPOSCORING,2, 0)</f>
        <v>0</v>
      </c>
      <c r="AO38" s="51"/>
      <c r="AP38" s="61" t="s">
        <v>29</v>
      </c>
      <c r="AQ38" s="62" t="str">
        <f aca="false">IFERROR(__xludf.dummyfunction("IMPORTRANGE(A50,""bs6"")"),"Henna")</f>
        <v>Henna</v>
      </c>
      <c r="AR38" s="63" t="n">
        <v>7</v>
      </c>
      <c r="AS38" s="133" t="n">
        <f aca="false">VLOOKUP(AR38,MPOSCORING,2, 0)</f>
        <v>89</v>
      </c>
      <c r="AT38" s="51"/>
      <c r="AU38" s="64" t="s">
        <v>29</v>
      </c>
      <c r="AV38" s="65" t="str">
        <f aca="false">IFERROR(__xludf.dummyfunction("IMPORTRANGE(A50,""ca6"")"),"Callie")</f>
        <v>Callie</v>
      </c>
      <c r="AW38" s="66" t="n">
        <v>31</v>
      </c>
      <c r="AX38" s="134" t="n">
        <f aca="false">VLOOKUP(AW38,FPOSCORING,2, 0)</f>
        <v>0</v>
      </c>
      <c r="AY38" s="32"/>
      <c r="AZ38" s="36" t="s">
        <v>29</v>
      </c>
      <c r="BA38" s="67" t="str">
        <f aca="false">IFERROR(__xludf.dummyfunction("IMPORTRANGE(A50,""ci6"")"),"Callie")</f>
        <v>Callie</v>
      </c>
      <c r="BB38" s="37" t="n">
        <v>41</v>
      </c>
      <c r="BC38" s="135" t="n">
        <f aca="false">VLOOKUP(BB38,FPOSCORING,2, 0)</f>
        <v>0</v>
      </c>
      <c r="BD38" s="32"/>
      <c r="BE38" s="42" t="s">
        <v>29</v>
      </c>
      <c r="BF38" s="68" t="str">
        <f aca="false">IFERROR(__xludf.dummyfunction("IMPORTRANGE(A50,""cq6"")"),"Callie")</f>
        <v>Callie</v>
      </c>
      <c r="BG38" s="44" t="s">
        <v>31</v>
      </c>
      <c r="BH38" s="136" t="n">
        <f aca="false">VLOOKUP(BG38,FPOSCORING,2, 0)</f>
        <v>0</v>
      </c>
      <c r="BI38" s="32"/>
      <c r="BJ38" s="64" t="s">
        <v>29</v>
      </c>
      <c r="BK38" s="65" t="str">
        <f aca="false">IFERROR(__xludf.dummyfunction("IMPORTRANGE(A50,""cy6"")"),"Henna")</f>
        <v>Henna</v>
      </c>
      <c r="BL38" s="66" t="n">
        <v>9</v>
      </c>
      <c r="BM38" s="134" t="n">
        <f aca="false">VLOOKUP(BL38,FPOSCORING,2, 0)</f>
        <v>62</v>
      </c>
      <c r="BN38" s="32"/>
      <c r="BO38" s="64" t="s">
        <v>29</v>
      </c>
      <c r="BP38" s="65" t="str">
        <f aca="false">IFERROR(__xludf.dummyfunction("IMPORTRANGE(A50,""dg6"")"),"Henna")</f>
        <v>Henna</v>
      </c>
      <c r="BQ38" s="66" t="n">
        <v>2</v>
      </c>
      <c r="BR38" s="134" t="n">
        <f aca="false">VLOOKUP(BQ38,FPOSCORING,3, 0)</f>
        <v>192</v>
      </c>
      <c r="BS38" s="33"/>
      <c r="BT38" s="64" t="s">
        <v>29</v>
      </c>
      <c r="BU38" s="65" t="str">
        <f aca="false">IFERROR(__xludf.dummyfunction("IMPORTRANGE(A50,""do6"")"),"")</f>
        <v/>
      </c>
      <c r="BV38" s="66" t="s">
        <v>31</v>
      </c>
      <c r="BW38" s="134" t="n">
        <f aca="false">VLOOKUP(BV38,FPOSCORING,2, 0)</f>
        <v>0</v>
      </c>
      <c r="BX38" s="32"/>
      <c r="BY38" s="64" t="s">
        <v>29</v>
      </c>
      <c r="BZ38" s="65" t="str">
        <f aca="false">IFERROR(__xludf.dummyfunction("IMPORTRANGE(A50,""dw6"")"),"")</f>
        <v/>
      </c>
      <c r="CA38" s="66" t="s">
        <v>31</v>
      </c>
      <c r="CB38" s="134" t="n">
        <f aca="false">VLOOKUP(CA38,FPOSCORING,2, 0)</f>
        <v>0</v>
      </c>
      <c r="CC38" s="32"/>
      <c r="CD38" s="64" t="s">
        <v>29</v>
      </c>
      <c r="CE38" s="65"/>
      <c r="CF38" s="66" t="s">
        <v>31</v>
      </c>
      <c r="CG38" s="134" t="n">
        <f aca="false">VLOOKUP(CF38,FPOSCORING,3, 0)</f>
        <v>0</v>
      </c>
      <c r="CH38" s="33"/>
    </row>
    <row r="39" customFormat="false" ht="15" hidden="false" customHeight="false" outlineLevel="0" collapsed="false">
      <c r="A39" s="142" t="str">
        <f aca="false">IFERROR(__xludf.dummyfunction("IMPORTRANGE(A50,""a1"")"),"The AutoDrafters (Jake)")</f>
        <v>The AutoDrafters (Jake)</v>
      </c>
      <c r="B39" s="52" t="s">
        <v>99</v>
      </c>
      <c r="C39" s="52"/>
      <c r="D39" s="52"/>
      <c r="E39" s="52"/>
      <c r="F39" s="36" t="s">
        <v>34</v>
      </c>
      <c r="G39" s="67" t="s">
        <v>100</v>
      </c>
      <c r="H39" s="69" t="n">
        <v>29</v>
      </c>
      <c r="I39" s="125" t="n">
        <f aca="false">VLOOKUP(H39,FPOSCORING,2, 0)</f>
        <v>0</v>
      </c>
      <c r="J39" s="39" t="s">
        <v>34</v>
      </c>
      <c r="K39" s="70" t="str">
        <f aca="false">IFERROR(__xludf.dummyfunction("IMPORTRANGE(A50,""o7"")"),"Callie")</f>
        <v>Callie</v>
      </c>
      <c r="L39" s="71" t="s">
        <v>31</v>
      </c>
      <c r="M39" s="38" t="n">
        <f aca="false">VLOOKUP(L39,FPOSCORING,2, 0)</f>
        <v>0</v>
      </c>
      <c r="N39" s="42" t="s">
        <v>34</v>
      </c>
      <c r="O39" s="68" t="str">
        <f aca="false">IFERROR(__xludf.dummyfunction("IMPORTRANGE(A50,""o7"")"),"Callie")</f>
        <v>Callie</v>
      </c>
      <c r="P39" s="72" t="s">
        <v>31</v>
      </c>
      <c r="Q39" s="38" t="n">
        <f aca="false">VLOOKUP(P39,FPOSCORING,2, 0)</f>
        <v>0</v>
      </c>
      <c r="R39" s="34" t="s">
        <v>34</v>
      </c>
      <c r="S39" s="73" t="str">
        <f aca="false">IFERROR(__xludf.dummyfunction("IMPORTRANGE(A50,""AE7"")"),"Callie McMoran")</f>
        <v>Callie McMoran</v>
      </c>
      <c r="T39" s="74" t="n">
        <v>33</v>
      </c>
      <c r="U39" s="47" t="n">
        <f aca="false">VLOOKUP(T39,FPOSCORING,2, 0)</f>
        <v>0</v>
      </c>
      <c r="V39" s="48" t="s">
        <v>34</v>
      </c>
      <c r="W39" s="75" t="str">
        <f aca="false">IFERROR(__xludf.dummyfunction("IMPORTRANGE(A50,""Am7"")"),"Callie")</f>
        <v>Callie</v>
      </c>
      <c r="X39" s="76" t="n">
        <v>31</v>
      </c>
      <c r="Y39" s="129" t="n">
        <f aca="false">VLOOKUP(X39,FPOSCORING,2, 0)</f>
        <v>0</v>
      </c>
      <c r="Z39" s="51"/>
      <c r="AA39" s="52" t="s">
        <v>34</v>
      </c>
      <c r="AB39" s="77" t="str">
        <f aca="false">IFERROR(__xludf.dummyfunction("IMPORTRANGE(A50,""Au7"")"),"Callie")</f>
        <v>Callie</v>
      </c>
      <c r="AC39" s="78" t="n">
        <v>24</v>
      </c>
      <c r="AD39" s="130" t="n">
        <f aca="false">VLOOKUP(AC39,FPOSCORING,2, 0)</f>
        <v>6</v>
      </c>
      <c r="AE39" s="51"/>
      <c r="AF39" s="55" t="s">
        <v>34</v>
      </c>
      <c r="AG39" s="79" t="str">
        <f aca="false">IFERROR(__xludf.dummyfunction("IMPORTRANGE(A50,""bc7"")"),"Deann")</f>
        <v>Deann</v>
      </c>
      <c r="AH39" s="80" t="n">
        <v>23</v>
      </c>
      <c r="AI39" s="131" t="n">
        <f aca="false">VLOOKUP(AH39,FPOSCORING,2, 0)</f>
        <v>7</v>
      </c>
      <c r="AJ39" s="51"/>
      <c r="AK39" s="58" t="s">
        <v>34</v>
      </c>
      <c r="AL39" s="81" t="str">
        <f aca="false">IFERROR(__xludf.dummyfunction("IMPORTRANGE(A50,""bk7"")"),"Deann")</f>
        <v>Deann</v>
      </c>
      <c r="AM39" s="82" t="n">
        <v>24</v>
      </c>
      <c r="AN39" s="132" t="n">
        <f aca="false">VLOOKUP(AM39,FPOSCORING,2, 0)</f>
        <v>6</v>
      </c>
      <c r="AO39" s="51"/>
      <c r="AP39" s="61" t="s">
        <v>34</v>
      </c>
      <c r="AQ39" s="83" t="str">
        <f aca="false">IFERROR(__xludf.dummyfunction("IMPORTRANGE(A50,""bs7"")"),"Deann")</f>
        <v>Deann</v>
      </c>
      <c r="AR39" s="84" t="n">
        <v>19</v>
      </c>
      <c r="AS39" s="133" t="n">
        <f aca="false">VLOOKUP(AR39,MPOSCORING,2, 0)</f>
        <v>67</v>
      </c>
      <c r="AT39" s="51"/>
      <c r="AU39" s="64" t="s">
        <v>34</v>
      </c>
      <c r="AV39" s="85" t="str">
        <f aca="false">IFERROR(__xludf.dummyfunction("IMPORTRANGE(A50,""ca7"")"),"Deann")</f>
        <v>Deann</v>
      </c>
      <c r="AW39" s="86" t="n">
        <v>24</v>
      </c>
      <c r="AX39" s="134" t="n">
        <f aca="false">VLOOKUP(AW39,FPOSCORING,2, 0)</f>
        <v>6</v>
      </c>
      <c r="AY39" s="32"/>
      <c r="AZ39" s="36" t="s">
        <v>34</v>
      </c>
      <c r="BA39" s="35" t="str">
        <f aca="false">IFERROR(__xludf.dummyfunction("IMPORTRANGE(A50,""ci7"")"),"Deann")</f>
        <v>Deann</v>
      </c>
      <c r="BB39" s="69" t="n">
        <v>15</v>
      </c>
      <c r="BC39" s="135" t="n">
        <f aca="false">VLOOKUP(BB39,FPOSCORING,2, 0)</f>
        <v>34</v>
      </c>
      <c r="BD39" s="32"/>
      <c r="BE39" s="42" t="s">
        <v>34</v>
      </c>
      <c r="BF39" s="43" t="str">
        <f aca="false">IFERROR(__xludf.dummyfunction("IMPORTRANGE(A50,""cq7"")"),"Deann")</f>
        <v>Deann</v>
      </c>
      <c r="BG39" s="72" t="n">
        <v>30</v>
      </c>
      <c r="BH39" s="136" t="n">
        <f aca="false">VLOOKUP(BG39,FPOSCORING,2, 0)</f>
        <v>0</v>
      </c>
      <c r="BI39" s="32"/>
      <c r="BJ39" s="64" t="s">
        <v>34</v>
      </c>
      <c r="BK39" s="85" t="str">
        <f aca="false">IFERROR(__xludf.dummyfunction("IMPORTRANGE(A50,""cy7"")"),"Deann")</f>
        <v>Deann</v>
      </c>
      <c r="BL39" s="86" t="n">
        <v>22</v>
      </c>
      <c r="BM39" s="134" t="n">
        <f aca="false">VLOOKUP(BL39,FPOSCORING,2, 0)</f>
        <v>8</v>
      </c>
      <c r="BN39" s="32"/>
      <c r="BO39" s="64" t="s">
        <v>34</v>
      </c>
      <c r="BP39" s="85" t="str">
        <f aca="false">IFERROR(__xludf.dummyfunction("IMPORTRANGE(A50,""dg7"")"),"Deann")</f>
        <v>Deann</v>
      </c>
      <c r="BQ39" s="86" t="n">
        <v>19</v>
      </c>
      <c r="BR39" s="134" t="n">
        <f aca="false">VLOOKUP(BQ39,FPOSCORING,3, 0)</f>
        <v>30</v>
      </c>
      <c r="BS39" s="33"/>
      <c r="BT39" s="64" t="s">
        <v>34</v>
      </c>
      <c r="BU39" s="85" t="str">
        <f aca="false">IFERROR(__xludf.dummyfunction("IMPORTRANGE(A50,""do7"")"),"")</f>
        <v/>
      </c>
      <c r="BV39" s="86" t="s">
        <v>31</v>
      </c>
      <c r="BW39" s="134" t="n">
        <f aca="false">VLOOKUP(BV39,FPOSCORING,2, 0)</f>
        <v>0</v>
      </c>
      <c r="BX39" s="32"/>
      <c r="BY39" s="64" t="s">
        <v>34</v>
      </c>
      <c r="BZ39" s="85" t="str">
        <f aca="false">IFERROR(__xludf.dummyfunction("IMPORTRANGE(A50,""dw7"")"),"")</f>
        <v/>
      </c>
      <c r="CA39" s="86" t="s">
        <v>31</v>
      </c>
      <c r="CB39" s="134" t="n">
        <f aca="false">VLOOKUP(CA39,FPOSCORING,2, 0)</f>
        <v>0</v>
      </c>
      <c r="CC39" s="32"/>
      <c r="CD39" s="64" t="s">
        <v>34</v>
      </c>
      <c r="CE39" s="85"/>
      <c r="CF39" s="86" t="s">
        <v>31</v>
      </c>
      <c r="CG39" s="134" t="n">
        <f aca="false">VLOOKUP(CF39,FPOSCORING,3, 0)</f>
        <v>0</v>
      </c>
      <c r="CH39" s="33"/>
    </row>
    <row r="40" customFormat="false" ht="15" hidden="false" customHeight="false" outlineLevel="0" collapsed="false">
      <c r="A40" s="142" t="str">
        <f aca="false">IFERROR(__xludf.dummyfunction("IMPORTRANGE(A50,""a1"")"),"The AutoDrafters (Jake)")</f>
        <v>The AutoDrafters (Jake)</v>
      </c>
      <c r="B40" s="52" t="s">
        <v>101</v>
      </c>
      <c r="C40" s="52"/>
      <c r="D40" s="52"/>
      <c r="E40" s="52"/>
      <c r="F40" s="36" t="s">
        <v>36</v>
      </c>
      <c r="G40" s="87" t="s">
        <v>102</v>
      </c>
      <c r="H40" s="88" t="n">
        <v>34</v>
      </c>
      <c r="I40" s="136" t="n">
        <f aca="false">VLOOKUP(H40,MPOSCORING,2, 0)</f>
        <v>40</v>
      </c>
      <c r="J40" s="39" t="s">
        <v>36</v>
      </c>
      <c r="K40" s="137" t="str">
        <f aca="false">IFERROR(__xludf.dummyfunction("IMPORTRANGE(A50,""o8"")"),"Scott W")</f>
        <v>Scott W</v>
      </c>
      <c r="L40" s="89" t="s">
        <v>31</v>
      </c>
      <c r="M40" s="136" t="n">
        <f aca="false">VLOOKUP(L40,MPOSCORING,2, 0)</f>
        <v>0</v>
      </c>
      <c r="N40" s="42" t="s">
        <v>36</v>
      </c>
      <c r="O40" s="103" t="str">
        <f aca="false">IFERROR(__xludf.dummyfunction("IMPORTRANGE(A50,""o8"")"),"Scott W")</f>
        <v>Scott W</v>
      </c>
      <c r="P40" s="38" t="n">
        <v>82</v>
      </c>
      <c r="Q40" s="136" t="n">
        <f aca="false">VLOOKUP(P40,MPOSCORING,2, 0)</f>
        <v>0</v>
      </c>
      <c r="R40" s="34" t="s">
        <v>36</v>
      </c>
      <c r="S40" s="90" t="str">
        <f aca="false">IFERROR(__xludf.dummyfunction("IMPORTRANGE(A50,""AE8"")"),"Eagle")</f>
        <v>Eagle</v>
      </c>
      <c r="T40" s="47" t="s">
        <v>30</v>
      </c>
      <c r="U40" s="138" t="n">
        <f aca="false">VLOOKUP(T40,MPOSCORING,2, 0)</f>
        <v>0</v>
      </c>
      <c r="V40" s="48" t="s">
        <v>36</v>
      </c>
      <c r="W40" s="91" t="str">
        <f aca="false">IFERROR(__xludf.dummyfunction("IMPORTRANGE(A50,""Am8"")"),"Scott")</f>
        <v>Scott</v>
      </c>
      <c r="X40" s="92" t="s">
        <v>31</v>
      </c>
      <c r="Y40" s="129" t="n">
        <f aca="false">VLOOKUP(X40,MPOSCORING,2, 0)</f>
        <v>0</v>
      </c>
      <c r="Z40" s="51"/>
      <c r="AA40" s="52" t="s">
        <v>36</v>
      </c>
      <c r="AB40" s="93" t="str">
        <f aca="false">IFERROR(__xludf.dummyfunction("IMPORTRANGE(A50,""Au8"")"),"Scott withers")</f>
        <v>Scott withers</v>
      </c>
      <c r="AC40" s="94" t="n">
        <v>58</v>
      </c>
      <c r="AD40" s="130" t="n">
        <f aca="false">VLOOKUP(AC40,MPOSCORING,2, 0)</f>
        <v>0</v>
      </c>
      <c r="AE40" s="51"/>
      <c r="AF40" s="55" t="s">
        <v>36</v>
      </c>
      <c r="AG40" s="95" t="str">
        <f aca="false">IFERROR(__xludf.dummyfunction("IMPORTRANGE(A50,""bc8"")"),"Scott W")</f>
        <v>Scott W</v>
      </c>
      <c r="AH40" s="96" t="n">
        <v>21</v>
      </c>
      <c r="AI40" s="131" t="n">
        <f aca="false">VLOOKUP(AH40,MPOSCORING,2, 0)</f>
        <v>64</v>
      </c>
      <c r="AJ40" s="51"/>
      <c r="AK40" s="58" t="s">
        <v>36</v>
      </c>
      <c r="AL40" s="97" t="str">
        <f aca="false">IFERROR(__xludf.dummyfunction("IMPORTRANGE(A50,""bk8"")"),"Scott W")</f>
        <v>Scott W</v>
      </c>
      <c r="AM40" s="98" t="s">
        <v>31</v>
      </c>
      <c r="AN40" s="132" t="n">
        <f aca="false">VLOOKUP(AM40,MPOSCORING,2, 0)</f>
        <v>0</v>
      </c>
      <c r="AO40" s="51"/>
      <c r="AP40" s="61" t="s">
        <v>37</v>
      </c>
      <c r="AQ40" s="99" t="str">
        <f aca="false">IFERROR(__xludf.dummyfunction("IMPORTRANGE(A50,""bs8"")"),"Alex B")</f>
        <v>Alex B</v>
      </c>
      <c r="AR40" s="100" t="n">
        <v>39</v>
      </c>
      <c r="AS40" s="133" t="n">
        <f aca="false">VLOOKUP(AR40,MPOSCORING,2, 0)</f>
        <v>30</v>
      </c>
      <c r="AT40" s="51"/>
      <c r="AU40" s="64" t="s">
        <v>36</v>
      </c>
      <c r="AV40" s="101" t="str">
        <f aca="false">IFERROR(__xludf.dummyfunction("IMPORTRANGE(A50,""ca8"")"),"James Proctor")</f>
        <v>James Proctor</v>
      </c>
      <c r="AW40" s="102" t="n">
        <v>34</v>
      </c>
      <c r="AX40" s="134" t="n">
        <f aca="false">VLOOKUP(AW40,MPOSCORING,2, 0)</f>
        <v>40</v>
      </c>
      <c r="AY40" s="32"/>
      <c r="AZ40" s="36" t="s">
        <v>36</v>
      </c>
      <c r="BA40" s="87" t="str">
        <f aca="false">IFERROR(__xludf.dummyfunction("IMPORTRANGE(A50,""ci8"")"),"James Proctor")</f>
        <v>James Proctor</v>
      </c>
      <c r="BB40" s="88" t="s">
        <v>31</v>
      </c>
      <c r="BC40" s="135" t="n">
        <f aca="false">VLOOKUP(BB40,MPOSCORING,2, 0)</f>
        <v>0</v>
      </c>
      <c r="BD40" s="32"/>
      <c r="BE40" s="42" t="s">
        <v>36</v>
      </c>
      <c r="BF40" s="103" t="str">
        <f aca="false">IFERROR(__xludf.dummyfunction("IMPORTRANGE(A50,""cq8"")"),"James Proctor")</f>
        <v>James Proctor</v>
      </c>
      <c r="BG40" s="38" t="n">
        <v>32</v>
      </c>
      <c r="BH40" s="136" t="n">
        <f aca="false">VLOOKUP(BG40,MPOSCORING,2, 0)</f>
        <v>44</v>
      </c>
      <c r="BI40" s="32"/>
      <c r="BJ40" s="64" t="s">
        <v>36</v>
      </c>
      <c r="BK40" s="101" t="str">
        <f aca="false">IFERROR(__xludf.dummyfunction("IMPORTRANGE(A50,""cy8"")"),"James Proctor")</f>
        <v>James Proctor</v>
      </c>
      <c r="BL40" s="102" t="n">
        <v>66</v>
      </c>
      <c r="BM40" s="134" t="n">
        <f aca="false">VLOOKUP(BL40,MPOSCORING,2, 0)</f>
        <v>0</v>
      </c>
      <c r="BN40" s="32"/>
      <c r="BO40" s="64" t="s">
        <v>36</v>
      </c>
      <c r="BP40" s="101" t="str">
        <f aca="false">IFERROR(__xludf.dummyfunction("IMPORTRANGE(A50,""dg8"")"),"James Proctor")</f>
        <v>James Proctor</v>
      </c>
      <c r="BQ40" s="102" t="n">
        <v>68</v>
      </c>
      <c r="BR40" s="134" t="n">
        <f aca="false">VLOOKUP(BQ40,MPOSCORING,3, 0)</f>
        <v>0</v>
      </c>
      <c r="BS40" s="33"/>
      <c r="BT40" s="64" t="s">
        <v>36</v>
      </c>
      <c r="BU40" s="101" t="str">
        <f aca="false">IFERROR(__xludf.dummyfunction("IMPORTRANGE(A50,""do8"")"),"")</f>
        <v/>
      </c>
      <c r="BV40" s="102" t="s">
        <v>31</v>
      </c>
      <c r="BW40" s="134" t="n">
        <f aca="false">VLOOKUP(BV40,MPOSCORING,2, 0)</f>
        <v>0</v>
      </c>
      <c r="BX40" s="32"/>
      <c r="BY40" s="64" t="s">
        <v>36</v>
      </c>
      <c r="BZ40" s="101" t="str">
        <f aca="false">IFERROR(__xludf.dummyfunction("IMPORTRANGE(A50,""dw8"")"),"")</f>
        <v/>
      </c>
      <c r="CA40" s="102" t="s">
        <v>31</v>
      </c>
      <c r="CB40" s="134" t="n">
        <f aca="false">VLOOKUP(CA40,MPOSCORING,2, 0)</f>
        <v>0</v>
      </c>
      <c r="CC40" s="32"/>
      <c r="CD40" s="64" t="s">
        <v>36</v>
      </c>
      <c r="CE40" s="101"/>
      <c r="CF40" s="102" t="s">
        <v>31</v>
      </c>
      <c r="CG40" s="134" t="n">
        <f aca="false">VLOOKUP(CF40,MPOSCORING,3, 0)</f>
        <v>0</v>
      </c>
      <c r="CH40" s="33"/>
    </row>
    <row r="41" customFormat="false" ht="15" hidden="false" customHeight="false" outlineLevel="0" collapsed="false">
      <c r="A41" s="142" t="str">
        <f aca="false">IFERROR(__xludf.dummyfunction("IMPORTRANGE(A50,""a1"")"),"The AutoDrafters (Jake)")</f>
        <v>The AutoDrafters (Jake)</v>
      </c>
      <c r="B41" s="52" t="s">
        <v>103</v>
      </c>
      <c r="C41" s="52"/>
      <c r="D41" s="52"/>
      <c r="E41" s="52"/>
      <c r="F41" s="36" t="s">
        <v>39</v>
      </c>
      <c r="G41" s="139" t="s">
        <v>104</v>
      </c>
      <c r="H41" s="88" t="n">
        <v>70</v>
      </c>
      <c r="I41" s="136" t="n">
        <f aca="false">VLOOKUP(H41,MPOSCORING,2, 0)</f>
        <v>0</v>
      </c>
      <c r="J41" s="39" t="s">
        <v>39</v>
      </c>
      <c r="K41" s="105" t="str">
        <f aca="false">IFERROR(__xludf.dummyfunction("IMPORTRANGE(A50,""o9"")"),"James Proctor")</f>
        <v>James Proctor</v>
      </c>
      <c r="L41" s="41" t="s">
        <v>31</v>
      </c>
      <c r="M41" s="136" t="n">
        <f aca="false">VLOOKUP(L41,MPOSCORING,2, 0)</f>
        <v>0</v>
      </c>
      <c r="N41" s="42" t="s">
        <v>39</v>
      </c>
      <c r="O41" s="114" t="str">
        <f aca="false">IFERROR(__xludf.dummyfunction("IMPORTRANGE(A50,""o9"")"),"James Proctor")</f>
        <v>James Proctor</v>
      </c>
      <c r="P41" s="44" t="n">
        <v>44</v>
      </c>
      <c r="Q41" s="136" t="n">
        <f aca="false">VLOOKUP(P41,MPOSCORING,2, 0)</f>
        <v>21</v>
      </c>
      <c r="R41" s="34" t="s">
        <v>39</v>
      </c>
      <c r="S41" s="106" t="str">
        <f aca="false">IFERROR(__xludf.dummyfunction("IMPORTRANGE(A50,""AE9"")"),"Scott Withera")</f>
        <v>Scott Withera</v>
      </c>
      <c r="T41" s="46" t="n">
        <v>63</v>
      </c>
      <c r="U41" s="138" t="n">
        <f aca="false">VLOOKUP(T41,MPOSCORING,2, 0)</f>
        <v>0</v>
      </c>
      <c r="V41" s="48" t="s">
        <v>39</v>
      </c>
      <c r="W41" s="107" t="str">
        <f aca="false">IFERROR(__xludf.dummyfunction("IMPORTRANGE(A50,""Am9"")"),"Corey")</f>
        <v>Corey</v>
      </c>
      <c r="X41" s="50" t="n">
        <v>82</v>
      </c>
      <c r="Y41" s="129" t="n">
        <f aca="false">VLOOKUP(X41,MPOSCORING,2, 0)</f>
        <v>0</v>
      </c>
      <c r="Z41" s="51"/>
      <c r="AA41" s="52" t="s">
        <v>39</v>
      </c>
      <c r="AB41" s="108" t="str">
        <f aca="false">IFERROR(__xludf.dummyfunction("IMPORTRANGE(A50,""Au9"")"),"Corey Ellis")</f>
        <v>Corey Ellis</v>
      </c>
      <c r="AC41" s="54" t="n">
        <v>11</v>
      </c>
      <c r="AD41" s="130" t="n">
        <f aca="false">VLOOKUP(AC41,MPOSCORING,2, 0)</f>
        <v>82</v>
      </c>
      <c r="AE41" s="51"/>
      <c r="AF41" s="55" t="s">
        <v>39</v>
      </c>
      <c r="AG41" s="109" t="str">
        <f aca="false">IFERROR(__xludf.dummyfunction("IMPORTRANGE(A50,""bc9"")"),"James P")</f>
        <v>James P</v>
      </c>
      <c r="AH41" s="57" t="n">
        <v>21</v>
      </c>
      <c r="AI41" s="131" t="n">
        <f aca="false">VLOOKUP(AH41,MPOSCORING,2, 0)</f>
        <v>64</v>
      </c>
      <c r="AJ41" s="51"/>
      <c r="AK41" s="58" t="s">
        <v>39</v>
      </c>
      <c r="AL41" s="110" t="str">
        <f aca="false">IFERROR(__xludf.dummyfunction("IMPORTRANGE(A50,""bk9"")"),"James P")</f>
        <v>James P</v>
      </c>
      <c r="AM41" s="60" t="s">
        <v>31</v>
      </c>
      <c r="AN41" s="132" t="n">
        <f aca="false">VLOOKUP(AM41,MPOSCORING,2, 0)</f>
        <v>0</v>
      </c>
      <c r="AO41" s="51"/>
      <c r="AP41" s="61" t="s">
        <v>40</v>
      </c>
      <c r="AQ41" s="111" t="str">
        <f aca="false">IFERROR(__xludf.dummyfunction("IMPORTRANGE(A50,""bs9"")"),"")</f>
        <v/>
      </c>
      <c r="AR41" s="63" t="s">
        <v>31</v>
      </c>
      <c r="AS41" s="133" t="n">
        <f aca="false">VLOOKUP(AR41,MPOSCORING,2, 0)</f>
        <v>0</v>
      </c>
      <c r="AT41" s="51"/>
      <c r="AU41" s="64" t="s">
        <v>39</v>
      </c>
      <c r="AV41" s="112" t="str">
        <f aca="false">IFERROR(__xludf.dummyfunction("IMPORTRANGE(A50,""ca9"")"),"Andrew Fish")</f>
        <v>Andrew Fish</v>
      </c>
      <c r="AW41" s="66" t="n">
        <v>49</v>
      </c>
      <c r="AX41" s="134" t="n">
        <f aca="false">VLOOKUP(AW41,MPOSCORING,2, 0)</f>
        <v>12</v>
      </c>
      <c r="AY41" s="32"/>
      <c r="AZ41" s="36" t="s">
        <v>39</v>
      </c>
      <c r="BA41" s="139" t="str">
        <f aca="false">IFERROR(__xludf.dummyfunction("IMPORTRANGE(A50,""ci9"")"),"Andrew Fish")</f>
        <v>Andrew Fish</v>
      </c>
      <c r="BB41" s="37" t="n">
        <v>59</v>
      </c>
      <c r="BC41" s="135" t="n">
        <f aca="false">VLOOKUP(BB41,MPOSCORING,2, 0)</f>
        <v>0</v>
      </c>
      <c r="BD41" s="32"/>
      <c r="BE41" s="42" t="s">
        <v>39</v>
      </c>
      <c r="BF41" s="114" t="str">
        <f aca="false">IFERROR(__xludf.dummyfunction("IMPORTRANGE(A50,""cq9"")"),"Andrew Fish")</f>
        <v>Andrew Fish</v>
      </c>
      <c r="BG41" s="44" t="n">
        <v>76</v>
      </c>
      <c r="BH41" s="136" t="n">
        <f aca="false">VLOOKUP(BG41,MPOSCORING,2, 0)</f>
        <v>0</v>
      </c>
      <c r="BI41" s="32"/>
      <c r="BJ41" s="64" t="s">
        <v>39</v>
      </c>
      <c r="BK41" s="112" t="str">
        <f aca="false">IFERROR(__xludf.dummyfunction("IMPORTRANGE(A50,""cy9"")"),"Andrew Fish")</f>
        <v>Andrew Fish</v>
      </c>
      <c r="BL41" s="66" t="n">
        <v>44</v>
      </c>
      <c r="BM41" s="134" t="n">
        <f aca="false">VLOOKUP(BL41,MPOSCORING,2, 0)</f>
        <v>21</v>
      </c>
      <c r="BN41" s="32"/>
      <c r="BO41" s="64" t="s">
        <v>39</v>
      </c>
      <c r="BP41" s="112" t="str">
        <f aca="false">IFERROR(__xludf.dummyfunction("IMPORTRANGE(A50,""dg9"")"),"Andrew Fish")</f>
        <v>Andrew Fish</v>
      </c>
      <c r="BQ41" s="66" t="n">
        <v>107</v>
      </c>
      <c r="BR41" s="134" t="n">
        <f aca="false">VLOOKUP(BQ41,MPOSCORING,3, 0)</f>
        <v>0</v>
      </c>
      <c r="BS41" s="33"/>
      <c r="BT41" s="64" t="s">
        <v>39</v>
      </c>
      <c r="BU41" s="112" t="str">
        <f aca="false">IFERROR(__xludf.dummyfunction("IMPORTRANGE(A50,""do9"")"),"")</f>
        <v/>
      </c>
      <c r="BV41" s="66" t="s">
        <v>31</v>
      </c>
      <c r="BW41" s="134" t="n">
        <f aca="false">VLOOKUP(BV41,MPOSCORING,2, 0)</f>
        <v>0</v>
      </c>
      <c r="BX41" s="32"/>
      <c r="BY41" s="64" t="s">
        <v>39</v>
      </c>
      <c r="BZ41" s="112" t="str">
        <f aca="false">IFERROR(__xludf.dummyfunction("IMPORTRANGE(A50,""dw9"")"),"")</f>
        <v/>
      </c>
      <c r="CA41" s="66" t="s">
        <v>31</v>
      </c>
      <c r="CB41" s="134" t="n">
        <f aca="false">VLOOKUP(CA41,MPOSCORING,2, 0)</f>
        <v>0</v>
      </c>
      <c r="CC41" s="32"/>
      <c r="CD41" s="64" t="s">
        <v>39</v>
      </c>
      <c r="CE41" s="112"/>
      <c r="CF41" s="66" t="s">
        <v>31</v>
      </c>
      <c r="CG41" s="134" t="n">
        <f aca="false">VLOOKUP(CF41,MPOSCORING,3, 0)</f>
        <v>0</v>
      </c>
      <c r="CH41" s="33"/>
    </row>
    <row r="42" customFormat="false" ht="15" hidden="false" customHeight="false" outlineLevel="0" collapsed="false">
      <c r="A42" s="142" t="str">
        <f aca="false">IFERROR(__xludf.dummyfunction("IMPORTRANGE(A50,""a1"")"),"The AutoDrafters (Jake)")</f>
        <v>The AutoDrafters (Jake)</v>
      </c>
      <c r="B42" s="52" t="s">
        <v>105</v>
      </c>
      <c r="C42" s="52"/>
      <c r="D42" s="52"/>
      <c r="E42" s="52"/>
      <c r="F42" s="36" t="s">
        <v>42</v>
      </c>
      <c r="G42" s="139" t="s">
        <v>106</v>
      </c>
      <c r="H42" s="88" t="n">
        <v>21</v>
      </c>
      <c r="I42" s="136" t="n">
        <f aca="false">VLOOKUP(H42,MPOSCORING,2, 0)</f>
        <v>64</v>
      </c>
      <c r="J42" s="39" t="s">
        <v>42</v>
      </c>
      <c r="K42" s="105" t="str">
        <f aca="false">IFERROR(__xludf.dummyfunction("IMPORTRANGE(A50,""o10"")"),"Andrew fish")</f>
        <v>Andrew fish</v>
      </c>
      <c r="L42" s="41" t="n">
        <v>58</v>
      </c>
      <c r="M42" s="136" t="n">
        <f aca="false">VLOOKUP(L42,MPOSCORING,2, 0)</f>
        <v>0</v>
      </c>
      <c r="N42" s="42" t="s">
        <v>42</v>
      </c>
      <c r="O42" s="114" t="str">
        <f aca="false">IFERROR(__xludf.dummyfunction("IMPORTRANGE(A50,""o10"")"),"Andrew fish")</f>
        <v>Andrew fish</v>
      </c>
      <c r="P42" s="44" t="n">
        <v>51</v>
      </c>
      <c r="Q42" s="136" t="n">
        <f aca="false">VLOOKUP(P42,MPOSCORING,2, 0)</f>
        <v>9</v>
      </c>
      <c r="R42" s="34" t="s">
        <v>42</v>
      </c>
      <c r="S42" s="106" t="str">
        <f aca="false">IFERROR(__xludf.dummyfunction("IMPORTRANGE(A50,""AE10"")"),"Corey Ellis")</f>
        <v>Corey Ellis</v>
      </c>
      <c r="T42" s="46" t="n">
        <v>15</v>
      </c>
      <c r="U42" s="138" t="n">
        <f aca="false">VLOOKUP(T42,MPOSCORING,2, 0)</f>
        <v>75</v>
      </c>
      <c r="V42" s="48" t="s">
        <v>42</v>
      </c>
      <c r="W42" s="107" t="str">
        <f aca="false">IFERROR(__xludf.dummyfunction("IMPORTRANGE(A50,""Am10"")"),"Andrew fish")</f>
        <v>Andrew fish</v>
      </c>
      <c r="X42" s="50" t="s">
        <v>31</v>
      </c>
      <c r="Y42" s="129" t="n">
        <f aca="false">VLOOKUP(X42,MPOSCORING,2, 0)</f>
        <v>0</v>
      </c>
      <c r="Z42" s="51"/>
      <c r="AA42" s="52" t="s">
        <v>42</v>
      </c>
      <c r="AB42" s="108" t="str">
        <f aca="false">IFERROR(__xludf.dummyfunction("IMPORTRANGE(A50,""Au10"")"),"James Proctor               ")</f>
        <v>James Proctor</v>
      </c>
      <c r="AC42" s="54" t="n">
        <v>40</v>
      </c>
      <c r="AD42" s="130" t="n">
        <f aca="false">VLOOKUP(AC42,MPOSCORING,2, 0)</f>
        <v>29</v>
      </c>
      <c r="AE42" s="51"/>
      <c r="AF42" s="55" t="s">
        <v>42</v>
      </c>
      <c r="AG42" s="109" t="str">
        <f aca="false">IFERROR(__xludf.dummyfunction("IMPORTRANGE(A50,""BC10"")"),"Corey Ellis")</f>
        <v>Corey Ellis</v>
      </c>
      <c r="AH42" s="57" t="n">
        <v>15</v>
      </c>
      <c r="AI42" s="131" t="n">
        <f aca="false">VLOOKUP(AH42,MPOSCORING,2, 0)</f>
        <v>75</v>
      </c>
      <c r="AJ42" s="51"/>
      <c r="AK42" s="58" t="s">
        <v>42</v>
      </c>
      <c r="AL42" s="110" t="str">
        <f aca="false">IFERROR(__xludf.dummyfunction("IMPORTRANGE(A50,""Bk10"")"),"Corey Ellis")</f>
        <v>Corey Ellis</v>
      </c>
      <c r="AM42" s="60" t="n">
        <v>35</v>
      </c>
      <c r="AN42" s="132" t="n">
        <f aca="false">VLOOKUP(AM42,MPOSCORING,2, 0)</f>
        <v>38</v>
      </c>
      <c r="AO42" s="51"/>
      <c r="AP42" s="61" t="s">
        <v>43</v>
      </c>
      <c r="AQ42" s="111" t="str">
        <f aca="false">IFERROR(__xludf.dummyfunction("IMPORTRANGE(A50,""Bs10"")"),"")</f>
        <v/>
      </c>
      <c r="AR42" s="63" t="s">
        <v>31</v>
      </c>
      <c r="AS42" s="133" t="n">
        <f aca="false">VLOOKUP(AR42,MPOSCORING,2, 0)</f>
        <v>0</v>
      </c>
      <c r="AT42" s="51"/>
      <c r="AU42" s="64" t="s">
        <v>42</v>
      </c>
      <c r="AV42" s="112" t="str">
        <f aca="false">IFERROR(__xludf.dummyfunction("IMPORTRANGE(A50,""ca10"")"),"Corey Ellis")</f>
        <v>Corey Ellis</v>
      </c>
      <c r="AW42" s="66" t="n">
        <v>19</v>
      </c>
      <c r="AX42" s="134" t="n">
        <f aca="false">VLOOKUP(AW42,MPOSCORING,2, 0)</f>
        <v>67</v>
      </c>
      <c r="AY42" s="32"/>
      <c r="AZ42" s="36" t="s">
        <v>42</v>
      </c>
      <c r="BA42" s="139" t="str">
        <f aca="false">IFERROR(__xludf.dummyfunction("IMPORTRANGE(A50,""ci10"")"),"Corey Ellis")</f>
        <v>Corey Ellis</v>
      </c>
      <c r="BB42" s="37" t="n">
        <v>2</v>
      </c>
      <c r="BC42" s="135" t="n">
        <f aca="false">VLOOKUP(BB42,MPOSCORING,2, 0)</f>
        <v>98</v>
      </c>
      <c r="BD42" s="32"/>
      <c r="BE42" s="42" t="s">
        <v>42</v>
      </c>
      <c r="BF42" s="114" t="str">
        <f aca="false">IFERROR(__xludf.dummyfunction("IMPORTRANGE(A50,""cq10"")"),"Corey Ellis")</f>
        <v>Corey Ellis</v>
      </c>
      <c r="BG42" s="44" t="n">
        <v>5</v>
      </c>
      <c r="BH42" s="136" t="n">
        <f aca="false">VLOOKUP(BG42,MPOSCORING,2, 0)</f>
        <v>93</v>
      </c>
      <c r="BI42" s="32"/>
      <c r="BJ42" s="64" t="s">
        <v>42</v>
      </c>
      <c r="BK42" s="112" t="str">
        <f aca="false">IFERROR(__xludf.dummyfunction("IMPORTRANGE(A50,""cy10"")"),"Corey Ellis")</f>
        <v>Corey Ellis</v>
      </c>
      <c r="BL42" s="66" t="n">
        <v>66</v>
      </c>
      <c r="BM42" s="134" t="n">
        <f aca="false">VLOOKUP(BL42,MPOSCORING,2, 0)</f>
        <v>0</v>
      </c>
      <c r="BN42" s="32"/>
      <c r="BO42" s="64" t="s">
        <v>42</v>
      </c>
      <c r="BP42" s="112" t="str">
        <f aca="false">IFERROR(__xludf.dummyfunction("IMPORTRANGE(A50,""dg10"")"),"Corey Ellis")</f>
        <v>Corey Ellis</v>
      </c>
      <c r="BQ42" s="66" t="n">
        <v>58</v>
      </c>
      <c r="BR42" s="134" t="n">
        <f aca="false">VLOOKUP(BQ42,MPOSCORING,3, 0)</f>
        <v>13</v>
      </c>
      <c r="BS42" s="33"/>
      <c r="BT42" s="64" t="s">
        <v>42</v>
      </c>
      <c r="BU42" s="112" t="str">
        <f aca="false">IFERROR(__xludf.dummyfunction("IMPORTRANGE(A50,""do10"")"),"")</f>
        <v/>
      </c>
      <c r="BV42" s="66" t="s">
        <v>31</v>
      </c>
      <c r="BW42" s="134" t="n">
        <f aca="false">VLOOKUP(BV42,MPOSCORING,2, 0)</f>
        <v>0</v>
      </c>
      <c r="BX42" s="32"/>
      <c r="BY42" s="64" t="s">
        <v>42</v>
      </c>
      <c r="BZ42" s="112" t="str">
        <f aca="false">IFERROR(__xludf.dummyfunction("IMPORTRANGE(A50,""dw10"") "),"")</f>
        <v/>
      </c>
      <c r="CA42" s="66" t="s">
        <v>31</v>
      </c>
      <c r="CB42" s="134" t="n">
        <f aca="false">VLOOKUP(CA42,MPOSCORING,2, 0)</f>
        <v>0</v>
      </c>
      <c r="CC42" s="32"/>
      <c r="CD42" s="64" t="s">
        <v>42</v>
      </c>
      <c r="CE42" s="112"/>
      <c r="CF42" s="66" t="s">
        <v>31</v>
      </c>
      <c r="CG42" s="134" t="n">
        <f aca="false">VLOOKUP(CF42,MPOSCORING,3, 0)</f>
        <v>0</v>
      </c>
      <c r="CH42" s="33"/>
    </row>
    <row r="43" customFormat="false" ht="15" hidden="false" customHeight="false" outlineLevel="0" collapsed="false">
      <c r="A43" s="142" t="str">
        <f aca="false">IFERROR(__xludf.dummyfunction("IMPORTRANGE(A50,""a1"")"),"The AutoDrafters (Jake)")</f>
        <v>The AutoDrafters (Jake)</v>
      </c>
      <c r="B43" s="52" t="s">
        <v>107</v>
      </c>
      <c r="C43" s="52"/>
      <c r="D43" s="52"/>
      <c r="E43" s="52"/>
      <c r="F43" s="36" t="s">
        <v>45</v>
      </c>
      <c r="G43" s="139" t="s">
        <v>108</v>
      </c>
      <c r="H43" s="88" t="s">
        <v>31</v>
      </c>
      <c r="I43" s="136" t="n">
        <f aca="false">VLOOKUP(H43,MPOSCORING,2, 0)</f>
        <v>0</v>
      </c>
      <c r="J43" s="39" t="s">
        <v>45</v>
      </c>
      <c r="K43" s="105" t="str">
        <f aca="false">IFERROR(__xludf.dummyfunction("IMPORTRANGE(A50,""o11"")"),"Corey ellis")</f>
        <v>Corey ellis</v>
      </c>
      <c r="L43" s="41" t="n">
        <v>15</v>
      </c>
      <c r="M43" s="136" t="n">
        <f aca="false">VLOOKUP(L43,MPOSCORING,2, 0)</f>
        <v>75</v>
      </c>
      <c r="N43" s="42" t="s">
        <v>45</v>
      </c>
      <c r="O43" s="114" t="str">
        <f aca="false">IFERROR(__xludf.dummyfunction("IMPORTRANGE(A50,""o11"")"),"Corey ellis")</f>
        <v>Corey ellis</v>
      </c>
      <c r="P43" s="44" t="n">
        <v>4</v>
      </c>
      <c r="Q43" s="136" t="n">
        <f aca="false">VLOOKUP(P43,MPOSCORING,2, 0)</f>
        <v>94</v>
      </c>
      <c r="R43" s="34" t="s">
        <v>45</v>
      </c>
      <c r="S43" s="106" t="str">
        <f aca="false">IFERROR(__xludf.dummyfunction("IMPORTRANGE(A50,""AE11"")"),"MJ")</f>
        <v>MJ</v>
      </c>
      <c r="T43" s="46" t="s">
        <v>30</v>
      </c>
      <c r="U43" s="138" t="n">
        <f aca="false">VLOOKUP(T43,MPOSCORING,2, 0)</f>
        <v>0</v>
      </c>
      <c r="V43" s="48" t="s">
        <v>45</v>
      </c>
      <c r="W43" s="107" t="str">
        <f aca="false">IFERROR(__xludf.dummyfunction("IMPORTRANGE(A50,""Am11"")"),"Harris")</f>
        <v>Harris</v>
      </c>
      <c r="X43" s="50" t="n">
        <v>43</v>
      </c>
      <c r="Y43" s="129" t="n">
        <f aca="false">VLOOKUP(X43,MPOSCORING,2, 0)</f>
        <v>23</v>
      </c>
      <c r="Z43" s="51"/>
      <c r="AA43" s="52" t="s">
        <v>45</v>
      </c>
      <c r="AB43" s="108" t="str">
        <f aca="false">IFERROR(__xludf.dummyfunction("IMPORTRANGE(A50,""Au11"")"),"Alden Harris")</f>
        <v>Alden Harris</v>
      </c>
      <c r="AC43" s="54" t="n">
        <v>23</v>
      </c>
      <c r="AD43" s="130" t="n">
        <f aca="false">VLOOKUP(AC43,MPOSCORING,2, 0)</f>
        <v>60</v>
      </c>
      <c r="AE43" s="51"/>
      <c r="AF43" s="55" t="s">
        <v>45</v>
      </c>
      <c r="AG43" s="109" t="str">
        <f aca="false">IFERROR(__xludf.dummyfunction("IMPORTRANGE(A50,""bc11"")"),"Alden Harris ")</f>
        <v>Alden Harris</v>
      </c>
      <c r="AH43" s="57" t="n">
        <v>52</v>
      </c>
      <c r="AI43" s="131" t="n">
        <f aca="false">VLOOKUP(AH43,MPOSCORING,2, 0)</f>
        <v>8</v>
      </c>
      <c r="AJ43" s="51"/>
      <c r="AK43" s="58" t="s">
        <v>45</v>
      </c>
      <c r="AL43" s="110" t="str">
        <f aca="false">IFERROR(__xludf.dummyfunction("IMPORTRANGE(A50,""bk11"")"),"Alden Harris ")</f>
        <v>Alden Harris</v>
      </c>
      <c r="AM43" s="60" t="n">
        <v>30</v>
      </c>
      <c r="AN43" s="132" t="n">
        <f aca="false">VLOOKUP(AM43,MPOSCORING,2, 0)</f>
        <v>48</v>
      </c>
      <c r="AO43" s="51"/>
      <c r="AP43" s="61" t="s">
        <v>46</v>
      </c>
      <c r="AQ43" s="111" t="str">
        <f aca="false">IFERROR(__xludf.dummyfunction("IMPORTRANGE(A50,""bs11"")"),"")</f>
        <v/>
      </c>
      <c r="AR43" s="63" t="s">
        <v>31</v>
      </c>
      <c r="AS43" s="133" t="n">
        <f aca="false">VLOOKUP(AR43,MPOSCORING,2, 0)</f>
        <v>0</v>
      </c>
      <c r="AT43" s="51"/>
      <c r="AU43" s="64" t="s">
        <v>45</v>
      </c>
      <c r="AV43" s="112" t="str">
        <f aca="false">IFERROR(__xludf.dummyfunction("IMPORTRANGE(A50,""ca11"")"),"Alden Harris ")</f>
        <v>Alden Harris</v>
      </c>
      <c r="AW43" s="66" t="n">
        <v>6</v>
      </c>
      <c r="AX43" s="134" t="n">
        <f aca="false">VLOOKUP(AW43,MPOSCORING,2, 0)</f>
        <v>91</v>
      </c>
      <c r="AY43" s="32"/>
      <c r="AZ43" s="36" t="s">
        <v>45</v>
      </c>
      <c r="BA43" s="139" t="str">
        <f aca="false">IFERROR(__xludf.dummyfunction("IMPORTRANGE(A50,""ci11"")"),"Alden Harris ")</f>
        <v>Alden Harris</v>
      </c>
      <c r="BB43" s="37" t="n">
        <v>24</v>
      </c>
      <c r="BC43" s="135" t="n">
        <f aca="false">VLOOKUP(BB43,MPOSCORING,2, 0)</f>
        <v>58</v>
      </c>
      <c r="BD43" s="32"/>
      <c r="BE43" s="42" t="s">
        <v>45</v>
      </c>
      <c r="BF43" s="114" t="str">
        <f aca="false">IFERROR(__xludf.dummyfunction("IMPORTRANGE(A50,""cq11"")"),"Alden Harris ")</f>
        <v>Alden Harris</v>
      </c>
      <c r="BG43" s="44" t="n">
        <v>18</v>
      </c>
      <c r="BH43" s="136" t="n">
        <f aca="false">VLOOKUP(BG43,MPOSCORING,2, 0)</f>
        <v>69</v>
      </c>
      <c r="BI43" s="32"/>
      <c r="BJ43" s="64" t="s">
        <v>45</v>
      </c>
      <c r="BK43" s="112" t="str">
        <f aca="false">IFERROR(__xludf.dummyfunction("IMPORTRANGE(A50,""cy11"")"),"Alden Harris ")</f>
        <v>Alden Harris</v>
      </c>
      <c r="BL43" s="66" t="n">
        <v>26</v>
      </c>
      <c r="BM43" s="134" t="n">
        <f aca="false">VLOOKUP(BL43,MPOSCORING,2, 0)</f>
        <v>55</v>
      </c>
      <c r="BN43" s="32"/>
      <c r="BO43" s="64" t="s">
        <v>45</v>
      </c>
      <c r="BP43" s="112" t="str">
        <f aca="false">IFERROR(__xludf.dummyfunction("IMPORTRANGE(A50,""dg11"")"),"Alden Harris ")</f>
        <v>Alden Harris</v>
      </c>
      <c r="BQ43" s="66" t="n">
        <v>25</v>
      </c>
      <c r="BR43" s="134" t="n">
        <f aca="false">VLOOKUP(BQ43,MPOSCORING,3, 0)</f>
        <v>114</v>
      </c>
      <c r="BS43" s="33"/>
      <c r="BT43" s="64" t="s">
        <v>45</v>
      </c>
      <c r="BU43" s="112" t="str">
        <f aca="false">IFERROR(__xludf.dummyfunction("IMPORTRANGE(A50,""do11"")"),"")</f>
        <v/>
      </c>
      <c r="BV43" s="66" t="s">
        <v>31</v>
      </c>
      <c r="BW43" s="134" t="n">
        <f aca="false">VLOOKUP(BV43,MPOSCORING,2, 0)</f>
        <v>0</v>
      </c>
      <c r="BX43" s="32"/>
      <c r="BY43" s="64" t="s">
        <v>45</v>
      </c>
      <c r="BZ43" s="112" t="str">
        <f aca="false">IFERROR(__xludf.dummyfunction("IMPORTRANGE(A50,""dw11"")"),"")</f>
        <v/>
      </c>
      <c r="CA43" s="66" t="s">
        <v>31</v>
      </c>
      <c r="CB43" s="134" t="n">
        <f aca="false">VLOOKUP(CA43,MPOSCORING,2, 0)</f>
        <v>0</v>
      </c>
      <c r="CC43" s="32"/>
      <c r="CD43" s="64" t="s">
        <v>45</v>
      </c>
      <c r="CE43" s="112"/>
      <c r="CF43" s="66" t="s">
        <v>31</v>
      </c>
      <c r="CG43" s="134" t="n">
        <f aca="false">VLOOKUP(CF43,MPOSCORING,3, 0)</f>
        <v>0</v>
      </c>
      <c r="CH43" s="33"/>
    </row>
    <row r="44" customFormat="false" ht="15" hidden="false" customHeight="false" outlineLevel="0" collapsed="false">
      <c r="A44" s="142" t="str">
        <f aca="false">IFERROR(__xludf.dummyfunction("IMPORTRANGE(A50,""a1"")"),"The AutoDrafters (Jake)")</f>
        <v>The AutoDrafters (Jake)</v>
      </c>
      <c r="B44" s="52" t="s">
        <v>109</v>
      </c>
      <c r="C44" s="52"/>
      <c r="D44" s="52"/>
      <c r="E44" s="52"/>
      <c r="F44" s="36" t="s">
        <v>48</v>
      </c>
      <c r="G44" s="139" t="s">
        <v>110</v>
      </c>
      <c r="H44" s="88" t="n">
        <v>22</v>
      </c>
      <c r="I44" s="136" t="n">
        <f aca="false">VLOOKUP(H44,FPOSCORING,2, 0)</f>
        <v>8</v>
      </c>
      <c r="J44" s="39" t="s">
        <v>48</v>
      </c>
      <c r="K44" s="105" t="str">
        <f aca="false">IFERROR(__xludf.dummyfunction("IMPORTRANGE(A50,""o12"")"),"Lisa F")</f>
        <v>Lisa F</v>
      </c>
      <c r="L44" s="41" t="n">
        <v>15</v>
      </c>
      <c r="M44" s="136" t="n">
        <f aca="false">VLOOKUP(L44,FPOSCORING,2, 0)</f>
        <v>34</v>
      </c>
      <c r="N44" s="42" t="s">
        <v>48</v>
      </c>
      <c r="O44" s="114" t="str">
        <f aca="false">IFERROR(__xludf.dummyfunction("IMPORTRANGE(A50,""o12"")"),"Lisa F")</f>
        <v>Lisa F</v>
      </c>
      <c r="P44" s="44" t="n">
        <v>14</v>
      </c>
      <c r="Q44" s="136" t="n">
        <f aca="false">VLOOKUP(P44,FPOSCORING,2, 0)</f>
        <v>38</v>
      </c>
      <c r="R44" s="34" t="s">
        <v>48</v>
      </c>
      <c r="S44" s="106" t="str">
        <f aca="false">IFERROR(__xludf.dummyfunction("IMPORTRANGE(A50,""AE12"")"),"Dean Carey")</f>
        <v>Dean Carey</v>
      </c>
      <c r="T44" s="46" t="n">
        <v>14</v>
      </c>
      <c r="U44" s="138" t="n">
        <f aca="false">VLOOKUP(T44,FPOSCORING,2, 0)</f>
        <v>38</v>
      </c>
      <c r="V44" s="48" t="s">
        <v>48</v>
      </c>
      <c r="W44" s="107" t="str">
        <f aca="false">IFERROR(__xludf.dummyfunction("IMPORTRANGE(A50,""Am12"")"),"Dean C")</f>
        <v>Dean C</v>
      </c>
      <c r="X44" s="50" t="n">
        <v>26</v>
      </c>
      <c r="Y44" s="129" t="n">
        <f aca="false">VLOOKUP(X44,FPOSCORING,2, 0)</f>
        <v>0</v>
      </c>
      <c r="Z44" s="51"/>
      <c r="AA44" s="52" t="s">
        <v>48</v>
      </c>
      <c r="AB44" s="108" t="str">
        <f aca="false">IFERROR(__xludf.dummyfunction("IMPORTRANGE(A50,""Au12"")"),"Dean C")</f>
        <v>Dean C</v>
      </c>
      <c r="AC44" s="54" t="n">
        <v>30</v>
      </c>
      <c r="AD44" s="130" t="n">
        <f aca="false">VLOOKUP(AC44,FPOSCORING,2, 0)</f>
        <v>0</v>
      </c>
      <c r="AE44" s="51"/>
      <c r="AF44" s="55" t="s">
        <v>48</v>
      </c>
      <c r="AG44" s="109" t="str">
        <f aca="false">IFERROR(__xludf.dummyfunction("IMPORTRANGE(A50,""bc12"")"),"Alex B")</f>
        <v>Alex B</v>
      </c>
      <c r="AH44" s="57" t="n">
        <v>22</v>
      </c>
      <c r="AI44" s="131" t="n">
        <f aca="false">VLOOKUP(AH44,FPOSCORING,2, 0)</f>
        <v>8</v>
      </c>
      <c r="AJ44" s="51"/>
      <c r="AK44" s="58" t="s">
        <v>48</v>
      </c>
      <c r="AL44" s="110" t="str">
        <f aca="false">IFERROR(__xludf.dummyfunction("IMPORTRANGE(A50,""bk12"")"),"Alex B")</f>
        <v>Alex B</v>
      </c>
      <c r="AM44" s="60" t="n">
        <v>28</v>
      </c>
      <c r="AN44" s="132" t="n">
        <f aca="false">VLOOKUP(AM44,FPOSCORING,2, 0)</f>
        <v>0</v>
      </c>
      <c r="AO44" s="51"/>
      <c r="AP44" s="61" t="s">
        <v>49</v>
      </c>
      <c r="AQ44" s="111" t="str">
        <f aca="false">IFERROR(__xludf.dummyfunction("IMPORTRANGE(A50,""bs12"")"),"")</f>
        <v/>
      </c>
      <c r="AR44" s="63" t="s">
        <v>31</v>
      </c>
      <c r="AS44" s="133" t="n">
        <f aca="false">VLOOKUP(AR44,MPOSCORING,2, 0)</f>
        <v>0</v>
      </c>
      <c r="AT44" s="51"/>
      <c r="AU44" s="64" t="s">
        <v>48</v>
      </c>
      <c r="AV44" s="112" t="str">
        <f aca="false">IFERROR(__xludf.dummyfunction("IMPORTRANGE(A50,""ca12"")"),"Alex B")</f>
        <v>Alex B</v>
      </c>
      <c r="AW44" s="66" t="n">
        <v>13</v>
      </c>
      <c r="AX44" s="134" t="n">
        <f aca="false">VLOOKUP(AW44,FPOSCORING,2, 0)</f>
        <v>42</v>
      </c>
      <c r="AY44" s="32"/>
      <c r="AZ44" s="36" t="s">
        <v>48</v>
      </c>
      <c r="BA44" s="139" t="str">
        <f aca="false">IFERROR(__xludf.dummyfunction("IMPORTRANGE(A50,""ci12"")"),"Alex B")</f>
        <v>Alex B</v>
      </c>
      <c r="BB44" s="37" t="n">
        <v>24</v>
      </c>
      <c r="BC44" s="135" t="n">
        <f aca="false">VLOOKUP(BB44,FPOSCORING,2, 0)</f>
        <v>6</v>
      </c>
      <c r="BD44" s="32"/>
      <c r="BE44" s="42" t="s">
        <v>48</v>
      </c>
      <c r="BF44" s="114" t="str">
        <f aca="false">IFERROR(__xludf.dummyfunction("IMPORTRANGE(A50,""cq12"")"),"Alex B")</f>
        <v>Alex B</v>
      </c>
      <c r="BG44" s="44" t="s">
        <v>31</v>
      </c>
      <c r="BH44" s="136" t="n">
        <f aca="false">VLOOKUP(BG44,MPOSCORING,2, 0)</f>
        <v>0</v>
      </c>
      <c r="BI44" s="32"/>
      <c r="BJ44" s="64" t="s">
        <v>48</v>
      </c>
      <c r="BK44" s="112" t="str">
        <f aca="false">IFERROR(__xludf.dummyfunction("IMPORTRANGE(A50,""cy12"")"),"Alex B")</f>
        <v>Alex B</v>
      </c>
      <c r="BL44" s="66" t="n">
        <v>26</v>
      </c>
      <c r="BM44" s="134" t="n">
        <f aca="false">VLOOKUP(BL44,FPOSCORING,2, 0)</f>
        <v>0</v>
      </c>
      <c r="BN44" s="32"/>
      <c r="BO44" s="64" t="s">
        <v>48</v>
      </c>
      <c r="BP44" s="112" t="str">
        <f aca="false">IFERROR(__xludf.dummyfunction("IMPORTRANGE(A50,""dg12"")"),"Alex B")</f>
        <v>Alex B</v>
      </c>
      <c r="BQ44" s="66" t="n">
        <v>19</v>
      </c>
      <c r="BR44" s="134" t="n">
        <f aca="false">VLOOKUP(BQ44,FPOSCORING,3, 0)</f>
        <v>30</v>
      </c>
      <c r="BS44" s="33"/>
      <c r="BT44" s="64" t="s">
        <v>48</v>
      </c>
      <c r="BU44" s="112" t="str">
        <f aca="false">IFERROR(__xludf.dummyfunction("IMPORTRANGE(A50,""do12"")"),"")</f>
        <v/>
      </c>
      <c r="BV44" s="66" t="s">
        <v>31</v>
      </c>
      <c r="BW44" s="134" t="n">
        <f aca="false">VLOOKUP(BV44,MPOSCORING,2, 0)</f>
        <v>0</v>
      </c>
      <c r="BX44" s="32"/>
      <c r="BY44" s="64" t="s">
        <v>48</v>
      </c>
      <c r="BZ44" s="112" t="str">
        <f aca="false">IFERROR(__xludf.dummyfunction("IMPORTRANGE(A50,""dw12"")"),"")</f>
        <v/>
      </c>
      <c r="CA44" s="66" t="s">
        <v>31</v>
      </c>
      <c r="CB44" s="134" t="n">
        <f aca="false">VLOOKUP(CA44,MPOSCORING,2, 0)</f>
        <v>0</v>
      </c>
      <c r="CC44" s="32"/>
      <c r="CD44" s="64" t="s">
        <v>48</v>
      </c>
      <c r="CE44" s="112"/>
      <c r="CF44" s="66" t="s">
        <v>31</v>
      </c>
      <c r="CG44" s="134" t="n">
        <f aca="false">VLOOKUP(CF44,FPOSCORING,3, 0)</f>
        <v>0</v>
      </c>
      <c r="CH44" s="33"/>
    </row>
    <row r="45" customFormat="false" ht="15" hidden="false" customHeight="false" outlineLevel="0" collapsed="false">
      <c r="A45" s="142" t="str">
        <f aca="false">IFERROR(__xludf.dummyfunction("IMPORTRANGE(A50,""a1"")"),"The AutoDrafters (Jake)")</f>
        <v>The AutoDrafters (Jake)</v>
      </c>
      <c r="B45" s="52" t="s">
        <v>111</v>
      </c>
      <c r="C45" s="52"/>
      <c r="D45" s="52"/>
      <c r="E45" s="52"/>
      <c r="F45" s="36" t="s">
        <v>40</v>
      </c>
      <c r="G45" s="139" t="s">
        <v>97</v>
      </c>
      <c r="H45" s="88" t="s">
        <v>31</v>
      </c>
      <c r="I45" s="115" t="n">
        <f aca="false">VLOOKUP(H45,MPOSCORING,2, 0)</f>
        <v>0</v>
      </c>
      <c r="J45" s="39" t="s">
        <v>40</v>
      </c>
      <c r="K45" s="105" t="str">
        <f aca="false">IFERROR(__xludf.dummyfunction("IMPORTRANGE(A50,""o13"")"),"")</f>
        <v/>
      </c>
      <c r="L45" s="41" t="s">
        <v>31</v>
      </c>
      <c r="M45" s="115" t="n">
        <f aca="false">VLOOKUP(L45,MPOSCORING,2, 0)</f>
        <v>0</v>
      </c>
      <c r="N45" s="42" t="s">
        <v>40</v>
      </c>
      <c r="O45" s="43" t="str">
        <f aca="false">IFERROR(__xludf.dummyfunction("IMPORTRANGE(A50,""w13"")"),"")</f>
        <v/>
      </c>
      <c r="P45" s="44" t="s">
        <v>31</v>
      </c>
      <c r="Q45" s="115" t="n">
        <f aca="false">VLOOKUP(P45,MPOSCORING,2, 0)</f>
        <v>0</v>
      </c>
      <c r="R45" s="34" t="s">
        <v>40</v>
      </c>
      <c r="S45" s="106" t="str">
        <f aca="false">IFERROR(__xludf.dummyfunction("IMPORTRANGE(A50,""AE13"")"),"James proctor")</f>
        <v>James proctor</v>
      </c>
      <c r="T45" s="46" t="s">
        <v>31</v>
      </c>
      <c r="U45" s="116" t="n">
        <f aca="false">VLOOKUP(T45,MPOSCORING,2, 0)</f>
        <v>0</v>
      </c>
      <c r="V45" s="48" t="s">
        <v>40</v>
      </c>
      <c r="W45" s="107" t="str">
        <f aca="false">IFERROR(__xludf.dummyfunction("IMPORTRANGE(A50,""Am13"")"),"Henna")</f>
        <v>Henna</v>
      </c>
      <c r="X45" s="50" t="s">
        <v>31</v>
      </c>
      <c r="Y45" s="117" t="n">
        <f aca="false">VLOOKUP(X45,MPOSCORING,2, 0)</f>
        <v>0</v>
      </c>
      <c r="Z45" s="51"/>
      <c r="AA45" s="52" t="s">
        <v>40</v>
      </c>
      <c r="AB45" s="108" t="str">
        <f aca="false">IFERROR(__xludf.dummyfunction("IMPORTRANGE(A50,""Au13"")"),"Henna")</f>
        <v>Henna</v>
      </c>
      <c r="AC45" s="54" t="s">
        <v>31</v>
      </c>
      <c r="AD45" s="130" t="n">
        <f aca="false">VLOOKUP(AC45,MPOSCORING,2, 0)</f>
        <v>0</v>
      </c>
      <c r="AE45" s="51"/>
      <c r="AF45" s="55" t="s">
        <v>40</v>
      </c>
      <c r="AG45" s="109" t="str">
        <f aca="false">IFERROR(__xludf.dummyfunction("IMPORTRANGE(A50,""bc13"")"),"Henna")</f>
        <v>Henna</v>
      </c>
      <c r="AH45" s="57" t="s">
        <v>31</v>
      </c>
      <c r="AI45" s="118" t="n">
        <f aca="false">VLOOKUP(AH45,FPOSCORING,2, 0)</f>
        <v>0</v>
      </c>
      <c r="AJ45" s="51"/>
      <c r="AK45" s="58" t="s">
        <v>40</v>
      </c>
      <c r="AL45" s="110" t="str">
        <f aca="false">IFERROR(__xludf.dummyfunction("IMPORTRANGE(A50,""bk13"")"),"Henna")</f>
        <v>Henna</v>
      </c>
      <c r="AM45" s="60" t="s">
        <v>31</v>
      </c>
      <c r="AN45" s="119" t="n">
        <f aca="false">VLOOKUP(AM45,MPOSCORING,2, 0)</f>
        <v>0</v>
      </c>
      <c r="AO45" s="51"/>
      <c r="AP45" s="61" t="s">
        <v>51</v>
      </c>
      <c r="AQ45" s="111" t="str">
        <f aca="false">IFERROR(__xludf.dummyfunction("IMPORTRANGE(A50,""bs13"")"),"")</f>
        <v/>
      </c>
      <c r="AR45" s="63" t="s">
        <v>31</v>
      </c>
      <c r="AS45" s="61"/>
      <c r="AT45" s="51"/>
      <c r="AU45" s="64" t="s">
        <v>40</v>
      </c>
      <c r="AV45" s="123" t="str">
        <f aca="false">IFERROR(__xludf.dummyfunction("IMPORTRANGE(A50,""ca13"")"),"Henna")</f>
        <v>Henna</v>
      </c>
      <c r="AW45" s="66" t="s">
        <v>31</v>
      </c>
      <c r="AX45" s="120" t="n">
        <f aca="false">VLOOKUP(AW45,MPOSCORING,2, 0)</f>
        <v>0</v>
      </c>
      <c r="AY45" s="121"/>
      <c r="AZ45" s="36" t="s">
        <v>40</v>
      </c>
      <c r="BA45" s="140" t="str">
        <f aca="false">IFERROR(__xludf.dummyfunction("IMPORTRANGE(A50,""ci13"")"),"Henna")</f>
        <v>Henna</v>
      </c>
      <c r="BB45" s="37" t="s">
        <v>31</v>
      </c>
      <c r="BC45" s="122" t="n">
        <f aca="false">VLOOKUP(BB45,MPOSCORING,2, 0)</f>
        <v>0</v>
      </c>
      <c r="BD45" s="121"/>
      <c r="BE45" s="42" t="s">
        <v>40</v>
      </c>
      <c r="BF45" s="114" t="str">
        <f aca="false">IFERROR(__xludf.dummyfunction("IMPORTRANGE(A50,""cq13"")"),"Henna")</f>
        <v>Henna</v>
      </c>
      <c r="BG45" s="44" t="s">
        <v>31</v>
      </c>
      <c r="BH45" s="115" t="n">
        <f aca="false">VLOOKUP(BG45,MPOSCORING,2, 0)</f>
        <v>0</v>
      </c>
      <c r="BI45" s="121"/>
      <c r="BJ45" s="64" t="s">
        <v>40</v>
      </c>
      <c r="BK45" s="123" t="str">
        <f aca="false">IFERROR(__xludf.dummyfunction("IMPORTRANGE(A50,""cy13"")"),"Callie")</f>
        <v>Callie</v>
      </c>
      <c r="BL45" s="66" t="n">
        <v>48</v>
      </c>
      <c r="BM45" s="120" t="n">
        <f aca="false">VLOOKUP(BL45,FPOSCORING,2, 0)</f>
        <v>0</v>
      </c>
      <c r="BN45" s="121"/>
      <c r="BO45" s="64" t="s">
        <v>40</v>
      </c>
      <c r="BP45" s="123" t="str">
        <f aca="false">IFERROR(__xludf.dummyfunction("IMPORTRANGE(A50,""dg13"")"),"Callie")</f>
        <v>Callie</v>
      </c>
      <c r="BQ45" s="66" t="s">
        <v>31</v>
      </c>
      <c r="BR45" s="120" t="n">
        <f aca="false">VLOOKUP(BQ45,MPOSCORING,2, 0)*2</f>
        <v>0</v>
      </c>
      <c r="BS45" s="124"/>
      <c r="BT45" s="64" t="s">
        <v>40</v>
      </c>
      <c r="BU45" s="123" t="str">
        <f aca="false">IFERROR(__xludf.dummyfunction("IMPORTRANGE(A50,""do13"")"),"")</f>
        <v/>
      </c>
      <c r="BV45" s="66" t="s">
        <v>31</v>
      </c>
      <c r="BW45" s="120" t="n">
        <f aca="false">VLOOKUP(BV45,MPOSCORING,2, 0)</f>
        <v>0</v>
      </c>
      <c r="BX45" s="121"/>
      <c r="BY45" s="64" t="s">
        <v>40</v>
      </c>
      <c r="BZ45" s="112" t="str">
        <f aca="false">IFERROR(__xludf.dummyfunction("IMPORTRANGE(A50,""dw13"")"),"")</f>
        <v/>
      </c>
      <c r="CA45" s="66" t="s">
        <v>31</v>
      </c>
      <c r="CB45" s="120" t="n">
        <f aca="false">VLOOKUP(CA45,MPOSCORING,2, 0)</f>
        <v>0</v>
      </c>
      <c r="CC45" s="121"/>
      <c r="CD45" s="64" t="s">
        <v>40</v>
      </c>
      <c r="CE45" s="123"/>
      <c r="CF45" s="66" t="s">
        <v>31</v>
      </c>
      <c r="CG45" s="120" t="n">
        <f aca="false">VLOOKUP(CF45,MPOSCORING,3, 0)</f>
        <v>0</v>
      </c>
      <c r="CH45" s="124"/>
    </row>
    <row r="46" customFormat="false" ht="15" hidden="false" customHeight="false" outlineLevel="0" collapsed="false">
      <c r="A46" s="142" t="str">
        <f aca="false">IFERROR(__xludf.dummyfunction("IMPORTRANGE(A50,""a1"")"),"The AutoDrafters (Jake)")</f>
        <v>The AutoDrafters (Jake)</v>
      </c>
      <c r="B46" s="52" t="s">
        <v>112</v>
      </c>
      <c r="C46" s="52"/>
      <c r="D46" s="52"/>
      <c r="E46" s="52"/>
      <c r="F46" s="36" t="s">
        <v>43</v>
      </c>
      <c r="G46" s="139" t="s">
        <v>105</v>
      </c>
      <c r="H46" s="37" t="s">
        <v>31</v>
      </c>
      <c r="I46" s="125" t="n">
        <f aca="false">VLOOKUP(H46,FPOSCORING,2, 0)</f>
        <v>0</v>
      </c>
      <c r="J46" s="39" t="s">
        <v>43</v>
      </c>
      <c r="K46" s="105" t="str">
        <f aca="false">IFERROR(__xludf.dummyfunction("IMPORTRANGE(A50,""o14"")"),"")</f>
        <v/>
      </c>
      <c r="L46" s="41" t="s">
        <v>31</v>
      </c>
      <c r="M46" s="125" t="n">
        <f aca="false">VLOOKUP(L46,FPOSCORING,2, 0)</f>
        <v>0</v>
      </c>
      <c r="N46" s="42" t="s">
        <v>43</v>
      </c>
      <c r="O46" s="43" t="str">
        <f aca="false">IFERROR(__xludf.dummyfunction("IMPORTRANGE(A50,""w14"")"),"")</f>
        <v/>
      </c>
      <c r="P46" s="44" t="s">
        <v>31</v>
      </c>
      <c r="Q46" s="125" t="n">
        <f aca="false">VLOOKUP(P46,FPOSCORING,2, 0)</f>
        <v>0</v>
      </c>
      <c r="R46" s="34" t="s">
        <v>43</v>
      </c>
      <c r="S46" s="106" t="str">
        <f aca="false">IFERROR(__xludf.dummyfunction("IMPORTRANGE(A50,""AE14"")"),"Andrew Fish")</f>
        <v>Andrew Fish</v>
      </c>
      <c r="T46" s="46" t="s">
        <v>31</v>
      </c>
      <c r="U46" s="126" t="n">
        <f aca="false">VLOOKUP(T46,FPOSCORING,2, 0)</f>
        <v>0</v>
      </c>
      <c r="V46" s="48" t="s">
        <v>43</v>
      </c>
      <c r="W46" s="107" t="str">
        <f aca="false">IFERROR(__xludf.dummyfunction("IMPORTRANGE(A50,""Am14"")"),"Eagle")</f>
        <v>Eagle</v>
      </c>
      <c r="X46" s="50" t="s">
        <v>31</v>
      </c>
      <c r="Y46" s="117" t="n">
        <f aca="false">VLOOKUP(X46,MPOSCORING,2, 0)</f>
        <v>0</v>
      </c>
      <c r="Z46" s="51"/>
      <c r="AA46" s="52" t="s">
        <v>43</v>
      </c>
      <c r="AB46" s="108" t="str">
        <f aca="false">IFERROR(__xludf.dummyfunction("IMPORTRANGE(A50,""Au14"")"),"Eagle")</f>
        <v>Eagle</v>
      </c>
      <c r="AC46" s="54" t="s">
        <v>31</v>
      </c>
      <c r="AD46" s="130" t="n">
        <f aca="false">VLOOKUP(AC46,MPOSCORING,2, 0)</f>
        <v>0</v>
      </c>
      <c r="AE46" s="51"/>
      <c r="AF46" s="55" t="s">
        <v>43</v>
      </c>
      <c r="AG46" s="109" t="str">
        <f aca="false">IFERROR(__xludf.dummyfunction("IMPORTRANGE(A50,""bc14"")"),"Eagle ")</f>
        <v>Eagle</v>
      </c>
      <c r="AH46" s="57" t="s">
        <v>31</v>
      </c>
      <c r="AI46" s="118" t="n">
        <f aca="false">VLOOKUP(AH46,MPOSCORING,2, 0)</f>
        <v>0</v>
      </c>
      <c r="AJ46" s="51"/>
      <c r="AK46" s="58" t="s">
        <v>43</v>
      </c>
      <c r="AL46" s="110" t="str">
        <f aca="false">IFERROR(__xludf.dummyfunction("IMPORTRANGE(A50,""bk14"")"),"Eagle ")</f>
        <v>Eagle</v>
      </c>
      <c r="AM46" s="60" t="s">
        <v>31</v>
      </c>
      <c r="AN46" s="119" t="n">
        <f aca="false">VLOOKUP(AM46,FPOSCORING,2, 0)</f>
        <v>0</v>
      </c>
      <c r="AO46" s="51"/>
      <c r="AP46" s="61" t="s">
        <v>53</v>
      </c>
      <c r="AQ46" s="111" t="str">
        <f aca="false">IFERROR(__xludf.dummyfunction("IMPORTRANGE(A50,""bs14"")"),"")</f>
        <v/>
      </c>
      <c r="AR46" s="63" t="s">
        <v>31</v>
      </c>
      <c r="AS46" s="61"/>
      <c r="AT46" s="51"/>
      <c r="AU46" s="64" t="s">
        <v>43</v>
      </c>
      <c r="AV46" s="112" t="str">
        <f aca="false">IFERROR(__xludf.dummyfunction("IMPORTRANGE(A50,""ca14"")"),"Eagle ")</f>
        <v>Eagle</v>
      </c>
      <c r="AW46" s="66" t="s">
        <v>31</v>
      </c>
      <c r="AX46" s="120" t="n">
        <f aca="false">VLOOKUP(AW46,FPOSCORING,2, 0)</f>
        <v>0</v>
      </c>
      <c r="AY46" s="121"/>
      <c r="AZ46" s="36" t="s">
        <v>43</v>
      </c>
      <c r="BA46" s="139" t="str">
        <f aca="false">IFERROR(__xludf.dummyfunction("IMPORTRANGE(A50,""ci14"")"),"Eagle ")</f>
        <v>Eagle</v>
      </c>
      <c r="BB46" s="37" t="s">
        <v>31</v>
      </c>
      <c r="BC46" s="122" t="n">
        <f aca="false">VLOOKUP(BB46,FPOSCORING,2, 0)</f>
        <v>0</v>
      </c>
      <c r="BD46" s="121"/>
      <c r="BE46" s="42" t="s">
        <v>43</v>
      </c>
      <c r="BF46" s="114" t="str">
        <f aca="false">IFERROR(__xludf.dummyfunction("IMPORTRANGE(A50,""cq14"")"),"Eagle ")</f>
        <v>Eagle</v>
      </c>
      <c r="BG46" s="44" t="s">
        <v>31</v>
      </c>
      <c r="BH46" s="115" t="n">
        <f aca="false">VLOOKUP(BG46,FPOSCORING,2, 0)</f>
        <v>0</v>
      </c>
      <c r="BI46" s="121"/>
      <c r="BJ46" s="64" t="s">
        <v>43</v>
      </c>
      <c r="BK46" s="112" t="str">
        <f aca="false">IFERROR(__xludf.dummyfunction("IMPORTRANGE(A50,""cy14"")"),"Eagle ")</f>
        <v>Eagle</v>
      </c>
      <c r="BL46" s="66" t="s">
        <v>31</v>
      </c>
      <c r="BM46" s="120" t="n">
        <f aca="false">VLOOKUP(BL46,FPOSCORING,2, 0)</f>
        <v>0</v>
      </c>
      <c r="BN46" s="121"/>
      <c r="BO46" s="64" t="s">
        <v>43</v>
      </c>
      <c r="BP46" s="112" t="str">
        <f aca="false">IFERROR(__xludf.dummyfunction("IMPORTRANGE(A50,""dg14"")"),"Eagle ")</f>
        <v>Eagle</v>
      </c>
      <c r="BQ46" s="66" t="s">
        <v>31</v>
      </c>
      <c r="BR46" s="120" t="n">
        <f aca="false">VLOOKUP(BQ46,FPOSCORING,2, 0)*2</f>
        <v>0</v>
      </c>
      <c r="BS46" s="124"/>
      <c r="BT46" s="64" t="s">
        <v>43</v>
      </c>
      <c r="BU46" s="112" t="str">
        <f aca="false">IFERROR(__xludf.dummyfunction("IMPORTRANGE(A50,""do14"")"),"")</f>
        <v/>
      </c>
      <c r="BV46" s="66" t="s">
        <v>31</v>
      </c>
      <c r="BW46" s="120" t="n">
        <f aca="false">VLOOKUP(BV46,FPOSCORING,2, 0)</f>
        <v>0</v>
      </c>
      <c r="BX46" s="121"/>
      <c r="BY46" s="64" t="s">
        <v>43</v>
      </c>
      <c r="BZ46" s="112" t="str">
        <f aca="false">IFERROR(__xludf.dummyfunction("IMPORTRANGE(A50,""dw14"")"),"")</f>
        <v/>
      </c>
      <c r="CA46" s="66" t="s">
        <v>31</v>
      </c>
      <c r="CB46" s="120" t="n">
        <f aca="false">VLOOKUP(CA46,FPOSCORING,2, 0)</f>
        <v>0</v>
      </c>
      <c r="CC46" s="121"/>
      <c r="CD46" s="64" t="s">
        <v>43</v>
      </c>
      <c r="CE46" s="112"/>
      <c r="CF46" s="66" t="s">
        <v>31</v>
      </c>
      <c r="CG46" s="120" t="n">
        <f aca="false">VLOOKUP(CF46,FPOSCORING,3, 0)</f>
        <v>0</v>
      </c>
      <c r="CH46" s="124"/>
    </row>
    <row r="47" customFormat="false" ht="15" hidden="false" customHeight="false" outlineLevel="0" collapsed="false">
      <c r="A47" s="142" t="str">
        <f aca="false">IFERROR(__xludf.dummyfunction("IMPORTRANGE(A50,""a1"")"),"The AutoDrafters (Jake)")</f>
        <v>The AutoDrafters (Jake)</v>
      </c>
      <c r="B47" s="52" t="s">
        <v>113</v>
      </c>
      <c r="C47" s="52"/>
      <c r="D47" s="52"/>
      <c r="E47" s="52"/>
      <c r="F47" s="36" t="s">
        <v>46</v>
      </c>
      <c r="G47" s="139" t="s">
        <v>99</v>
      </c>
      <c r="H47" s="37" t="n">
        <v>6</v>
      </c>
      <c r="I47" s="136" t="n">
        <f aca="false">VLOOKUP(H47,FPOSCORING,2, 0)</f>
        <v>76</v>
      </c>
      <c r="J47" s="39" t="s">
        <v>46</v>
      </c>
      <c r="K47" s="105" t="str">
        <f aca="false">IFERROR(__xludf.dummyfunction("IMPORTRANGE(A50,""o15"")"),"")</f>
        <v/>
      </c>
      <c r="L47" s="41" t="s">
        <v>31</v>
      </c>
      <c r="M47" s="115" t="n">
        <f aca="false">VLOOKUP(L47,MPOSCORING,2, 0)</f>
        <v>0</v>
      </c>
      <c r="N47" s="42" t="s">
        <v>46</v>
      </c>
      <c r="O47" s="43" t="str">
        <f aca="false">IFERROR(__xludf.dummyfunction("IMPORTRANGE(A50,""w15"")"),"")</f>
        <v/>
      </c>
      <c r="P47" s="44" t="s">
        <v>31</v>
      </c>
      <c r="Q47" s="115" t="n">
        <f aca="false">VLOOKUP(P47,MPOSCORING,2, 0)</f>
        <v>0</v>
      </c>
      <c r="R47" s="34" t="s">
        <v>46</v>
      </c>
      <c r="S47" s="106" t="str">
        <f aca="false">IFERROR(__xludf.dummyfunction("IMPORTRANGE(A50,""AE15"")"),"Henna")</f>
        <v>Henna</v>
      </c>
      <c r="T47" s="46" t="s">
        <v>31</v>
      </c>
      <c r="U47" s="116" t="n">
        <f aca="false">VLOOKUP(T47,MPOSCORING,2, 0)</f>
        <v>0</v>
      </c>
      <c r="V47" s="48" t="s">
        <v>46</v>
      </c>
      <c r="W47" s="107" t="str">
        <f aca="false">IFERROR(__xludf.dummyfunction("IMPORTRANGE(A50,""Am15"")"),"Proctor")</f>
        <v>Proctor</v>
      </c>
      <c r="X47" s="50" t="s">
        <v>31</v>
      </c>
      <c r="Y47" s="117" t="n">
        <f aca="false">VLOOKUP(X47,MPOSCORING,2, 0)</f>
        <v>0</v>
      </c>
      <c r="Z47" s="51"/>
      <c r="AA47" s="52" t="s">
        <v>46</v>
      </c>
      <c r="AB47" s="108" t="str">
        <f aca="false">IFERROR(__xludf.dummyfunction("IMPORTRANGE(A50,""Au15"")"),"Andrew Fish")</f>
        <v>Andrew Fish</v>
      </c>
      <c r="AC47" s="54" t="s">
        <v>31</v>
      </c>
      <c r="AD47" s="130" t="n">
        <f aca="false">VLOOKUP(AC47,MPOSCORING,2, 0)</f>
        <v>0</v>
      </c>
      <c r="AE47" s="51"/>
      <c r="AF47" s="55" t="s">
        <v>46</v>
      </c>
      <c r="AG47" s="109" t="str">
        <f aca="false">IFERROR(__xludf.dummyfunction("IMPORTRANGE(A50,""bc15"")"),"Fish")</f>
        <v>Fish</v>
      </c>
      <c r="AH47" s="57" t="s">
        <v>31</v>
      </c>
      <c r="AI47" s="118" t="n">
        <f aca="false">VLOOKUP(AH47,MPOSCORING,2, 0)</f>
        <v>0</v>
      </c>
      <c r="AJ47" s="51"/>
      <c r="AK47" s="58" t="s">
        <v>46</v>
      </c>
      <c r="AL47" s="110" t="str">
        <f aca="false">IFERROR(__xludf.dummyfunction("IMPORTRANGE(A50,""bk15"")"),"Fish")</f>
        <v>Fish</v>
      </c>
      <c r="AM47" s="60" t="s">
        <v>31</v>
      </c>
      <c r="AN47" s="119" t="n">
        <f aca="false">VLOOKUP(AM47,MPOSCORING,2, 0)</f>
        <v>0</v>
      </c>
      <c r="AO47" s="51"/>
      <c r="AP47" s="61" t="s">
        <v>55</v>
      </c>
      <c r="AQ47" s="111" t="str">
        <f aca="false">IFERROR(__xludf.dummyfunction("IMPORTRANGE(A50,""bs15"")"),"")</f>
        <v/>
      </c>
      <c r="AR47" s="63" t="s">
        <v>31</v>
      </c>
      <c r="AS47" s="61"/>
      <c r="AT47" s="51"/>
      <c r="AU47" s="64" t="s">
        <v>46</v>
      </c>
      <c r="AV47" s="112" t="str">
        <f aca="false">IFERROR(__xludf.dummyfunction("IMPORTRANGE(A50,""ca15"")"),"Scott Withers")</f>
        <v>Scott Withers</v>
      </c>
      <c r="AW47" s="66" t="s">
        <v>31</v>
      </c>
      <c r="AX47" s="120" t="n">
        <f aca="false">VLOOKUP(AW47,MPOSCORING,2, 0)</f>
        <v>0</v>
      </c>
      <c r="AY47" s="121"/>
      <c r="AZ47" s="36" t="s">
        <v>46</v>
      </c>
      <c r="BA47" s="139" t="str">
        <f aca="false">IFERROR(__xludf.dummyfunction("IMPORTRANGE(A50,""ci15"")"),"Scott Withers")</f>
        <v>Scott Withers</v>
      </c>
      <c r="BB47" s="37" t="s">
        <v>31</v>
      </c>
      <c r="BC47" s="122" t="n">
        <f aca="false">VLOOKUP(BB47,MPOSCORING,2, 0)</f>
        <v>0</v>
      </c>
      <c r="BD47" s="121"/>
      <c r="BE47" s="42" t="s">
        <v>46</v>
      </c>
      <c r="BF47" s="114" t="str">
        <f aca="false">IFERROR(__xludf.dummyfunction("IMPORTRANGE(A50,""cq15"")"),"Scott Withers")</f>
        <v>Scott Withers</v>
      </c>
      <c r="BG47" s="44" t="s">
        <v>31</v>
      </c>
      <c r="BH47" s="115" t="n">
        <f aca="false">VLOOKUP(BG47,MPOSCORING,2, 0)</f>
        <v>0</v>
      </c>
      <c r="BI47" s="121"/>
      <c r="BJ47" s="64" t="s">
        <v>46</v>
      </c>
      <c r="BK47" s="112" t="str">
        <f aca="false">IFERROR(__xludf.dummyfunction("IMPORTRANGE(A50,""cy15"")"),"Scott Withers")</f>
        <v>Scott Withers</v>
      </c>
      <c r="BL47" s="66" t="s">
        <v>114</v>
      </c>
      <c r="BM47" s="120" t="e">
        <f aca="false">VLOOKUP(BL47,MPOSCORING,2, 0)</f>
        <v>#N/A</v>
      </c>
      <c r="BN47" s="121"/>
      <c r="BO47" s="64" t="s">
        <v>46</v>
      </c>
      <c r="BP47" s="112" t="str">
        <f aca="false">IFERROR(__xludf.dummyfunction("IMPORTRANGE(A50,""dg15"")"),"Scott Withers")</f>
        <v>Scott Withers</v>
      </c>
      <c r="BQ47" s="66" t="s">
        <v>31</v>
      </c>
      <c r="BR47" s="120" t="n">
        <f aca="false">VLOOKUP(BQ47,MPOSCORING,2, 0)*2</f>
        <v>0</v>
      </c>
      <c r="BS47" s="124"/>
      <c r="BT47" s="64" t="s">
        <v>46</v>
      </c>
      <c r="BU47" s="112" t="str">
        <f aca="false">IFERROR(__xludf.dummyfunction("IMPORTRANGE(A50,""do15"")"),"")</f>
        <v/>
      </c>
      <c r="BV47" s="66" t="s">
        <v>31</v>
      </c>
      <c r="BW47" s="120" t="n">
        <f aca="false">VLOOKUP(BV47,MPOSCORING,2, 0)</f>
        <v>0</v>
      </c>
      <c r="BX47" s="121"/>
      <c r="BY47" s="64" t="s">
        <v>46</v>
      </c>
      <c r="BZ47" s="112" t="str">
        <f aca="false">IFERROR(__xludf.dummyfunction("IMPORTRANGE(A50,""dw15"")"),"")</f>
        <v/>
      </c>
      <c r="CA47" s="66" t="s">
        <v>31</v>
      </c>
      <c r="CB47" s="120" t="n">
        <f aca="false">VLOOKUP(CA47,MPOSCORING,2, 0)</f>
        <v>0</v>
      </c>
      <c r="CC47" s="121"/>
      <c r="CD47" s="64" t="s">
        <v>46</v>
      </c>
      <c r="CE47" s="112"/>
      <c r="CF47" s="66" t="s">
        <v>31</v>
      </c>
      <c r="CG47" s="120" t="n">
        <f aca="false">VLOOKUP(CF47,MPOSCORING,3, 0)</f>
        <v>0</v>
      </c>
      <c r="CH47" s="124"/>
    </row>
    <row r="48" customFormat="false" ht="13.85" hidden="true" customHeight="false" outlineLevel="0" collapsed="false">
      <c r="A48" s="16" t="s">
        <v>115</v>
      </c>
      <c r="I48" s="127"/>
      <c r="M48" s="127"/>
      <c r="U48" s="127"/>
      <c r="BS48" s="18"/>
      <c r="CH48" s="18"/>
    </row>
    <row r="49" customFormat="false" ht="15" hidden="false" customHeight="false" outlineLevel="0" collapsed="false">
      <c r="A49" s="143" t="str">
        <f aca="false">IFERROR(__xludf.dummyfunction("IMPORTRANGE(A65,""a1"")"),"Big Barri Tea Time (Danelle)")</f>
        <v>Big Barri Tea Time (Danelle)</v>
      </c>
      <c r="B49" s="61" t="s">
        <v>116</v>
      </c>
      <c r="C49" s="61"/>
      <c r="D49" s="61"/>
      <c r="E49" s="61"/>
      <c r="F49" s="36" t="s">
        <v>29</v>
      </c>
      <c r="G49" s="35" t="s">
        <v>117</v>
      </c>
      <c r="H49" s="88" t="n">
        <v>4</v>
      </c>
      <c r="I49" s="38" t="n">
        <f aca="false">VLOOKUP(H49,FPOSCORING,2, 0)</f>
        <v>86</v>
      </c>
      <c r="J49" s="39" t="s">
        <v>29</v>
      </c>
      <c r="K49" s="40" t="str">
        <f aca="false">IFERROR(__xludf.dummyfunction("IMPORTRANGE(A65,""o6"")"),"Ohn Scoggins		")</f>
        <v>Ohn Scoggins</v>
      </c>
      <c r="L49" s="41" t="n">
        <v>5</v>
      </c>
      <c r="M49" s="38" t="n">
        <f aca="false">VLOOKUP(L49,FPOSCORING,2, 0)</f>
        <v>82</v>
      </c>
      <c r="N49" s="42" t="s">
        <v>29</v>
      </c>
      <c r="O49" s="43" t="str">
        <f aca="false">IFERROR(__xludf.dummyfunction("IMPORTRANGE(A65,""W6"")"),"Ohn Scoggins		")</f>
        <v>Ohn Scoggins</v>
      </c>
      <c r="P49" s="44" t="n">
        <v>4</v>
      </c>
      <c r="Q49" s="38" t="n">
        <f aca="false">VLOOKUP(P49,FPOSCORING,2, 0)</f>
        <v>86</v>
      </c>
      <c r="R49" s="34" t="s">
        <v>29</v>
      </c>
      <c r="S49" s="45" t="str">
        <f aca="false">IFERROR(__xludf.dummyfunction("IMPORTRANGE(A65,""AE6"")"),"Ella Hansen		")</f>
        <v>Ella Hansen</v>
      </c>
      <c r="T49" s="46" t="n">
        <v>3</v>
      </c>
      <c r="U49" s="47" t="n">
        <f aca="false">VLOOKUP(T49,FPOSCORING,2, 0)</f>
        <v>91</v>
      </c>
      <c r="V49" s="48" t="s">
        <v>29</v>
      </c>
      <c r="W49" s="49" t="str">
        <f aca="false">IFERROR(__xludf.dummyfunction("IMPORTRANGE(A65,""Am6"")"),"Ella Hansen		")</f>
        <v>Ella Hansen</v>
      </c>
      <c r="X49" s="50" t="n">
        <v>3</v>
      </c>
      <c r="Y49" s="129" t="n">
        <f aca="false">VLOOKUP(X49,FPOSCORING,2, 0)</f>
        <v>91</v>
      </c>
      <c r="Z49" s="51"/>
      <c r="AA49" s="52" t="s">
        <v>29</v>
      </c>
      <c r="AB49" s="53" t="str">
        <f aca="false">IFERROR(__xludf.dummyfunction("IMPORTRANGE(A65,""Au6"")"),"Ohn Scoggins")</f>
        <v>Ohn Scoggins</v>
      </c>
      <c r="AC49" s="54" t="n">
        <v>7</v>
      </c>
      <c r="AD49" s="130" t="n">
        <f aca="false">VLOOKUP(AC49,FPOSCORING,2, 0)</f>
        <v>71</v>
      </c>
      <c r="AE49" s="51"/>
      <c r="AF49" s="55" t="s">
        <v>29</v>
      </c>
      <c r="AG49" s="56" t="str">
        <f aca="false">IFERROR(__xludf.dummyfunction("IMPORTRANGE(A65,""bc6"")"),"Ohn Scoggins")</f>
        <v>Ohn Scoggins</v>
      </c>
      <c r="AH49" s="57" t="n">
        <v>2</v>
      </c>
      <c r="AI49" s="131" t="n">
        <f aca="false">VLOOKUP(AH49,FPOSCORING,2, 0)</f>
        <v>96</v>
      </c>
      <c r="AJ49" s="51"/>
      <c r="AK49" s="58" t="s">
        <v>29</v>
      </c>
      <c r="AL49" s="59" t="str">
        <f aca="false">IFERROR(__xludf.dummyfunction("IMPORTRANGE(A65,""bk6"")"),"Ohn Scoggins")</f>
        <v>Ohn Scoggins</v>
      </c>
      <c r="AM49" s="60" t="n">
        <v>16</v>
      </c>
      <c r="AN49" s="132" t="n">
        <f aca="false">VLOOKUP(AM49,FPOSCORING,2, 0)</f>
        <v>29</v>
      </c>
      <c r="AO49" s="51"/>
      <c r="AP49" s="61" t="s">
        <v>29</v>
      </c>
      <c r="AQ49" s="62" t="str">
        <f aca="false">IFERROR(__xludf.dummyfunction("IMPORTRANGE(A65,""bs6"")"),"Ohn Scoggins")</f>
        <v>Ohn Scoggins</v>
      </c>
      <c r="AR49" s="63" t="n">
        <v>3</v>
      </c>
      <c r="AS49" s="133" t="n">
        <f aca="false">VLOOKUP(AR49,MPOSCORING,2, 0)</f>
        <v>96</v>
      </c>
      <c r="AT49" s="51"/>
      <c r="AU49" s="64" t="s">
        <v>29</v>
      </c>
      <c r="AV49" s="65" t="str">
        <f aca="false">IFERROR(__xludf.dummyfunction("IMPORTRANGE(A65,""ca6"")"),"Ohn Scoggins")</f>
        <v>Ohn Scoggins</v>
      </c>
      <c r="AW49" s="66" t="n">
        <v>2</v>
      </c>
      <c r="AX49" s="134" t="n">
        <f aca="false">VLOOKUP(AW49,FPOSCORING,2, 0)</f>
        <v>96</v>
      </c>
      <c r="AY49" s="32"/>
      <c r="AZ49" s="36" t="s">
        <v>29</v>
      </c>
      <c r="BA49" s="67" t="str">
        <f aca="false">IFERROR(__xludf.dummyfunction("IMPORTRANGE(A65,""ci6"")"),"Ohn Scoggins")</f>
        <v>Ohn Scoggins</v>
      </c>
      <c r="BB49" s="37" t="n">
        <v>2</v>
      </c>
      <c r="BC49" s="135" t="n">
        <f aca="false">VLOOKUP(BB49,FPOSCORING,2, 0)</f>
        <v>96</v>
      </c>
      <c r="BD49" s="32"/>
      <c r="BE49" s="42" t="s">
        <v>29</v>
      </c>
      <c r="BF49" s="68" t="str">
        <f aca="false">IFERROR(__xludf.dummyfunction("IMPORTRANGE(A65,""cq6"")"),"Ohn Scoggins")</f>
        <v>Ohn Scoggins</v>
      </c>
      <c r="BG49" s="44" t="n">
        <v>2</v>
      </c>
      <c r="BH49" s="136" t="n">
        <f aca="false">VLOOKUP(BG49,FPOSCORING,2, 0)</f>
        <v>96</v>
      </c>
      <c r="BI49" s="32"/>
      <c r="BJ49" s="64" t="s">
        <v>29</v>
      </c>
      <c r="BK49" s="65" t="str">
        <f aca="false">IFERROR(__xludf.dummyfunction("IMPORTRANGE(A65,""cy6"")"),"Madison Walker ")</f>
        <v>Madison Walker</v>
      </c>
      <c r="BL49" s="66" t="n">
        <v>17</v>
      </c>
      <c r="BM49" s="134" t="n">
        <f aca="false">VLOOKUP(BL49,FPOSCORING,2, 0)</f>
        <v>24</v>
      </c>
      <c r="BN49" s="32"/>
      <c r="BO49" s="64" t="s">
        <v>29</v>
      </c>
      <c r="BP49" s="65" t="str">
        <f aca="false">IFERROR(__xludf.dummyfunction("IMPORTRANGE(A65,""dg6"")"),"Ohn Scoggins")</f>
        <v>Ohn Scoggins</v>
      </c>
      <c r="BQ49" s="66" t="n">
        <v>7</v>
      </c>
      <c r="BR49" s="134" t="n">
        <f aca="false">VLOOKUP(BQ49,FPOSCORING,3, 0)</f>
        <v>142</v>
      </c>
      <c r="BS49" s="33"/>
      <c r="BT49" s="64" t="s">
        <v>29</v>
      </c>
      <c r="BU49" s="65" t="str">
        <f aca="false">IFERROR(__xludf.dummyfunction("IMPORTRANGE(A65,""do6"")"),"Ohn Scoggins ")</f>
        <v>Ohn Scoggins</v>
      </c>
      <c r="BV49" s="66" t="n">
        <v>3</v>
      </c>
      <c r="BW49" s="134" t="n">
        <f aca="false">VLOOKUP(BV49,FPOSCORING,2, 0)</f>
        <v>91</v>
      </c>
      <c r="BX49" s="32"/>
      <c r="BY49" s="64" t="s">
        <v>29</v>
      </c>
      <c r="BZ49" s="65" t="str">
        <f aca="false">IFERROR(__xludf.dummyfunction("IMPORTRANGE(A65,""dw6"")"),"Ohn Scoggins")</f>
        <v>Ohn Scoggins</v>
      </c>
      <c r="CA49" s="66" t="n">
        <v>6</v>
      </c>
      <c r="CB49" s="134" t="n">
        <f aca="false">VLOOKUP(CA49,FPOSCORING,2, 0)</f>
        <v>76</v>
      </c>
      <c r="CC49" s="32"/>
      <c r="CD49" s="64" t="s">
        <v>29</v>
      </c>
      <c r="CE49" s="65" t="str">
        <f aca="false">IFERROR(__xludf.dummyfunction("IMPORTRANGE(A65,""ee6"")"),"Ella Hansen ")</f>
        <v>Ella Hansen</v>
      </c>
      <c r="CF49" s="66" t="n">
        <v>13</v>
      </c>
      <c r="CG49" s="134" t="n">
        <f aca="false">VLOOKUP(CF49,FPOSCORING,3, 0)</f>
        <v>84</v>
      </c>
      <c r="CH49" s="33"/>
    </row>
    <row r="50" customFormat="false" ht="15" hidden="false" customHeight="false" outlineLevel="0" collapsed="false">
      <c r="A50" s="143" t="str">
        <f aca="false">IFERROR(__xludf.dummyfunction("IMPORTRANGE(A65,""a1"")"),"Big Barri Tea Time (Danelle)")</f>
        <v>Big Barri Tea Time (Danelle)</v>
      </c>
      <c r="B50" s="61" t="s">
        <v>118</v>
      </c>
      <c r="C50" s="61"/>
      <c r="D50" s="61"/>
      <c r="E50" s="61"/>
      <c r="F50" s="36" t="s">
        <v>34</v>
      </c>
      <c r="G50" s="67" t="s">
        <v>119</v>
      </c>
      <c r="H50" s="69" t="n">
        <v>17</v>
      </c>
      <c r="I50" s="38" t="n">
        <f aca="false">VLOOKUP(H50,FPOSCORING,2, 0)</f>
        <v>24</v>
      </c>
      <c r="J50" s="39" t="s">
        <v>34</v>
      </c>
      <c r="K50" s="70" t="str">
        <f aca="false">IFERROR(__xludf.dummyfunction("IMPORTRANGE(A65,""o7"")"),"Ella Hansen		")</f>
        <v>Ella Hansen</v>
      </c>
      <c r="L50" s="71" t="n">
        <v>27</v>
      </c>
      <c r="M50" s="38" t="n">
        <f aca="false">VLOOKUP(L50,FPOSCORING,2, 0)</f>
        <v>0</v>
      </c>
      <c r="N50" s="42" t="s">
        <v>34</v>
      </c>
      <c r="O50" s="43" t="str">
        <f aca="false">IFERROR(__xludf.dummyfunction("IMPORTRANGE(A65,""W7"")"),"Ella Hansen		")</f>
        <v>Ella Hansen</v>
      </c>
      <c r="P50" s="72" t="n">
        <v>28</v>
      </c>
      <c r="Q50" s="38" t="n">
        <f aca="false">VLOOKUP(P50,FPOSCORING,2, 0)</f>
        <v>0</v>
      </c>
      <c r="R50" s="34" t="s">
        <v>34</v>
      </c>
      <c r="S50" s="73" t="str">
        <f aca="false">IFERROR(__xludf.dummyfunction("IMPORTRANGE(A65,""AE7"")"),"Madison Walker")</f>
        <v>Madison Walker</v>
      </c>
      <c r="T50" s="74" t="n">
        <v>21</v>
      </c>
      <c r="U50" s="47" t="n">
        <f aca="false">VLOOKUP(T50,FPOSCORING,2, 0)</f>
        <v>9</v>
      </c>
      <c r="V50" s="48" t="s">
        <v>34</v>
      </c>
      <c r="W50" s="75" t="str">
        <f aca="false">IFERROR(__xludf.dummyfunction("IMPORTRANGE(A65,""Am7"")"),"Madison Walker")</f>
        <v>Madison Walker</v>
      </c>
      <c r="X50" s="76" t="n">
        <v>8</v>
      </c>
      <c r="Y50" s="129" t="n">
        <f aca="false">VLOOKUP(X50,FPOSCORING,2, 0)</f>
        <v>67</v>
      </c>
      <c r="Z50" s="51"/>
      <c r="AA50" s="52" t="s">
        <v>34</v>
      </c>
      <c r="AB50" s="77" t="str">
        <f aca="false">IFERROR(__xludf.dummyfunction("IMPORTRANGE(A65,""Au7"")"),"Ella Hansen")</f>
        <v>Ella Hansen</v>
      </c>
      <c r="AC50" s="78" t="n">
        <v>4</v>
      </c>
      <c r="AD50" s="130" t="n">
        <f aca="false">VLOOKUP(AC50,FPOSCORING,2, 0)</f>
        <v>86</v>
      </c>
      <c r="AE50" s="51"/>
      <c r="AF50" s="55" t="s">
        <v>34</v>
      </c>
      <c r="AG50" s="79" t="str">
        <f aca="false">IFERROR(__xludf.dummyfunction("IMPORTRANGE(A65,""bc7"")"),"Ella Hansen ")</f>
        <v>Ella Hansen</v>
      </c>
      <c r="AH50" s="80" t="n">
        <v>12</v>
      </c>
      <c r="AI50" s="131" t="n">
        <f aca="false">VLOOKUP(AH50,FPOSCORING,2, 0)</f>
        <v>47</v>
      </c>
      <c r="AJ50" s="51"/>
      <c r="AK50" s="58" t="s">
        <v>34</v>
      </c>
      <c r="AL50" s="81" t="str">
        <f aca="false">IFERROR(__xludf.dummyfunction("IMPORTRANGE(A65,""bk7"")"),"Ella Hansen ")</f>
        <v>Ella Hansen</v>
      </c>
      <c r="AM50" s="82" t="n">
        <v>2</v>
      </c>
      <c r="AN50" s="132" t="n">
        <f aca="false">VLOOKUP(AM50,FPOSCORING,2, 0)</f>
        <v>96</v>
      </c>
      <c r="AO50" s="51"/>
      <c r="AP50" s="61" t="s">
        <v>34</v>
      </c>
      <c r="AQ50" s="83" t="str">
        <f aca="false">IFERROR(__xludf.dummyfunction("IMPORTRANGE(A65,""bs7"")"),"Ella Hansen")</f>
        <v>Ella Hansen</v>
      </c>
      <c r="AR50" s="84" t="n">
        <v>21</v>
      </c>
      <c r="AS50" s="133" t="n">
        <f aca="false">VLOOKUP(AR50,MPOSCORING,2, 0)</f>
        <v>64</v>
      </c>
      <c r="AT50" s="51"/>
      <c r="AU50" s="64" t="s">
        <v>34</v>
      </c>
      <c r="AV50" s="85" t="str">
        <f aca="false">IFERROR(__xludf.dummyfunction("IMPORTRANGE(A65,""ca7"")"),"Ella Hansen")</f>
        <v>Ella Hansen</v>
      </c>
      <c r="AW50" s="86" t="n">
        <v>4</v>
      </c>
      <c r="AX50" s="134" t="n">
        <f aca="false">VLOOKUP(AW50,FPOSCORING,2, 0)</f>
        <v>86</v>
      </c>
      <c r="AY50" s="32"/>
      <c r="AZ50" s="36" t="s">
        <v>34</v>
      </c>
      <c r="BA50" s="35" t="str">
        <f aca="false">IFERROR(__xludf.dummyfunction("IMPORTRANGE(A65,""ci7"")"),"Ella Hansen")</f>
        <v>Ella Hansen</v>
      </c>
      <c r="BB50" s="69" t="n">
        <v>15</v>
      </c>
      <c r="BC50" s="135" t="n">
        <f aca="false">VLOOKUP(BB50,FPOSCORING,2, 0)</f>
        <v>34</v>
      </c>
      <c r="BD50" s="32"/>
      <c r="BE50" s="42" t="s">
        <v>34</v>
      </c>
      <c r="BF50" s="43" t="str">
        <f aca="false">IFERROR(__xludf.dummyfunction("IMPORTRANGE(A65,""cq7"")"),"Ella Hansen ")</f>
        <v>Ella Hansen</v>
      </c>
      <c r="BG50" s="72" t="n">
        <v>15</v>
      </c>
      <c r="BH50" s="136" t="n">
        <f aca="false">VLOOKUP(BG50,FPOSCORING,2, 0)</f>
        <v>34</v>
      </c>
      <c r="BI50" s="32"/>
      <c r="BJ50" s="64" t="s">
        <v>34</v>
      </c>
      <c r="BK50" s="85" t="str">
        <f aca="false">IFERROR(__xludf.dummyfunction("IMPORTRANGE(A65,""cy7"")"),"Ohn Scoggins ")</f>
        <v>Ohn Scoggins</v>
      </c>
      <c r="BL50" s="86" t="s">
        <v>31</v>
      </c>
      <c r="BM50" s="134" t="n">
        <f aca="false">VLOOKUP(BL50,FPOSCORING,2, 0)</f>
        <v>0</v>
      </c>
      <c r="BN50" s="32"/>
      <c r="BO50" s="64" t="s">
        <v>34</v>
      </c>
      <c r="BP50" s="85" t="str">
        <f aca="false">IFERROR(__xludf.dummyfunction("IMPORTRANGE(A65,""dg7"")"),"Ella Hansen ")</f>
        <v>Ella Hansen</v>
      </c>
      <c r="BQ50" s="86" t="n">
        <v>12</v>
      </c>
      <c r="BR50" s="134" t="n">
        <f aca="false">VLOOKUP(BQ50,FPOSCORING,3, 0)</f>
        <v>94</v>
      </c>
      <c r="BS50" s="33"/>
      <c r="BT50" s="64" t="s">
        <v>34</v>
      </c>
      <c r="BU50" s="85" t="str">
        <f aca="false">IFERROR(__xludf.dummyfunction("IMPORTRANGE(A65,""do7"")"),"Ella Hansen ")</f>
        <v>Ella Hansen</v>
      </c>
      <c r="BV50" s="86" t="n">
        <v>9</v>
      </c>
      <c r="BW50" s="134" t="n">
        <f aca="false">VLOOKUP(BV50,FPOSCORING,2, 0)</f>
        <v>62</v>
      </c>
      <c r="BX50" s="32"/>
      <c r="BY50" s="64" t="s">
        <v>34</v>
      </c>
      <c r="BZ50" s="85" t="str">
        <f aca="false">IFERROR(__xludf.dummyfunction("IMPORTRANGE(A65,""dw7"")"),"Ella Hansen")</f>
        <v>Ella Hansen</v>
      </c>
      <c r="CA50" s="86" t="n">
        <v>8</v>
      </c>
      <c r="CB50" s="134" t="n">
        <f aca="false">VLOOKUP(CA50,FPOSCORING,2, 0)</f>
        <v>67</v>
      </c>
      <c r="CC50" s="32"/>
      <c r="CD50" s="64" t="s">
        <v>34</v>
      </c>
      <c r="CE50" s="85" t="str">
        <f aca="false">IFERROR(__xludf.dummyfunction("IMPORTRANGE(A65,""ee7"")"),"Ohn Scoggins ")</f>
        <v>Ohn Scoggins</v>
      </c>
      <c r="CF50" s="86" t="n">
        <v>8</v>
      </c>
      <c r="CG50" s="134" t="n">
        <f aca="false">VLOOKUP(CF50,FPOSCORING,3, 0)</f>
        <v>134</v>
      </c>
      <c r="CH50" s="33"/>
    </row>
    <row r="51" customFormat="false" ht="15" hidden="false" customHeight="false" outlineLevel="0" collapsed="false">
      <c r="A51" s="143" t="str">
        <f aca="false">IFERROR(__xludf.dummyfunction("IMPORTRANGE(A65,""a1"")"),"Big Barri Tea Time (Danelle)")</f>
        <v>Big Barri Tea Time (Danelle)</v>
      </c>
      <c r="B51" s="61" t="s">
        <v>119</v>
      </c>
      <c r="C51" s="61"/>
      <c r="D51" s="61"/>
      <c r="E51" s="61"/>
      <c r="F51" s="36" t="s">
        <v>36</v>
      </c>
      <c r="G51" s="87" t="s">
        <v>120</v>
      </c>
      <c r="H51" s="88" t="n">
        <v>12</v>
      </c>
      <c r="I51" s="136" t="n">
        <f aca="false">VLOOKUP(H51,MPOSCORING,2, 0)</f>
        <v>80</v>
      </c>
      <c r="J51" s="39" t="s">
        <v>36</v>
      </c>
      <c r="K51" s="137" t="str">
        <f aca="false">IFERROR(__xludf.dummyfunction("IMPORTRANGE(A65,""o8"")"),"Ricky Wysocki		")</f>
        <v>Ricky Wysocki</v>
      </c>
      <c r="L51" s="89" t="n">
        <v>1</v>
      </c>
      <c r="M51" s="136" t="n">
        <f aca="false">VLOOKUP(L51,MPOSCORING,2, 0)</f>
        <v>100</v>
      </c>
      <c r="N51" s="42" t="s">
        <v>36</v>
      </c>
      <c r="O51" s="43" t="str">
        <f aca="false">IFERROR(__xludf.dummyfunction("IMPORTRANGE(A65,""W8"")"),"Ricky Wysocki		")</f>
        <v>Ricky Wysocki</v>
      </c>
      <c r="P51" s="38" t="n">
        <v>2</v>
      </c>
      <c r="Q51" s="136" t="n">
        <f aca="false">VLOOKUP(P51,MPOSCORING,2, 0)</f>
        <v>98</v>
      </c>
      <c r="R51" s="34" t="s">
        <v>36</v>
      </c>
      <c r="S51" s="90" t="str">
        <f aca="false">IFERROR(__xludf.dummyfunction("IMPORTRANGE(A65,""AE8"")"),"Ricky Wysocki		")</f>
        <v>Ricky Wysocki</v>
      </c>
      <c r="T51" s="47" t="n">
        <v>10</v>
      </c>
      <c r="U51" s="138" t="n">
        <f aca="false">VLOOKUP(T51,MPOSCORING,2, 0)</f>
        <v>84</v>
      </c>
      <c r="V51" s="48" t="s">
        <v>36</v>
      </c>
      <c r="W51" s="91" t="str">
        <f aca="false">IFERROR(__xludf.dummyfunction("IMPORTRANGE(A65,""Am8"")"),"Ricky Wysocki		")</f>
        <v>Ricky Wysocki</v>
      </c>
      <c r="X51" s="92" t="n">
        <v>1</v>
      </c>
      <c r="Y51" s="129" t="n">
        <f aca="false">VLOOKUP(X51,MPOSCORING,2, 0)</f>
        <v>100</v>
      </c>
      <c r="Z51" s="51"/>
      <c r="AA51" s="52" t="s">
        <v>36</v>
      </c>
      <c r="AB51" s="93" t="str">
        <f aca="false">IFERROR(__xludf.dummyfunction("IMPORTRANGE(A65,""Au8"")"),"Ricky Wysocki")</f>
        <v>Ricky Wysocki</v>
      </c>
      <c r="AC51" s="94" t="n">
        <v>5</v>
      </c>
      <c r="AD51" s="130" t="n">
        <f aca="false">VLOOKUP(AC51,MPOSCORING,2, 0)</f>
        <v>93</v>
      </c>
      <c r="AE51" s="51"/>
      <c r="AF51" s="55" t="s">
        <v>36</v>
      </c>
      <c r="AG51" s="95" t="str">
        <f aca="false">IFERROR(__xludf.dummyfunction("IMPORTRANGE(A65,""bc8"")"),"Jeremy Koling")</f>
        <v>Jeremy Koling</v>
      </c>
      <c r="AH51" s="96" t="n">
        <v>47</v>
      </c>
      <c r="AI51" s="131" t="n">
        <f aca="false">VLOOKUP(AH51,MPOSCORING,2, 0)</f>
        <v>15</v>
      </c>
      <c r="AJ51" s="51"/>
      <c r="AK51" s="58" t="s">
        <v>36</v>
      </c>
      <c r="AL51" s="97" t="str">
        <f aca="false">IFERROR(__xludf.dummyfunction("IMPORTRANGE(A65,""bk8"")"),"Ricky Wysocki")</f>
        <v>Ricky Wysocki</v>
      </c>
      <c r="AM51" s="98" t="n">
        <v>2</v>
      </c>
      <c r="AN51" s="132" t="n">
        <f aca="false">VLOOKUP(AM51,MPOSCORING,2, 0)</f>
        <v>98</v>
      </c>
      <c r="AO51" s="51"/>
      <c r="AP51" s="61" t="s">
        <v>37</v>
      </c>
      <c r="AQ51" s="99" t="str">
        <f aca="false">IFERROR(__xludf.dummyfunction("IMPORTRANGE(A65,""bs8"")"),"Madison Walker")</f>
        <v>Madison Walker</v>
      </c>
      <c r="AR51" s="100" t="n">
        <v>14</v>
      </c>
      <c r="AS51" s="133" t="n">
        <f aca="false">VLOOKUP(AR51,MPOSCORING,2, 0)</f>
        <v>76</v>
      </c>
      <c r="AT51" s="51"/>
      <c r="AU51" s="64" t="s">
        <v>36</v>
      </c>
      <c r="AV51" s="101" t="str">
        <f aca="false">IFERROR(__xludf.dummyfunction("IMPORTRANGE(A65,""ca8"")"),"Ricky Wysocki")</f>
        <v>Ricky Wysocki</v>
      </c>
      <c r="AW51" s="102" t="n">
        <v>16</v>
      </c>
      <c r="AX51" s="134" t="n">
        <f aca="false">VLOOKUP(AW51,MPOSCORING,2, 0)</f>
        <v>73</v>
      </c>
      <c r="AY51" s="32"/>
      <c r="AZ51" s="36" t="s">
        <v>36</v>
      </c>
      <c r="BA51" s="87" t="str">
        <f aca="false">IFERROR(__xludf.dummyfunction("IMPORTRANGE(A65,""ci8"")"),"Ricky Wysocki")</f>
        <v>Ricky Wysocki</v>
      </c>
      <c r="BB51" s="88" t="n">
        <v>3</v>
      </c>
      <c r="BC51" s="135" t="n">
        <f aca="false">VLOOKUP(BB51,MPOSCORING,2, 0)</f>
        <v>96</v>
      </c>
      <c r="BD51" s="32"/>
      <c r="BE51" s="42" t="s">
        <v>36</v>
      </c>
      <c r="BF51" s="103" t="str">
        <f aca="false">IFERROR(__xludf.dummyfunction("IMPORTRANGE(A65,""cq8"")"),"Ricky Wysocki")</f>
        <v>Ricky Wysocki</v>
      </c>
      <c r="BG51" s="38" t="n">
        <v>1</v>
      </c>
      <c r="BH51" s="136" t="n">
        <f aca="false">VLOOKUP(BG51,MPOSCORING,2, 0)</f>
        <v>100</v>
      </c>
      <c r="BI51" s="32"/>
      <c r="BJ51" s="64" t="s">
        <v>36</v>
      </c>
      <c r="BK51" s="101" t="str">
        <f aca="false">IFERROR(__xludf.dummyfunction("IMPORTRANGE(A65,""cy8"")"),"Ricky Wysocki")</f>
        <v>Ricky Wysocki</v>
      </c>
      <c r="BL51" s="102" t="n">
        <v>57</v>
      </c>
      <c r="BM51" s="134" t="n">
        <f aca="false">VLOOKUP(BL51,MPOSCORING,2, 0)</f>
        <v>0</v>
      </c>
      <c r="BN51" s="32"/>
      <c r="BO51" s="64" t="s">
        <v>36</v>
      </c>
      <c r="BP51" s="101" t="str">
        <f aca="false">IFERROR(__xludf.dummyfunction("IMPORTRANGE(A65,""dg8"")"),"Ricky Wysocki")</f>
        <v>Ricky Wysocki</v>
      </c>
      <c r="BQ51" s="102" t="n">
        <v>11</v>
      </c>
      <c r="BR51" s="134" t="n">
        <f aca="false">VLOOKUP(BQ51,MPOSCORING,3, 0)</f>
        <v>164</v>
      </c>
      <c r="BS51" s="33"/>
      <c r="BT51" s="64" t="s">
        <v>36</v>
      </c>
      <c r="BU51" s="101" t="str">
        <f aca="false">IFERROR(__xludf.dummyfunction("IMPORTRANGE(A65,""do8"")"),"Ricky Wysocki")</f>
        <v>Ricky Wysocki</v>
      </c>
      <c r="BV51" s="102" t="n">
        <v>1</v>
      </c>
      <c r="BW51" s="134" t="n">
        <f aca="false">VLOOKUP(BV51,MPOSCORING,2, 0)</f>
        <v>100</v>
      </c>
      <c r="BX51" s="32"/>
      <c r="BY51" s="64" t="s">
        <v>36</v>
      </c>
      <c r="BZ51" s="101" t="str">
        <f aca="false">IFERROR(__xludf.dummyfunction("IMPORTRANGE(A65,""dw8"")"),"Ricky Wysocki")</f>
        <v>Ricky Wysocki</v>
      </c>
      <c r="CA51" s="102" t="n">
        <v>6</v>
      </c>
      <c r="CB51" s="134" t="n">
        <f aca="false">VLOOKUP(CA51,MPOSCORING,2, 0)</f>
        <v>91</v>
      </c>
      <c r="CC51" s="32"/>
      <c r="CD51" s="64" t="s">
        <v>36</v>
      </c>
      <c r="CE51" s="101" t="str">
        <f aca="false">IFERROR(__xludf.dummyfunction("IMPORTRANGE(A65,""ee8"")"),"Ricky Wysocki")</f>
        <v>Ricky Wysocki</v>
      </c>
      <c r="CF51" s="102" t="n">
        <v>7</v>
      </c>
      <c r="CG51" s="134" t="n">
        <f aca="false">VLOOKUP(CF51,MPOSCORING,3, 0)</f>
        <v>178</v>
      </c>
      <c r="CH51" s="33"/>
    </row>
    <row r="52" customFormat="false" ht="15" hidden="false" customHeight="false" outlineLevel="0" collapsed="false">
      <c r="A52" s="143" t="str">
        <f aca="false">IFERROR(__xludf.dummyfunction("IMPORTRANGE(A65,""a1"")"),"Big Barri Tea Time (Danelle)")</f>
        <v>Big Barri Tea Time (Danelle)</v>
      </c>
      <c r="B52" s="61" t="s">
        <v>121</v>
      </c>
      <c r="C52" s="61"/>
      <c r="D52" s="61"/>
      <c r="E52" s="61"/>
      <c r="F52" s="36" t="s">
        <v>39</v>
      </c>
      <c r="G52" s="139" t="s">
        <v>121</v>
      </c>
      <c r="H52" s="88" t="n">
        <v>50</v>
      </c>
      <c r="I52" s="136" t="n">
        <f aca="false">VLOOKUP(H52,MPOSCORING,2, 0)</f>
        <v>11</v>
      </c>
      <c r="J52" s="39" t="s">
        <v>39</v>
      </c>
      <c r="K52" s="105" t="str">
        <f aca="false">IFERROR(__xludf.dummyfunction("IMPORTRANGE(A65,""o9"")"),"Jeremy Koling		")</f>
        <v>Jeremy Koling</v>
      </c>
      <c r="L52" s="41" t="n">
        <v>27</v>
      </c>
      <c r="M52" s="136" t="n">
        <f aca="false">VLOOKUP(L52,MPOSCORING,2, 0)</f>
        <v>53</v>
      </c>
      <c r="N52" s="42" t="s">
        <v>39</v>
      </c>
      <c r="O52" s="43" t="str">
        <f aca="false">IFERROR(__xludf.dummyfunction("IMPORTRANGE(A65,""w9"")"),"Andrew Presnell")</f>
        <v>Andrew Presnell</v>
      </c>
      <c r="P52" s="44" t="n">
        <v>40</v>
      </c>
      <c r="Q52" s="136" t="n">
        <f aca="false">VLOOKUP(P52,MPOSCORING,2, 0)</f>
        <v>29</v>
      </c>
      <c r="R52" s="34" t="s">
        <v>39</v>
      </c>
      <c r="S52" s="106" t="str">
        <f aca="false">IFERROR(__xludf.dummyfunction("IMPORTRANGE(A65,""AE9"")"),"Andrew Presnell")</f>
        <v>Andrew Presnell</v>
      </c>
      <c r="T52" s="46" t="n">
        <v>63</v>
      </c>
      <c r="U52" s="138" t="n">
        <f aca="false">VLOOKUP(T52,MPOSCORING,2, 0)</f>
        <v>0</v>
      </c>
      <c r="V52" s="48" t="s">
        <v>39</v>
      </c>
      <c r="W52" s="107" t="str">
        <f aca="false">IFERROR(__xludf.dummyfunction("IMPORTRANGE(A65,""Am9"")"),"Andrew Presnell")</f>
        <v>Andrew Presnell</v>
      </c>
      <c r="X52" s="50" t="n">
        <v>30</v>
      </c>
      <c r="Y52" s="129" t="n">
        <f aca="false">VLOOKUP(X52,MPOSCORING,2, 0)</f>
        <v>48</v>
      </c>
      <c r="Z52" s="51"/>
      <c r="AA52" s="52" t="s">
        <v>39</v>
      </c>
      <c r="AB52" s="108" t="str">
        <f aca="false">IFERROR(__xludf.dummyfunction("IMPORTRANGE(A65,""Au9"")"),"Jeremy Koling")</f>
        <v>Jeremy Koling</v>
      </c>
      <c r="AC52" s="54" t="n">
        <v>27</v>
      </c>
      <c r="AD52" s="130" t="n">
        <f aca="false">VLOOKUP(AC52,MPOSCORING,2, 0)</f>
        <v>53</v>
      </c>
      <c r="AE52" s="51"/>
      <c r="AF52" s="55" t="s">
        <v>39</v>
      </c>
      <c r="AG52" s="109" t="str">
        <f aca="false">IFERROR(__xludf.dummyfunction("IMPORTRANGE(A65,""bc9"")"),"Luke Samson")</f>
        <v>Luke Samson</v>
      </c>
      <c r="AH52" s="57" t="n">
        <v>21</v>
      </c>
      <c r="AI52" s="131" t="n">
        <f aca="false">VLOOKUP(AH52,MPOSCORING,2, 0)</f>
        <v>64</v>
      </c>
      <c r="AJ52" s="51"/>
      <c r="AK52" s="58" t="s">
        <v>39</v>
      </c>
      <c r="AL52" s="110" t="str">
        <f aca="false">IFERROR(__xludf.dummyfunction("IMPORTRANGE(A65,""bk9"")"),"Austin Hannum")</f>
        <v>Austin Hannum</v>
      </c>
      <c r="AM52" s="60" t="n">
        <v>47</v>
      </c>
      <c r="AN52" s="132" t="n">
        <f aca="false">VLOOKUP(AM52,MPOSCORING,2, 0)</f>
        <v>15</v>
      </c>
      <c r="AO52" s="51"/>
      <c r="AP52" s="61" t="s">
        <v>40</v>
      </c>
      <c r="AQ52" s="111" t="str">
        <f aca="false">IFERROR(__xludf.dummyfunction("IMPORTRANGE(A65,""bs9"")"),"")</f>
        <v/>
      </c>
      <c r="AR52" s="63" t="s">
        <v>31</v>
      </c>
      <c r="AS52" s="133" t="n">
        <f aca="false">VLOOKUP(AR52,MPOSCORING,2, 0)</f>
        <v>0</v>
      </c>
      <c r="AT52" s="51"/>
      <c r="AU52" s="64" t="s">
        <v>39</v>
      </c>
      <c r="AV52" s="112" t="str">
        <f aca="false">IFERROR(__xludf.dummyfunction("IMPORTRANGE(A65,""ca9"")"),"Jeremy Koling")</f>
        <v>Jeremy Koling</v>
      </c>
      <c r="AW52" s="66" t="n">
        <v>9</v>
      </c>
      <c r="AX52" s="134" t="n">
        <f aca="false">VLOOKUP(AW52,MPOSCORING,2, 0)</f>
        <v>85</v>
      </c>
      <c r="AY52" s="32"/>
      <c r="AZ52" s="36" t="s">
        <v>39</v>
      </c>
      <c r="BA52" s="139" t="str">
        <f aca="false">IFERROR(__xludf.dummyfunction("IMPORTRANGE(A65,""ci9"")"),"Jeremy Koling ")</f>
        <v>Jeremy Koling</v>
      </c>
      <c r="BB52" s="37" t="n">
        <v>48</v>
      </c>
      <c r="BC52" s="135" t="n">
        <f aca="false">VLOOKUP(BB52,MPOSCORING,2, 0)</f>
        <v>13</v>
      </c>
      <c r="BD52" s="32"/>
      <c r="BE52" s="42" t="s">
        <v>39</v>
      </c>
      <c r="BF52" s="114" t="str">
        <f aca="false">IFERROR(__xludf.dummyfunction("IMPORTRANGE(A65,""cq9"")"),"Jeremy Koling")</f>
        <v>Jeremy Koling</v>
      </c>
      <c r="BG52" s="44" t="n">
        <v>32</v>
      </c>
      <c r="BH52" s="136" t="n">
        <f aca="false">VLOOKUP(BG52,MPOSCORING,2, 0)</f>
        <v>44</v>
      </c>
      <c r="BI52" s="32"/>
      <c r="BJ52" s="64" t="s">
        <v>39</v>
      </c>
      <c r="BK52" s="112" t="str">
        <f aca="false">IFERROR(__xludf.dummyfunction("IMPORTRANGE(A65,""cy9"")"),"Jeremy Koling")</f>
        <v>Jeremy Koling</v>
      </c>
      <c r="BL52" s="66" t="n">
        <v>35</v>
      </c>
      <c r="BM52" s="134" t="n">
        <f aca="false">VLOOKUP(BL52,MPOSCORING,2, 0)</f>
        <v>38</v>
      </c>
      <c r="BN52" s="32"/>
      <c r="BO52" s="64" t="s">
        <v>39</v>
      </c>
      <c r="BP52" s="112" t="str">
        <f aca="false">IFERROR(__xludf.dummyfunction("IMPORTRANGE(A65,""dg9"")"),"Jeremy Koling")</f>
        <v>Jeremy Koling</v>
      </c>
      <c r="BQ52" s="66" t="n">
        <v>30</v>
      </c>
      <c r="BR52" s="134" t="n">
        <f aca="false">VLOOKUP(BQ52,MPOSCORING,3, 0)</f>
        <v>96</v>
      </c>
      <c r="BS52" s="33"/>
      <c r="BT52" s="64" t="s">
        <v>39</v>
      </c>
      <c r="BU52" s="112" t="str">
        <f aca="false">IFERROR(__xludf.dummyfunction("IMPORTRANGE(A65,""do9"")"),"Jeremy Koling ")</f>
        <v>Jeremy Koling</v>
      </c>
      <c r="BV52" s="66" t="n">
        <v>73</v>
      </c>
      <c r="BW52" s="134" t="n">
        <f aca="false">VLOOKUP(BV52,MPOSCORING,2, 0)</f>
        <v>0</v>
      </c>
      <c r="BX52" s="32"/>
      <c r="BY52" s="64" t="s">
        <v>39</v>
      </c>
      <c r="BZ52" s="112" t="str">
        <f aca="false">IFERROR(__xludf.dummyfunction("IMPORTRANGE(A65,""dw9"")"),"Andrew Presnell")</f>
        <v>Andrew Presnell</v>
      </c>
      <c r="CA52" s="66" t="n">
        <v>40</v>
      </c>
      <c r="CB52" s="134" t="n">
        <f aca="false">VLOOKUP(CA52,MPOSCORING,2, 0)</f>
        <v>29</v>
      </c>
      <c r="CC52" s="32"/>
      <c r="CD52" s="64" t="s">
        <v>39</v>
      </c>
      <c r="CE52" s="112" t="str">
        <f aca="false">IFERROR(__xludf.dummyfunction("IMPORTRANGE(A65,""ee9"")"),"Jeremy Koling")</f>
        <v>Jeremy Koling</v>
      </c>
      <c r="CF52" s="66" t="n">
        <v>59</v>
      </c>
      <c r="CG52" s="134" t="n">
        <f aca="false">VLOOKUP(CF52,MPOSCORING,3, 0)</f>
        <v>12</v>
      </c>
      <c r="CH52" s="33"/>
    </row>
    <row r="53" customFormat="false" ht="15" hidden="false" customHeight="false" outlineLevel="0" collapsed="false">
      <c r="A53" s="143" t="str">
        <f aca="false">IFERROR(__xludf.dummyfunction("IMPORTRANGE(A65,""a1"")"),"Big Barri Tea Time (Danelle)")</f>
        <v>Big Barri Tea Time (Danelle)</v>
      </c>
      <c r="B53" s="61" t="s">
        <v>122</v>
      </c>
      <c r="C53" s="61"/>
      <c r="D53" s="61"/>
      <c r="E53" s="61"/>
      <c r="F53" s="36" t="s">
        <v>42</v>
      </c>
      <c r="G53" s="139" t="s">
        <v>122</v>
      </c>
      <c r="H53" s="88" t="n">
        <v>28</v>
      </c>
      <c r="I53" s="136" t="n">
        <f aca="false">VLOOKUP(H53,MPOSCORING,2, 0)</f>
        <v>51</v>
      </c>
      <c r="J53" s="39" t="s">
        <v>42</v>
      </c>
      <c r="K53" s="105" t="str">
        <f aca="false">IFERROR(__xludf.dummyfunction("IMPORTRANGE(A65,""o10"")"),"Paul Ulibarri 		")</f>
        <v>Paul Ulibarri</v>
      </c>
      <c r="L53" s="41" t="s">
        <v>30</v>
      </c>
      <c r="M53" s="136" t="n">
        <f aca="false">VLOOKUP(L53,MPOSCORING,2, 0)</f>
        <v>0</v>
      </c>
      <c r="N53" s="42" t="s">
        <v>42</v>
      </c>
      <c r="O53" s="43" t="str">
        <f aca="false">IFERROR(__xludf.dummyfunction("IMPORTRANGE(A65,""w10"")"),"Jeremy Koling		")</f>
        <v>Jeremy Koling</v>
      </c>
      <c r="P53" s="44" t="n">
        <v>34</v>
      </c>
      <c r="Q53" s="136" t="n">
        <f aca="false">VLOOKUP(P53,MPOSCORING,2, 0)</f>
        <v>40</v>
      </c>
      <c r="R53" s="34" t="s">
        <v>42</v>
      </c>
      <c r="S53" s="106" t="str">
        <f aca="false">IFERROR(__xludf.dummyfunction("IMPORTRANGE(A65,""AE10"")"),"Austin Hannum")</f>
        <v>Austin Hannum</v>
      </c>
      <c r="T53" s="46" t="n">
        <v>31</v>
      </c>
      <c r="U53" s="138" t="n">
        <f aca="false">VLOOKUP(T53,MPOSCORING,2, 0)</f>
        <v>46</v>
      </c>
      <c r="V53" s="48" t="s">
        <v>42</v>
      </c>
      <c r="W53" s="107" t="str">
        <f aca="false">IFERROR(__xludf.dummyfunction("IMPORTRANGE(A65,""Am10"")"),"Jeremy Koling		")</f>
        <v>Jeremy Koling</v>
      </c>
      <c r="X53" s="50" t="n">
        <v>13</v>
      </c>
      <c r="Y53" s="129" t="n">
        <f aca="false">VLOOKUP(X53,MPOSCORING,2, 0)</f>
        <v>78</v>
      </c>
      <c r="Z53" s="51"/>
      <c r="AA53" s="52" t="s">
        <v>42</v>
      </c>
      <c r="AB53" s="108" t="str">
        <f aca="false">IFERROR(__xludf.dummyfunction("IMPORTRANGE(A65,""Au10"")"),"Austin Hannum")</f>
        <v>Austin Hannum</v>
      </c>
      <c r="AC53" s="54" t="n">
        <v>9</v>
      </c>
      <c r="AD53" s="130" t="n">
        <f aca="false">VLOOKUP(AC53,MPOSCORING,2, 0)</f>
        <v>85</v>
      </c>
      <c r="AE53" s="51"/>
      <c r="AF53" s="55" t="s">
        <v>42</v>
      </c>
      <c r="AG53" s="109" t="str">
        <f aca="false">IFERROR(__xludf.dummyfunction("IMPORTRANGE(A65,""BC10"")"),"Andrew Presnell")</f>
        <v>Andrew Presnell</v>
      </c>
      <c r="AH53" s="57" t="n">
        <v>15</v>
      </c>
      <c r="AI53" s="131" t="n">
        <f aca="false">VLOOKUP(AH53,MPOSCORING,2, 0)</f>
        <v>75</v>
      </c>
      <c r="AJ53" s="51"/>
      <c r="AK53" s="58" t="s">
        <v>42</v>
      </c>
      <c r="AL53" s="110" t="str">
        <f aca="false">IFERROR(__xludf.dummyfunction("IMPORTRANGE(A65,""Bk10"")"),"Luke Samson")</f>
        <v>Luke Samson</v>
      </c>
      <c r="AM53" s="60" t="n">
        <v>88</v>
      </c>
      <c r="AN53" s="132" t="n">
        <f aca="false">VLOOKUP(AM53,MPOSCORING,2, 0)</f>
        <v>0</v>
      </c>
      <c r="AO53" s="51"/>
      <c r="AP53" s="61" t="s">
        <v>43</v>
      </c>
      <c r="AQ53" s="111" t="str">
        <f aca="false">IFERROR(__xludf.dummyfunction("IMPORTRANGE(A65,""Bs10"")"),"")</f>
        <v/>
      </c>
      <c r="AR53" s="63" t="s">
        <v>31</v>
      </c>
      <c r="AS53" s="133" t="n">
        <f aca="false">VLOOKUP(AR53,MPOSCORING,2, 0)</f>
        <v>0</v>
      </c>
      <c r="AT53" s="51"/>
      <c r="AU53" s="64" t="s">
        <v>42</v>
      </c>
      <c r="AV53" s="112" t="str">
        <f aca="false">IFERROR(__xludf.dummyfunction("IMPORTRANGE(A65,""ca10"")"),"Luke Samson")</f>
        <v>Luke Samson</v>
      </c>
      <c r="AW53" s="66" t="n">
        <v>58</v>
      </c>
      <c r="AX53" s="134" t="n">
        <f aca="false">VLOOKUP(AW53,MPOSCORING,2, 0)</f>
        <v>0</v>
      </c>
      <c r="AY53" s="32"/>
      <c r="AZ53" s="36" t="s">
        <v>42</v>
      </c>
      <c r="BA53" s="139" t="str">
        <f aca="false">IFERROR(__xludf.dummyfunction("IMPORTRANGE(A65,""ci10"")"),"Austin Hannum")</f>
        <v>Austin Hannum</v>
      </c>
      <c r="BB53" s="37" t="s">
        <v>31</v>
      </c>
      <c r="BC53" s="135" t="n">
        <f aca="false">VLOOKUP(BB53,MPOSCORING,2, 0)</f>
        <v>0</v>
      </c>
      <c r="BD53" s="32"/>
      <c r="BE53" s="42" t="s">
        <v>42</v>
      </c>
      <c r="BF53" s="114" t="str">
        <f aca="false">IFERROR(__xludf.dummyfunction("IMPORTRANGE(A65,""cq10"")"),"Andrew Presnell")</f>
        <v>Andrew Presnell</v>
      </c>
      <c r="BG53" s="44" t="n">
        <v>12</v>
      </c>
      <c r="BH53" s="136" t="n">
        <f aca="false">VLOOKUP(BG53,MPOSCORING,2, 0)</f>
        <v>80</v>
      </c>
      <c r="BI53" s="32"/>
      <c r="BJ53" s="64" t="s">
        <v>42</v>
      </c>
      <c r="BK53" s="112" t="str">
        <f aca="false">IFERROR(__xludf.dummyfunction("IMPORTRANGE(A65,""cy10"")"),"Andrew Presnell")</f>
        <v>Andrew Presnell</v>
      </c>
      <c r="BL53" s="66" t="n">
        <v>7</v>
      </c>
      <c r="BM53" s="134" t="n">
        <f aca="false">VLOOKUP(BL53,MPOSCORING,2, 0)</f>
        <v>89</v>
      </c>
      <c r="BN53" s="32"/>
      <c r="BO53" s="64" t="s">
        <v>42</v>
      </c>
      <c r="BP53" s="112" t="str">
        <f aca="false">IFERROR(__xludf.dummyfunction("IMPORTRANGE(A65,""dg10"")"),"Paul Ulibarri ")</f>
        <v>Paul Ulibarri</v>
      </c>
      <c r="BQ53" s="66" t="n">
        <v>37</v>
      </c>
      <c r="BR53" s="134" t="n">
        <f aca="false">VLOOKUP(BQ53,MPOSCORING,3, 0)</f>
        <v>68</v>
      </c>
      <c r="BS53" s="33"/>
      <c r="BT53" s="64" t="s">
        <v>42</v>
      </c>
      <c r="BU53" s="112" t="str">
        <f aca="false">IFERROR(__xludf.dummyfunction("IMPORTRANGE(A65,""do10"")"),"Austin Hannum")</f>
        <v>Austin Hannum</v>
      </c>
      <c r="BV53" s="66" t="n">
        <v>51</v>
      </c>
      <c r="BW53" s="134" t="n">
        <f aca="false">VLOOKUP(BV53,MPOSCORING,2, 0)</f>
        <v>9</v>
      </c>
      <c r="BX53" s="32"/>
      <c r="BY53" s="64" t="s">
        <v>42</v>
      </c>
      <c r="BZ53" s="112" t="str">
        <f aca="false">IFERROR(__xludf.dummyfunction("IMPORTRANGE(A65,""dw10"") "),"Austin Hannum")</f>
        <v>Austin Hannum</v>
      </c>
      <c r="CA53" s="66" t="n">
        <v>42</v>
      </c>
      <c r="CB53" s="134" t="n">
        <f aca="false">VLOOKUP(CA53,MPOSCORING,2, 0)</f>
        <v>25</v>
      </c>
      <c r="CC53" s="32"/>
      <c r="CD53" s="64" t="s">
        <v>42</v>
      </c>
      <c r="CE53" s="112" t="str">
        <f aca="false">IFERROR(__xludf.dummyfunction("IMPORTRANGE(A65,""ee10"") "),"Paul Ulibarri ")</f>
        <v>Paul Ulibarri</v>
      </c>
      <c r="CF53" s="66" t="n">
        <v>15</v>
      </c>
      <c r="CG53" s="134" t="n">
        <f aca="false">VLOOKUP(CF53,MPOSCORING,3, 0)</f>
        <v>150</v>
      </c>
      <c r="CH53" s="33"/>
    </row>
    <row r="54" customFormat="false" ht="15" hidden="false" customHeight="false" outlineLevel="0" collapsed="false">
      <c r="A54" s="143" t="str">
        <f aca="false">IFERROR(__xludf.dummyfunction("IMPORTRANGE(A65,""a1"")"),"Big Barri Tea Time (Danelle)")</f>
        <v>Big Barri Tea Time (Danelle)</v>
      </c>
      <c r="B54" s="61" t="s">
        <v>123</v>
      </c>
      <c r="C54" s="61"/>
      <c r="D54" s="61"/>
      <c r="E54" s="61"/>
      <c r="F54" s="36" t="s">
        <v>45</v>
      </c>
      <c r="G54" s="139" t="s">
        <v>124</v>
      </c>
      <c r="H54" s="88" t="n">
        <v>102</v>
      </c>
      <c r="I54" s="136" t="n">
        <f aca="false">VLOOKUP(H54,MPOSCORING,2, 0)</f>
        <v>0</v>
      </c>
      <c r="J54" s="39" t="s">
        <v>45</v>
      </c>
      <c r="K54" s="105" t="str">
        <f aca="false">IFERROR(__xludf.dummyfunction("IMPORTRANGE(A65,""o11"")"),"Luke Samson")</f>
        <v>Luke Samson</v>
      </c>
      <c r="L54" s="41" t="n">
        <v>70</v>
      </c>
      <c r="M54" s="136" t="n">
        <f aca="false">VLOOKUP(L54,MPOSCORING,2, 0)</f>
        <v>0</v>
      </c>
      <c r="N54" s="42" t="s">
        <v>45</v>
      </c>
      <c r="O54" s="43" t="str">
        <f aca="false">IFERROR(__xludf.dummyfunction("IMPORTRANGE(A65,""W11"")"),"Luke Samson")</f>
        <v>Luke Samson</v>
      </c>
      <c r="P54" s="44" t="n">
        <v>30</v>
      </c>
      <c r="Q54" s="136" t="n">
        <f aca="false">VLOOKUP(P54,MPOSCORING,2, 0)</f>
        <v>48</v>
      </c>
      <c r="R54" s="34" t="s">
        <v>45</v>
      </c>
      <c r="S54" s="106" t="str">
        <f aca="false">IFERROR(__xludf.dummyfunction("IMPORTRANGE(A65,""AE11"")"),"Jeremy Koling		")</f>
        <v>Jeremy Koling</v>
      </c>
      <c r="T54" s="46" t="n">
        <v>59</v>
      </c>
      <c r="U54" s="138" t="n">
        <f aca="false">VLOOKUP(T54,MPOSCORING,2, 0)</f>
        <v>0</v>
      </c>
      <c r="V54" s="48" t="s">
        <v>45</v>
      </c>
      <c r="W54" s="107" t="str">
        <f aca="false">IFERROR(__xludf.dummyfunction("IMPORTRANGE(A65,""Am11"")"),"Austin Hannum")</f>
        <v>Austin Hannum</v>
      </c>
      <c r="X54" s="50" t="n">
        <v>68</v>
      </c>
      <c r="Y54" s="129" t="n">
        <f aca="false">VLOOKUP(X54,MPOSCORING,2, 0)</f>
        <v>0</v>
      </c>
      <c r="Z54" s="51"/>
      <c r="AA54" s="52" t="s">
        <v>45</v>
      </c>
      <c r="AB54" s="108" t="str">
        <f aca="false">IFERROR(__xludf.dummyfunction("IMPORTRANGE(A65,""Au11"")"),"Luke Samson")</f>
        <v>Luke Samson</v>
      </c>
      <c r="AC54" s="54" t="n">
        <v>36</v>
      </c>
      <c r="AD54" s="130" t="n">
        <f aca="false">VLOOKUP(AC54,MPOSCORING,2, 0)</f>
        <v>36</v>
      </c>
      <c r="AE54" s="51"/>
      <c r="AF54" s="55" t="s">
        <v>45</v>
      </c>
      <c r="AG54" s="109" t="str">
        <f aca="false">IFERROR(__xludf.dummyfunction("IMPORTRANGE(A65,""bc11"")"),"Austin Hannum")</f>
        <v>Austin Hannum</v>
      </c>
      <c r="AH54" s="57" t="n">
        <v>26</v>
      </c>
      <c r="AI54" s="131" t="n">
        <f aca="false">VLOOKUP(AH54,MPOSCORING,2, 0)</f>
        <v>55</v>
      </c>
      <c r="AJ54" s="51"/>
      <c r="AK54" s="58" t="s">
        <v>45</v>
      </c>
      <c r="AL54" s="110" t="str">
        <f aca="false">IFERROR(__xludf.dummyfunction("IMPORTRANGE(A65,""bk11"")"),"Andrew Presnell")</f>
        <v>Andrew Presnell</v>
      </c>
      <c r="AM54" s="60" t="n">
        <v>40</v>
      </c>
      <c r="AN54" s="132" t="n">
        <f aca="false">VLOOKUP(AM54,MPOSCORING,2, 0)</f>
        <v>29</v>
      </c>
      <c r="AO54" s="51"/>
      <c r="AP54" s="61" t="s">
        <v>46</v>
      </c>
      <c r="AQ54" s="111" t="str">
        <f aca="false">IFERROR(__xludf.dummyfunction("IMPORTRANGE(A65,""bs11"")"),"")</f>
        <v/>
      </c>
      <c r="AR54" s="63" t="s">
        <v>31</v>
      </c>
      <c r="AS54" s="133" t="n">
        <f aca="false">VLOOKUP(AR54,MPOSCORING,2, 0)</f>
        <v>0</v>
      </c>
      <c r="AT54" s="51"/>
      <c r="AU54" s="64" t="s">
        <v>45</v>
      </c>
      <c r="AV54" s="112" t="str">
        <f aca="false">IFERROR(__xludf.dummyfunction("IMPORTRANGE(A65,""ca11"")"),"Austin Hannum")</f>
        <v>Austin Hannum</v>
      </c>
      <c r="AW54" s="66" t="n">
        <v>9</v>
      </c>
      <c r="AX54" s="134" t="n">
        <f aca="false">VLOOKUP(AW54,MPOSCORING,2, 0)</f>
        <v>85</v>
      </c>
      <c r="AY54" s="32"/>
      <c r="AZ54" s="36" t="s">
        <v>45</v>
      </c>
      <c r="BA54" s="139" t="str">
        <f aca="false">IFERROR(__xludf.dummyfunction("IMPORTRANGE(A65,""ci11"")"),"Andrew Presnell")</f>
        <v>Andrew Presnell</v>
      </c>
      <c r="BB54" s="37" t="n">
        <v>42</v>
      </c>
      <c r="BC54" s="135" t="n">
        <f aca="false">VLOOKUP(BB54,MPOSCORING,2, 0)</f>
        <v>25</v>
      </c>
      <c r="BD54" s="32"/>
      <c r="BE54" s="42" t="s">
        <v>45</v>
      </c>
      <c r="BF54" s="114" t="str">
        <f aca="false">IFERROR(__xludf.dummyfunction("IMPORTRANGE(A65,""cq11"")"),"Luke Samson")</f>
        <v>Luke Samson</v>
      </c>
      <c r="BG54" s="44" t="n">
        <v>43</v>
      </c>
      <c r="BH54" s="136" t="n">
        <f aca="false">VLOOKUP(BG54,MPOSCORING,2, 0)</f>
        <v>23</v>
      </c>
      <c r="BI54" s="32"/>
      <c r="BJ54" s="64" t="s">
        <v>45</v>
      </c>
      <c r="BK54" s="112" t="str">
        <f aca="false">IFERROR(__xludf.dummyfunction("IMPORTRANGE(A65,""cy11"")"),"Paul Ulibarri ")</f>
        <v>Paul Ulibarri</v>
      </c>
      <c r="BL54" s="66" t="n">
        <v>16</v>
      </c>
      <c r="BM54" s="134" t="n">
        <f aca="false">VLOOKUP(BL54,MPOSCORING,2, 0)</f>
        <v>73</v>
      </c>
      <c r="BN54" s="32"/>
      <c r="BO54" s="64" t="s">
        <v>45</v>
      </c>
      <c r="BP54" s="112" t="str">
        <f aca="false">IFERROR(__xludf.dummyfunction("IMPORTRANGE(A65,""dg11"")"),"Andrew Presnell")</f>
        <v>Andrew Presnell</v>
      </c>
      <c r="BQ54" s="66" t="n">
        <v>33</v>
      </c>
      <c r="BR54" s="134" t="n">
        <f aca="false">VLOOKUP(BQ54,MPOSCORING,3, 0)</f>
        <v>84</v>
      </c>
      <c r="BS54" s="33"/>
      <c r="BT54" s="64" t="s">
        <v>45</v>
      </c>
      <c r="BU54" s="112" t="str">
        <f aca="false">IFERROR(__xludf.dummyfunction("IMPORTRANGE(A65,""do11"")"),"Andrew Presnell ")</f>
        <v>Andrew Presnell</v>
      </c>
      <c r="BV54" s="66" t="n">
        <v>22</v>
      </c>
      <c r="BW54" s="134" t="n">
        <f aca="false">VLOOKUP(BV54,MPOSCORING,2, 0)</f>
        <v>62</v>
      </c>
      <c r="BX54" s="32"/>
      <c r="BY54" s="64" t="s">
        <v>45</v>
      </c>
      <c r="BZ54" s="112" t="str">
        <f aca="false">IFERROR(__xludf.dummyfunction("IMPORTRANGE(A65,""dw11"")"),"Paul Ulibarri")</f>
        <v>Paul Ulibarri</v>
      </c>
      <c r="CA54" s="66" t="n">
        <v>15</v>
      </c>
      <c r="CB54" s="134" t="n">
        <f aca="false">VLOOKUP(CA54,MPOSCORING,2, 0)</f>
        <v>75</v>
      </c>
      <c r="CC54" s="32"/>
      <c r="CD54" s="64" t="s">
        <v>45</v>
      </c>
      <c r="CE54" s="112" t="str">
        <f aca="false">IFERROR(__xludf.dummyfunction("IMPORTRANGE(A65,""ee11"")"),"Andrew Presnell")</f>
        <v>Andrew Presnell</v>
      </c>
      <c r="CF54" s="66" t="n">
        <v>28</v>
      </c>
      <c r="CG54" s="134" t="n">
        <f aca="false">VLOOKUP(CF54,MPOSCORING,3, 0)</f>
        <v>102</v>
      </c>
      <c r="CH54" s="33"/>
    </row>
    <row r="55" customFormat="false" ht="15" hidden="false" customHeight="false" outlineLevel="0" collapsed="false">
      <c r="A55" s="143" t="str">
        <f aca="false">IFERROR(__xludf.dummyfunction("IMPORTRANGE(A65,""a1"")"),"Big Barri Tea Time (Danelle)")</f>
        <v>Big Barri Tea Time (Danelle)</v>
      </c>
      <c r="B55" s="61" t="s">
        <v>125</v>
      </c>
      <c r="C55" s="61"/>
      <c r="D55" s="61"/>
      <c r="E55" s="61"/>
      <c r="F55" s="36" t="s">
        <v>48</v>
      </c>
      <c r="G55" s="139" t="s">
        <v>126</v>
      </c>
      <c r="H55" s="88" t="n">
        <v>50</v>
      </c>
      <c r="I55" s="136" t="n">
        <f aca="false">VLOOKUP(H55,MPOSCORING,2, 0)</f>
        <v>11</v>
      </c>
      <c r="J55" s="39" t="s">
        <v>48</v>
      </c>
      <c r="K55" s="105" t="str">
        <f aca="false">IFERROR(__xludf.dummyfunction("IMPORTRANGE(A65,""o12"")"),"Austin Hannum")</f>
        <v>Austin Hannum</v>
      </c>
      <c r="L55" s="41" t="n">
        <v>45</v>
      </c>
      <c r="M55" s="136" t="n">
        <f aca="false">VLOOKUP(L55,MPOSCORING,2, 0)</f>
        <v>19</v>
      </c>
      <c r="N55" s="42" t="s">
        <v>48</v>
      </c>
      <c r="O55" s="43" t="str">
        <f aca="false">IFERROR(__xludf.dummyfunction("IMPORTRANGE(A65,""w12"")"),"Tim Barham")</f>
        <v>Tim Barham</v>
      </c>
      <c r="P55" s="44" t="n">
        <v>67</v>
      </c>
      <c r="Q55" s="136" t="n">
        <f aca="false">VLOOKUP(P55,MPOSCORING,2, 0)</f>
        <v>0</v>
      </c>
      <c r="R55" s="34" t="s">
        <v>48</v>
      </c>
      <c r="S55" s="106" t="str">
        <f aca="false">IFERROR(__xludf.dummyfunction("IMPORTRANGE(A65,""AE12"")"),"Luke Samson")</f>
        <v>Luke Samson</v>
      </c>
      <c r="T55" s="46" t="n">
        <v>56</v>
      </c>
      <c r="U55" s="138" t="n">
        <f aca="false">VLOOKUP(T55,MPOSCORING,2, 0)</f>
        <v>0</v>
      </c>
      <c r="V55" s="48" t="s">
        <v>48</v>
      </c>
      <c r="W55" s="107" t="str">
        <f aca="false">IFERROR(__xludf.dummyfunction("IMPORTRANGE(A65,""Am12"")"),"Tim Barham")</f>
        <v>Tim Barham</v>
      </c>
      <c r="X55" s="50" t="n">
        <v>80</v>
      </c>
      <c r="Y55" s="129" t="n">
        <f aca="false">VLOOKUP(X55,MPOSCORING,2, 0)</f>
        <v>0</v>
      </c>
      <c r="Z55" s="51"/>
      <c r="AA55" s="52" t="s">
        <v>48</v>
      </c>
      <c r="AB55" s="108" t="str">
        <f aca="false">IFERROR(__xludf.dummyfunction("IMPORTRANGE(A65,""Au12"")"),"Andrew Presnell")</f>
        <v>Andrew Presnell</v>
      </c>
      <c r="AC55" s="54" t="s">
        <v>31</v>
      </c>
      <c r="AD55" s="130" t="n">
        <f aca="false">VLOOKUP(AC55,MPOSCORING,2, 0)</f>
        <v>0</v>
      </c>
      <c r="AE55" s="51"/>
      <c r="AF55" s="55" t="s">
        <v>48</v>
      </c>
      <c r="AG55" s="109" t="str">
        <f aca="false">IFERROR(__xludf.dummyfunction("IMPORTRANGE(A65,""bc12"")"),"Madison Walker ")</f>
        <v>Madison Walker</v>
      </c>
      <c r="AH55" s="57" t="n">
        <v>27</v>
      </c>
      <c r="AI55" s="131" t="n">
        <f aca="false">VLOOKUP(AH55,FPOSCORING,2, 0)</f>
        <v>0</v>
      </c>
      <c r="AJ55" s="51"/>
      <c r="AK55" s="58" t="s">
        <v>48</v>
      </c>
      <c r="AL55" s="110" t="str">
        <f aca="false">IFERROR(__xludf.dummyfunction("IMPORTRANGE(A65,""bk12"")"),"Jeremy Koling")</f>
        <v>Jeremy Koling</v>
      </c>
      <c r="AM55" s="60" t="n">
        <v>33</v>
      </c>
      <c r="AN55" s="132" t="n">
        <f aca="false">VLOOKUP(AM55,MPOSCORING,2, 0)</f>
        <v>42</v>
      </c>
      <c r="AO55" s="51"/>
      <c r="AP55" s="61" t="s">
        <v>49</v>
      </c>
      <c r="AQ55" s="111" t="str">
        <f aca="false">IFERROR(__xludf.dummyfunction("IMPORTRANGE(A65,""bs12"")"),"")</f>
        <v/>
      </c>
      <c r="AR55" s="63" t="s">
        <v>31</v>
      </c>
      <c r="AS55" s="133" t="n">
        <f aca="false">VLOOKUP(AR55,MPOSCORING,2, 0)</f>
        <v>0</v>
      </c>
      <c r="AT55" s="51"/>
      <c r="AU55" s="64" t="s">
        <v>48</v>
      </c>
      <c r="AV55" s="112" t="str">
        <f aca="false">IFERROR(__xludf.dummyfunction("IMPORTRANGE(A65,""ca12"")"),"Andrew Presnell")</f>
        <v>Andrew Presnell</v>
      </c>
      <c r="AW55" s="66" t="n">
        <v>13</v>
      </c>
      <c r="AX55" s="134" t="n">
        <f aca="false">VLOOKUP(AW55,MPOSCORING,2, 0)</f>
        <v>78</v>
      </c>
      <c r="AY55" s="32"/>
      <c r="AZ55" s="36" t="s">
        <v>48</v>
      </c>
      <c r="BA55" s="139" t="str">
        <f aca="false">IFERROR(__xludf.dummyfunction("IMPORTRANGE(A65,""ci12"")"),"Luke Samson")</f>
        <v>Luke Samson</v>
      </c>
      <c r="BB55" s="37" t="n">
        <v>48</v>
      </c>
      <c r="BC55" s="135" t="n">
        <f aca="false">VLOOKUP(BB55,MPOSCORING,2, 0)</f>
        <v>13</v>
      </c>
      <c r="BD55" s="32"/>
      <c r="BE55" s="42" t="s">
        <v>48</v>
      </c>
      <c r="BF55" s="114" t="str">
        <f aca="false">IFERROR(__xludf.dummyfunction("IMPORTRANGE(A65,""cq12"")"),"Tim Barham")</f>
        <v>Tim Barham</v>
      </c>
      <c r="BG55" s="44" t="n">
        <v>20</v>
      </c>
      <c r="BH55" s="136" t="n">
        <f aca="false">VLOOKUP(BG55,MPOSCORING,2, 0)</f>
        <v>66</v>
      </c>
      <c r="BI55" s="32"/>
      <c r="BJ55" s="64" t="s">
        <v>48</v>
      </c>
      <c r="BK55" s="112" t="str">
        <f aca="false">IFERROR(__xludf.dummyfunction("IMPORTRANGE(A65,""cy12"")"),"Tim Barham ")</f>
        <v>Tim Barham</v>
      </c>
      <c r="BL55" s="66" t="n">
        <v>66</v>
      </c>
      <c r="BM55" s="134" t="n">
        <f aca="false">VLOOKUP(BL55,MPOSCORING,2, 0)</f>
        <v>0</v>
      </c>
      <c r="BN55" s="32"/>
      <c r="BO55" s="64" t="s">
        <v>48</v>
      </c>
      <c r="BP55" s="112" t="str">
        <f aca="false">IFERROR(__xludf.dummyfunction("IMPORTRANGE(A65,""dg12"")"),"Austin Hannum")</f>
        <v>Austin Hannum</v>
      </c>
      <c r="BQ55" s="66" t="n">
        <v>68</v>
      </c>
      <c r="BR55" s="134" t="n">
        <f aca="false">VLOOKUP(BQ55,MPOSCORING,3, 0)</f>
        <v>0</v>
      </c>
      <c r="BS55" s="33"/>
      <c r="BT55" s="64" t="s">
        <v>48</v>
      </c>
      <c r="BU55" s="112" t="str">
        <f aca="false">IFERROR(__xludf.dummyfunction("IMPORTRANGE(A65,""do12"")"),"Tim Barham")</f>
        <v>Tim Barham</v>
      </c>
      <c r="BV55" s="66" t="n">
        <v>66</v>
      </c>
      <c r="BW55" s="134" t="n">
        <f aca="false">VLOOKUP(BV55,MPOSCORING,2, 0)</f>
        <v>0</v>
      </c>
      <c r="BX55" s="32"/>
      <c r="BY55" s="64" t="s">
        <v>48</v>
      </c>
      <c r="BZ55" s="112" t="str">
        <f aca="false">IFERROR(__xludf.dummyfunction("IMPORTRANGE(A65,""dw12"")"),"Jeremy Koling")</f>
        <v>Jeremy Koling</v>
      </c>
      <c r="CA55" s="66" t="n">
        <v>21</v>
      </c>
      <c r="CB55" s="134" t="n">
        <f aca="false">VLOOKUP(CA55,MPOSCORING,2, 0)</f>
        <v>64</v>
      </c>
      <c r="CC55" s="32"/>
      <c r="CD55" s="64" t="s">
        <v>48</v>
      </c>
      <c r="CE55" s="112" t="str">
        <f aca="false">IFERROR(__xludf.dummyfunction("IMPORTRANGE(A65,""ee12"")"),"Austin Hannum")</f>
        <v>Austin Hannum</v>
      </c>
      <c r="CF55" s="66" t="n">
        <v>74</v>
      </c>
      <c r="CG55" s="134" t="n">
        <f aca="false">VLOOKUP(CF55,MPOSCORING,3, 0)</f>
        <v>0</v>
      </c>
      <c r="CH55" s="33"/>
    </row>
    <row r="56" customFormat="false" ht="15" hidden="false" customHeight="false" outlineLevel="0" collapsed="false">
      <c r="A56" s="143" t="str">
        <f aca="false">IFERROR(__xludf.dummyfunction("IMPORTRANGE(A65,""a1"")"),"Big Barri Tea Time (Danelle)")</f>
        <v>Big Barri Tea Time (Danelle)</v>
      </c>
      <c r="B56" s="61" t="s">
        <v>127</v>
      </c>
      <c r="C56" s="61"/>
      <c r="D56" s="61"/>
      <c r="E56" s="61"/>
      <c r="F56" s="36" t="s">
        <v>40</v>
      </c>
      <c r="G56" s="139" t="s">
        <v>127</v>
      </c>
      <c r="H56" s="88" t="n">
        <v>50</v>
      </c>
      <c r="I56" s="115" t="n">
        <f aca="false">VLOOKUP(H56,MPOSCORING,2, 0)</f>
        <v>11</v>
      </c>
      <c r="J56" s="39" t="s">
        <v>40</v>
      </c>
      <c r="K56" s="105" t="str">
        <f aca="false">IFERROR(__xludf.dummyfunction("IMPORTRANGE(A65,""o13"")"),"Madison Walker")</f>
        <v>Madison Walker</v>
      </c>
      <c r="L56" s="41" t="n">
        <v>39</v>
      </c>
      <c r="M56" s="115" t="n">
        <f aca="false">VLOOKUP(L56,MPOSCORING,2, 0)</f>
        <v>30</v>
      </c>
      <c r="N56" s="42" t="s">
        <v>40</v>
      </c>
      <c r="O56" s="43" t="str">
        <f aca="false">IFERROR(__xludf.dummyfunction("IMPORTRANGE(A65,""w13"")"),"Madison Walker")</f>
        <v>Madison Walker</v>
      </c>
      <c r="P56" s="44" t="n">
        <v>25</v>
      </c>
      <c r="Q56" s="115" t="n">
        <f aca="false">VLOOKUP(P56,MPOSCORING,2, 0)</f>
        <v>57</v>
      </c>
      <c r="R56" s="34" t="s">
        <v>40</v>
      </c>
      <c r="S56" s="106" t="str">
        <f aca="false">IFERROR(__xludf.dummyfunction("IMPORTRANGE(A65,""AE13"")"),"Tim Barham")</f>
        <v>Tim Barham</v>
      </c>
      <c r="T56" s="46" t="n">
        <v>46</v>
      </c>
      <c r="U56" s="116" t="n">
        <f aca="false">VLOOKUP(T56,MPOSCORING,2, 0)</f>
        <v>17</v>
      </c>
      <c r="V56" s="48" t="s">
        <v>40</v>
      </c>
      <c r="W56" s="107" t="str">
        <f aca="false">IFERROR(__xludf.dummyfunction("IMPORTRANGE(A65,""Am13"")"),"Luke Samson")</f>
        <v>Luke Samson</v>
      </c>
      <c r="X56" s="50" t="n">
        <v>21</v>
      </c>
      <c r="Y56" s="117" t="n">
        <f aca="false">VLOOKUP(X56,MPOSCORING,2, 0)</f>
        <v>64</v>
      </c>
      <c r="Z56" s="51"/>
      <c r="AA56" s="52" t="s">
        <v>40</v>
      </c>
      <c r="AB56" s="108" t="str">
        <f aca="false">IFERROR(__xludf.dummyfunction("IMPORTRANGE(A65,""Au13"")"),"Tim Barham")</f>
        <v>Tim Barham</v>
      </c>
      <c r="AC56" s="54" t="s">
        <v>31</v>
      </c>
      <c r="AD56" s="130" t="n">
        <f aca="false">VLOOKUP(AC56,MPOSCORING,2, 0)</f>
        <v>0</v>
      </c>
      <c r="AE56" s="51"/>
      <c r="AF56" s="55" t="s">
        <v>40</v>
      </c>
      <c r="AG56" s="109" t="str">
        <f aca="false">IFERROR(__xludf.dummyfunction("IMPORTRANGE(A65,""bc13"")"),"Tim Barham")</f>
        <v>Tim Barham</v>
      </c>
      <c r="AH56" s="57" t="s">
        <v>31</v>
      </c>
      <c r="AI56" s="118" t="n">
        <f aca="false">VLOOKUP(AH56,FPOSCORING,2, 0)</f>
        <v>0</v>
      </c>
      <c r="AJ56" s="51"/>
      <c r="AK56" s="58" t="s">
        <v>40</v>
      </c>
      <c r="AL56" s="110" t="str">
        <f aca="false">IFERROR(__xludf.dummyfunction("IMPORTRANGE(A65,""bk13"")"),"Madison Walker")</f>
        <v>Madison Walker</v>
      </c>
      <c r="AM56" s="60" t="n">
        <v>17</v>
      </c>
      <c r="AN56" s="119" t="n">
        <f aca="false">VLOOKUP(AM56,FPOSCORING,2, 0)</f>
        <v>24</v>
      </c>
      <c r="AO56" s="51"/>
      <c r="AP56" s="61" t="s">
        <v>51</v>
      </c>
      <c r="AQ56" s="111" t="str">
        <f aca="false">IFERROR(__xludf.dummyfunction("IMPORTRANGE(A65,""bs13"")"),"")</f>
        <v/>
      </c>
      <c r="AR56" s="63" t="s">
        <v>31</v>
      </c>
      <c r="AS56" s="61"/>
      <c r="AT56" s="51"/>
      <c r="AU56" s="64" t="s">
        <v>40</v>
      </c>
      <c r="AV56" s="123" t="str">
        <f aca="false">IFERROR(__xludf.dummyfunction("IMPORTRANGE(A65,""ca13"")"),"Tim Barham ")</f>
        <v>Tim Barham</v>
      </c>
      <c r="AW56" s="66" t="s">
        <v>31</v>
      </c>
      <c r="AX56" s="120" t="n">
        <f aca="false">VLOOKUP(AW56,MPOSCORING,2, 0)</f>
        <v>0</v>
      </c>
      <c r="AY56" s="121"/>
      <c r="AZ56" s="36" t="s">
        <v>40</v>
      </c>
      <c r="BA56" s="140" t="str">
        <f aca="false">IFERROR(__xludf.dummyfunction("IMPORTRANGE(A65,""ci13"")"),"Tim Barham ")</f>
        <v>Tim Barham</v>
      </c>
      <c r="BB56" s="37" t="s">
        <v>31</v>
      </c>
      <c r="BC56" s="122" t="n">
        <f aca="false">VLOOKUP(BB56,MPOSCORING,2, 0)</f>
        <v>0</v>
      </c>
      <c r="BD56" s="121"/>
      <c r="BE56" s="42" t="s">
        <v>40</v>
      </c>
      <c r="BF56" s="114" t="str">
        <f aca="false">IFERROR(__xludf.dummyfunction("IMPORTRANGE(A65,""cq13"")"),"Paul Ulibarri")</f>
        <v>Paul Ulibarri</v>
      </c>
      <c r="BG56" s="44" t="n">
        <v>30</v>
      </c>
      <c r="BH56" s="115" t="n">
        <f aca="false">VLOOKUP(BG56,MPOSCORING,2, 0)</f>
        <v>48</v>
      </c>
      <c r="BI56" s="121"/>
      <c r="BJ56" s="64" t="s">
        <v>40</v>
      </c>
      <c r="BK56" s="123" t="str">
        <f aca="false">IFERROR(__xludf.dummyfunction("IMPORTRANGE(A65,""cy13"")"),"Luke Samson ")</f>
        <v>Luke Samson</v>
      </c>
      <c r="BL56" s="66" t="n">
        <v>83</v>
      </c>
      <c r="BM56" s="120" t="n">
        <f aca="false">VLOOKUP(BL56,MPOSCORING,2, 0)</f>
        <v>0</v>
      </c>
      <c r="BN56" s="121"/>
      <c r="BO56" s="64" t="s">
        <v>40</v>
      </c>
      <c r="BP56" s="123" t="str">
        <f aca="false">IFERROR(__xludf.dummyfunction("IMPORTRANGE(A65,""dg13"")"),"Luke Samson")</f>
        <v>Luke Samson</v>
      </c>
      <c r="BQ56" s="66" t="s">
        <v>31</v>
      </c>
      <c r="BR56" s="120" t="n">
        <f aca="false">VLOOKUP(BQ56,MPOSCORING,2, 0)*2</f>
        <v>0</v>
      </c>
      <c r="BS56" s="124"/>
      <c r="BT56" s="64" t="s">
        <v>40</v>
      </c>
      <c r="BU56" s="123" t="str">
        <f aca="false">IFERROR(__xludf.dummyfunction("IMPORTRANGE(A65,""do13"")"),"Luke Samson")</f>
        <v>Luke Samson</v>
      </c>
      <c r="BV56" s="66" t="s">
        <v>31</v>
      </c>
      <c r="BW56" s="120" t="n">
        <f aca="false">VLOOKUP(BV56,MPOSCORING,2, 0)</f>
        <v>0</v>
      </c>
      <c r="BX56" s="121"/>
      <c r="BY56" s="64" t="s">
        <v>40</v>
      </c>
      <c r="BZ56" s="112" t="str">
        <f aca="false">IFERROR(__xludf.dummyfunction("IMPORTRANGE(A65,""dw13"")"),"Luke Samon")</f>
        <v>Luke Samon</v>
      </c>
      <c r="CA56" s="66" t="s">
        <v>31</v>
      </c>
      <c r="CB56" s="120" t="n">
        <f aca="false">VLOOKUP(CA56,MPOSCORING,2, 0)</f>
        <v>0</v>
      </c>
      <c r="CC56" s="121"/>
      <c r="CD56" s="64" t="s">
        <v>40</v>
      </c>
      <c r="CE56" s="112" t="str">
        <f aca="false">IFERROR(__xludf.dummyfunction("IMPORTRANGE(A65,""ee13"")"),"Madison Walker")</f>
        <v>Madison Walker</v>
      </c>
      <c r="CF56" s="66" t="n">
        <v>19</v>
      </c>
      <c r="CG56" s="120" t="n">
        <f aca="false">VLOOKUP(CF56,FPOSCORING,3, 0)</f>
        <v>30</v>
      </c>
      <c r="CH56" s="124"/>
    </row>
    <row r="57" customFormat="false" ht="15" hidden="false" customHeight="false" outlineLevel="0" collapsed="false">
      <c r="A57" s="143" t="str">
        <f aca="false">IFERROR(__xludf.dummyfunction("IMPORTRANGE(A65,""a1"")"),"Big Barri Tea Time (Danelle)")</f>
        <v>Big Barri Tea Time (Danelle)</v>
      </c>
      <c r="B57" s="61" t="s">
        <v>126</v>
      </c>
      <c r="C57" s="61"/>
      <c r="D57" s="61"/>
      <c r="E57" s="61"/>
      <c r="F57" s="36" t="s">
        <v>43</v>
      </c>
      <c r="G57" s="139" t="s">
        <v>125</v>
      </c>
      <c r="H57" s="37" t="n">
        <v>20</v>
      </c>
      <c r="I57" s="125" t="n">
        <f aca="false">VLOOKUP(H57,FPOSCORING,2, 0)</f>
        <v>12</v>
      </c>
      <c r="J57" s="39" t="s">
        <v>43</v>
      </c>
      <c r="K57" s="105" t="str">
        <f aca="false">IFERROR(__xludf.dummyfunction("IMPORTRANGE(A65,""o14"")"),"Tim Barham")</f>
        <v>Tim Barham</v>
      </c>
      <c r="L57" s="41" t="s">
        <v>31</v>
      </c>
      <c r="M57" s="125" t="n">
        <f aca="false">VLOOKUP(L57,FPOSCORING,2, 0)</f>
        <v>0</v>
      </c>
      <c r="N57" s="42" t="s">
        <v>43</v>
      </c>
      <c r="O57" s="43" t="str">
        <f aca="false">IFERROR(__xludf.dummyfunction("IMPORTRANGE(A65,""w14"")"),"Austin Hannum")</f>
        <v>Austin Hannum</v>
      </c>
      <c r="P57" s="44" t="n">
        <v>30</v>
      </c>
      <c r="Q57" s="125" t="n">
        <f aca="false">VLOOKUP(P57,MPOSCORING,2, 0)</f>
        <v>48</v>
      </c>
      <c r="R57" s="34" t="s">
        <v>43</v>
      </c>
      <c r="S57" s="106" t="str">
        <f aca="false">IFERROR(__xludf.dummyfunction("IMPORTRANGE(A65,""AE14"")"),"Paul Ulibarri 		")</f>
        <v>Paul Ulibarri</v>
      </c>
      <c r="T57" s="46" t="n">
        <v>71</v>
      </c>
      <c r="U57" s="126" t="n">
        <f aca="false">VLOOKUP(T57,MPOSCORING,2, 0)</f>
        <v>0</v>
      </c>
      <c r="V57" s="48" t="s">
        <v>43</v>
      </c>
      <c r="W57" s="107" t="str">
        <f aca="false">IFERROR(__xludf.dummyfunction("IMPORTRANGE(A65,""Am14"")"),"Paul Ulibarri 		")</f>
        <v>Paul Ulibarri</v>
      </c>
      <c r="X57" s="50" t="s">
        <v>31</v>
      </c>
      <c r="Y57" s="117" t="n">
        <f aca="false">VLOOKUP(X57,MPOSCORING,2, 0)</f>
        <v>0</v>
      </c>
      <c r="Z57" s="51"/>
      <c r="AA57" s="52" t="s">
        <v>43</v>
      </c>
      <c r="AB57" s="108" t="str">
        <f aca="false">IFERROR(__xludf.dummyfunction("IMPORTRANGE(A65,""Au14"")"),"Madison Walker")</f>
        <v>Madison Walker</v>
      </c>
      <c r="AC57" s="54" t="s">
        <v>31</v>
      </c>
      <c r="AD57" s="130" t="n">
        <f aca="false">VLOOKUP(AC57,MPOSCORING,2, 0)</f>
        <v>0</v>
      </c>
      <c r="AE57" s="51"/>
      <c r="AF57" s="55" t="s">
        <v>43</v>
      </c>
      <c r="AG57" s="109" t="str">
        <f aca="false">IFERROR(__xludf.dummyfunction("IMPORTRANGE(A65,""bc14"")"),"Ricky wysocki")</f>
        <v>Ricky wysocki</v>
      </c>
      <c r="AH57" s="57" t="s">
        <v>31</v>
      </c>
      <c r="AI57" s="118" t="n">
        <f aca="false">VLOOKUP(AH57,MPOSCORING,2, 0)</f>
        <v>0</v>
      </c>
      <c r="AJ57" s="51"/>
      <c r="AK57" s="58" t="s">
        <v>43</v>
      </c>
      <c r="AL57" s="110" t="str">
        <f aca="false">IFERROR(__xludf.dummyfunction("IMPORTRANGE(A65,""bk14"")"),"Tim Barham")</f>
        <v>Tim Barham</v>
      </c>
      <c r="AM57" s="60" t="s">
        <v>31</v>
      </c>
      <c r="AN57" s="119" t="n">
        <f aca="false">VLOOKUP(AM57,FPOSCORING,2, 0)</f>
        <v>0</v>
      </c>
      <c r="AO57" s="51"/>
      <c r="AP57" s="61" t="s">
        <v>53</v>
      </c>
      <c r="AQ57" s="111" t="str">
        <f aca="false">IFERROR(__xludf.dummyfunction("IMPORTRANGE(A65,""bs14"")"),"")</f>
        <v/>
      </c>
      <c r="AR57" s="63" t="s">
        <v>31</v>
      </c>
      <c r="AS57" s="61"/>
      <c r="AT57" s="51"/>
      <c r="AU57" s="64" t="s">
        <v>43</v>
      </c>
      <c r="AV57" s="112" t="str">
        <f aca="false">IFERROR(__xludf.dummyfunction("IMPORTRANGE(A65,""ca14"")"),"Paul Ulibarri ")</f>
        <v>Paul Ulibarri</v>
      </c>
      <c r="AW57" s="66" t="n">
        <v>34</v>
      </c>
      <c r="AX57" s="120" t="n">
        <f aca="false">VLOOKUP(AW57,MPOSCORING,2, 0)</f>
        <v>40</v>
      </c>
      <c r="AY57" s="121"/>
      <c r="AZ57" s="36" t="s">
        <v>43</v>
      </c>
      <c r="BA57" s="139" t="str">
        <f aca="false">IFERROR(__xludf.dummyfunction("IMPORTRANGE(A65,""ci14"")"),"Paul Ulibarri ")</f>
        <v>Paul Ulibarri</v>
      </c>
      <c r="BB57" s="37" t="s">
        <v>31</v>
      </c>
      <c r="BC57" s="122" t="n">
        <f aca="false">VLOOKUP(BB57,FPOSCORING,2, 0)</f>
        <v>0</v>
      </c>
      <c r="BD57" s="121"/>
      <c r="BE57" s="42" t="s">
        <v>43</v>
      </c>
      <c r="BF57" s="114" t="str">
        <f aca="false">IFERROR(__xludf.dummyfunction("IMPORTRANGE(A65,""cq14"")"),"Austin Hannum")</f>
        <v>Austin Hannum</v>
      </c>
      <c r="BG57" s="44" t="n">
        <v>92</v>
      </c>
      <c r="BH57" s="115" t="e">
        <f aca="false">VLOOKUP(BG57,FPOSCORING,2, 0)</f>
        <v>#N/A</v>
      </c>
      <c r="BI57" s="121"/>
      <c r="BJ57" s="64" t="s">
        <v>43</v>
      </c>
      <c r="BK57" s="112" t="str">
        <f aca="false">IFERROR(__xludf.dummyfunction("IMPORTRANGE(A65,""cy14"")"),"Austin Hannum")</f>
        <v>Austin Hannum</v>
      </c>
      <c r="BL57" s="66" t="n">
        <v>16</v>
      </c>
      <c r="BM57" s="120" t="n">
        <f aca="false">VLOOKUP(BL57,MPOSCORING,2, 0)</f>
        <v>73</v>
      </c>
      <c r="BN57" s="121"/>
      <c r="BO57" s="64" t="s">
        <v>43</v>
      </c>
      <c r="BP57" s="112" t="str">
        <f aca="false">IFERROR(__xludf.dummyfunction("IMPORTRANGE(A65,""dg14"")"),"Madison Walker ")</f>
        <v>Madison Walker</v>
      </c>
      <c r="BQ57" s="66" t="s">
        <v>31</v>
      </c>
      <c r="BR57" s="120" t="n">
        <f aca="false">VLOOKUP(BQ57,FPOSCORING,2, 0)*2</f>
        <v>0</v>
      </c>
      <c r="BS57" s="124"/>
      <c r="BT57" s="64" t="s">
        <v>43</v>
      </c>
      <c r="BU57" s="112" t="str">
        <f aca="false">IFERROR(__xludf.dummyfunction("IMPORTRANGE(A65,""do14"")"),"Madison Walker ")</f>
        <v>Madison Walker</v>
      </c>
      <c r="BV57" s="66" t="s">
        <v>31</v>
      </c>
      <c r="BW57" s="120" t="n">
        <f aca="false">VLOOKUP(BV57,FPOSCORING,2, 0)</f>
        <v>0</v>
      </c>
      <c r="BX57" s="121"/>
      <c r="BY57" s="64" t="s">
        <v>43</v>
      </c>
      <c r="BZ57" s="112" t="str">
        <f aca="false">IFERROR(__xludf.dummyfunction("IMPORTRANGE(A65,""dw14"")"),"Madison Walker ")</f>
        <v>Madison Walker</v>
      </c>
      <c r="CA57" s="66" t="s">
        <v>31</v>
      </c>
      <c r="CB57" s="120" t="n">
        <f aca="false">VLOOKUP(CA57,FPOSCORING,2, 0)</f>
        <v>0</v>
      </c>
      <c r="CC57" s="121"/>
      <c r="CD57" s="64" t="s">
        <v>43</v>
      </c>
      <c r="CE57" s="112" t="str">
        <f aca="false">IFERROR(__xludf.dummyfunction("IMPORTRANGE(A65,""ee14"")"),"Luke Samson")</f>
        <v>Luke Samson</v>
      </c>
      <c r="CF57" s="66" t="s">
        <v>31</v>
      </c>
      <c r="CG57" s="120" t="n">
        <f aca="false">VLOOKUP(CF57,FPOSCORING,3, 0)</f>
        <v>0</v>
      </c>
      <c r="CH57" s="124"/>
    </row>
    <row r="58" customFormat="false" ht="15" hidden="false" customHeight="false" outlineLevel="0" collapsed="false">
      <c r="A58" s="143" t="str">
        <f aca="false">IFERROR(__xludf.dummyfunction("IMPORTRANGE(A65,""a1"")"),"Big Barri Tea Time (Danelle)")</f>
        <v>Big Barri Tea Time (Danelle)</v>
      </c>
      <c r="B58" s="61" t="s">
        <v>128</v>
      </c>
      <c r="C58" s="61"/>
      <c r="D58" s="61"/>
      <c r="E58" s="61"/>
      <c r="F58" s="36" t="s">
        <v>46</v>
      </c>
      <c r="G58" s="139" t="s">
        <v>129</v>
      </c>
      <c r="H58" s="37" t="n">
        <v>94</v>
      </c>
      <c r="I58" s="115" t="n">
        <f aca="false">VLOOKUP(H58,MPOSCORING,2, 0)</f>
        <v>0</v>
      </c>
      <c r="J58" s="39" t="s">
        <v>46</v>
      </c>
      <c r="K58" s="105" t="str">
        <f aca="false">IFERROR(__xludf.dummyfunction("IMPORTRANGE(A65,""o15"")"),"Andrew Presnell")</f>
        <v>Andrew Presnell</v>
      </c>
      <c r="L58" s="41" t="s">
        <v>31</v>
      </c>
      <c r="M58" s="115" t="n">
        <f aca="false">VLOOKUP(L58,MPOSCORING,2, 0)</f>
        <v>0</v>
      </c>
      <c r="N58" s="42" t="s">
        <v>46</v>
      </c>
      <c r="O58" s="43" t="str">
        <f aca="false">IFERROR(__xludf.dummyfunction("IMPORTRANGE(A65,""w15"")"),"Paul Ulibarri 		")</f>
        <v>Paul Ulibarri</v>
      </c>
      <c r="P58" s="44" t="n">
        <v>71</v>
      </c>
      <c r="Q58" s="115" t="n">
        <f aca="false">VLOOKUP(P58,MPOSCORING,2, 0)</f>
        <v>0</v>
      </c>
      <c r="R58" s="34" t="s">
        <v>46</v>
      </c>
      <c r="S58" s="106" t="str">
        <f aca="false">IFERROR(__xludf.dummyfunction("IMPORTRANGE(A65,""AE15"")"),"Ohn Scoggins		")</f>
        <v>Ohn Scoggins</v>
      </c>
      <c r="T58" s="46" t="s">
        <v>31</v>
      </c>
      <c r="U58" s="116" t="n">
        <f aca="false">VLOOKUP(T58,FPOSCORING,2, 0)</f>
        <v>0</v>
      </c>
      <c r="V58" s="48" t="s">
        <v>46</v>
      </c>
      <c r="W58" s="107" t="str">
        <f aca="false">IFERROR(__xludf.dummyfunction("IMPORTRANGE(A65,""Am15"")"),"Ohn Scoggins		")</f>
        <v>Ohn Scoggins</v>
      </c>
      <c r="X58" s="50" t="s">
        <v>31</v>
      </c>
      <c r="Y58" s="117" t="n">
        <f aca="false">VLOOKUP(X58,MPOSCORING,2, 0)</f>
        <v>0</v>
      </c>
      <c r="Z58" s="51"/>
      <c r="AA58" s="52" t="s">
        <v>46</v>
      </c>
      <c r="AB58" s="108" t="str">
        <f aca="false">IFERROR(__xludf.dummyfunction("IMPORTRANGE(A65,""Au15"")"),"Paul Ulibarri")</f>
        <v>Paul Ulibarri</v>
      </c>
      <c r="AC58" s="54" t="s">
        <v>31</v>
      </c>
      <c r="AD58" s="130" t="n">
        <f aca="false">VLOOKUP(AC58,MPOSCORING,2, 0)</f>
        <v>0</v>
      </c>
      <c r="AE58" s="51"/>
      <c r="AF58" s="55" t="s">
        <v>46</v>
      </c>
      <c r="AG58" s="109" t="str">
        <f aca="false">IFERROR(__xludf.dummyfunction("IMPORTRANGE(A65,""bc15"")"),"Paul Ulibarri")</f>
        <v>Paul Ulibarri</v>
      </c>
      <c r="AH58" s="57" t="s">
        <v>31</v>
      </c>
      <c r="AI58" s="118" t="n">
        <f aca="false">VLOOKUP(AH58,MPOSCORING,2, 0)</f>
        <v>0</v>
      </c>
      <c r="AJ58" s="51"/>
      <c r="AK58" s="58" t="s">
        <v>46</v>
      </c>
      <c r="AL58" s="110" t="str">
        <f aca="false">IFERROR(__xludf.dummyfunction("IMPORTRANGE(A65,""bk15"")"),"Paul Ulibarri ")</f>
        <v>Paul Ulibarri</v>
      </c>
      <c r="AM58" s="60" t="s">
        <v>31</v>
      </c>
      <c r="AN58" s="119" t="n">
        <f aca="false">VLOOKUP(AM58,MPOSCORING,2, 0)</f>
        <v>0</v>
      </c>
      <c r="AO58" s="51"/>
      <c r="AP58" s="61" t="s">
        <v>55</v>
      </c>
      <c r="AQ58" s="111" t="str">
        <f aca="false">IFERROR(__xludf.dummyfunction("IMPORTRANGE(A65,""bs15"")"),"")</f>
        <v/>
      </c>
      <c r="AR58" s="63" t="s">
        <v>31</v>
      </c>
      <c r="AS58" s="61"/>
      <c r="AT58" s="51"/>
      <c r="AU58" s="64" t="s">
        <v>46</v>
      </c>
      <c r="AV58" s="112" t="str">
        <f aca="false">IFERROR(__xludf.dummyfunction("IMPORTRANGE(A65,""ca15"")"),"Madison Walker ")</f>
        <v>Madison Walker</v>
      </c>
      <c r="AW58" s="66" t="n">
        <v>6</v>
      </c>
      <c r="AX58" s="120" t="n">
        <f aca="false">VLOOKUP(AW58,FPOSCORING,2, 0)</f>
        <v>76</v>
      </c>
      <c r="AY58" s="121"/>
      <c r="AZ58" s="36" t="s">
        <v>46</v>
      </c>
      <c r="BA58" s="139" t="str">
        <f aca="false">IFERROR(__xludf.dummyfunction("IMPORTRANGE(A65,""ci15"")"),"Madison Walker ")</f>
        <v>Madison Walker</v>
      </c>
      <c r="BB58" s="37" t="s">
        <v>31</v>
      </c>
      <c r="BC58" s="122" t="n">
        <f aca="false">VLOOKUP(BB58,MPOSCORING,2, 0)</f>
        <v>0</v>
      </c>
      <c r="BD58" s="121"/>
      <c r="BE58" s="42" t="s">
        <v>46</v>
      </c>
      <c r="BF58" s="114" t="str">
        <f aca="false">IFERROR(__xludf.dummyfunction("IMPORTRANGE(A65,""cq15"")"),"Madison Walker ")</f>
        <v>Madison Walker</v>
      </c>
      <c r="BG58" s="44" t="n">
        <v>7</v>
      </c>
      <c r="BH58" s="115" t="n">
        <f aca="false">VLOOKUP(BG58,MPOSCORING,2, 0)</f>
        <v>89</v>
      </c>
      <c r="BI58" s="121"/>
      <c r="BJ58" s="64" t="s">
        <v>46</v>
      </c>
      <c r="BK58" s="112" t="str">
        <f aca="false">IFERROR(__xludf.dummyfunction("IMPORTRANGE(A65,""cy15"")"),"Ella Hansen ")</f>
        <v>Ella Hansen</v>
      </c>
      <c r="BL58" s="66" t="s">
        <v>31</v>
      </c>
      <c r="BM58" s="120" t="n">
        <f aca="false">VLOOKUP(BL58,MPOSCORING,2, 0)</f>
        <v>0</v>
      </c>
      <c r="BN58" s="121"/>
      <c r="BO58" s="64" t="s">
        <v>46</v>
      </c>
      <c r="BP58" s="112" t="str">
        <f aca="false">IFERROR(__xludf.dummyfunction("IMPORTRANGE(A65,""dg15"")"),"Tim Barham")</f>
        <v>Tim Barham</v>
      </c>
      <c r="BQ58" s="66" t="s">
        <v>31</v>
      </c>
      <c r="BR58" s="120" t="n">
        <f aca="false">VLOOKUP(BQ58,MPOSCORING,2, 0)*2</f>
        <v>0</v>
      </c>
      <c r="BS58" s="124"/>
      <c r="BT58" s="64" t="s">
        <v>46</v>
      </c>
      <c r="BU58" s="112" t="str">
        <f aca="false">IFERROR(__xludf.dummyfunction("IMPORTRANGE(A65,""do15"")"),"Paul Ulibarri ")</f>
        <v>Paul Ulibarri</v>
      </c>
      <c r="BV58" s="66" t="s">
        <v>31</v>
      </c>
      <c r="BW58" s="120" t="n">
        <f aca="false">VLOOKUP(BV58,MPOSCORING,2, 0)</f>
        <v>0</v>
      </c>
      <c r="BX58" s="121"/>
      <c r="BY58" s="64" t="s">
        <v>46</v>
      </c>
      <c r="BZ58" s="112" t="str">
        <f aca="false">IFERROR(__xludf.dummyfunction("IMPORTRANGE(A65,""dw15"")"),"Tim Barham")</f>
        <v>Tim Barham</v>
      </c>
      <c r="CA58" s="66" t="s">
        <v>31</v>
      </c>
      <c r="CB58" s="120" t="n">
        <f aca="false">VLOOKUP(CA58,MPOSCORING,2, 0)</f>
        <v>0</v>
      </c>
      <c r="CC58" s="121"/>
      <c r="CD58" s="64" t="s">
        <v>46</v>
      </c>
      <c r="CE58" s="112" t="str">
        <f aca="false">IFERROR(__xludf.dummyfunction("IMPORTRANGE(A65,""ee15"")"),"Tim Barham")</f>
        <v>Tim Barham</v>
      </c>
      <c r="CF58" s="66" t="s">
        <v>31</v>
      </c>
      <c r="CG58" s="120" t="n">
        <f aca="false">VLOOKUP(CF58,MPOSCORING,3, 0)</f>
        <v>0</v>
      </c>
      <c r="CH58" s="124"/>
    </row>
    <row r="59" customFormat="false" ht="13.85" hidden="true" customHeight="false" outlineLevel="0" collapsed="false">
      <c r="A59" s="16" t="s">
        <v>130</v>
      </c>
      <c r="I59" s="127"/>
      <c r="M59" s="127"/>
      <c r="U59" s="127"/>
      <c r="BS59" s="18"/>
      <c r="CH59" s="18"/>
    </row>
    <row r="60" customFormat="false" ht="15" hidden="false" customHeight="false" outlineLevel="0" collapsed="false">
      <c r="A60" s="144" t="str">
        <f aca="false">IFERROR(__xludf.dummyfunction("IMPORTRANGE(A80,""a1"")"),"Don't Trust a Hokom (Courtney)")</f>
        <v>Don't Trust a Hokom (Courtney)</v>
      </c>
      <c r="B60" s="64" t="s">
        <v>131</v>
      </c>
      <c r="C60" s="64"/>
      <c r="D60" s="64"/>
      <c r="E60" s="64"/>
      <c r="F60" s="36" t="s">
        <v>29</v>
      </c>
      <c r="G60" s="35" t="s">
        <v>132</v>
      </c>
      <c r="H60" s="88" t="n">
        <v>16</v>
      </c>
      <c r="I60" s="38" t="n">
        <f aca="false">VLOOKUP(H60,FPOSCORING,2, 0)</f>
        <v>29</v>
      </c>
      <c r="J60" s="39" t="s">
        <v>29</v>
      </c>
      <c r="K60" s="40" t="str">
        <f aca="false">IFERROR(__xludf.dummyfunction("IMPORTRANGE(A80,""o6"")"),"Sarah Hokom")</f>
        <v>Sarah Hokom</v>
      </c>
      <c r="L60" s="41" t="n">
        <v>12</v>
      </c>
      <c r="M60" s="38" t="n">
        <f aca="false">VLOOKUP(L60,FPOSCORING,2, 0)</f>
        <v>47</v>
      </c>
      <c r="N60" s="42" t="s">
        <v>29</v>
      </c>
      <c r="O60" s="43" t="str">
        <f aca="false">IFERROR(__xludf.dummyfunction("IMPORTRANGE(A80,""W6"")"),"Valerie Mandujano")</f>
        <v>Valerie Mandujano</v>
      </c>
      <c r="P60" s="44" t="n">
        <v>6</v>
      </c>
      <c r="Q60" s="38" t="n">
        <f aca="false">VLOOKUP(P60,FPOSCORING,2, 0)</f>
        <v>76</v>
      </c>
      <c r="R60" s="34" t="s">
        <v>29</v>
      </c>
      <c r="S60" s="45" t="str">
        <f aca="false">IFERROR(__xludf.dummyfunction("IMPORTRANGE(A80,""AE6"")"),"Sarah Hokom")</f>
        <v>Sarah Hokom</v>
      </c>
      <c r="T60" s="46" t="n">
        <v>12</v>
      </c>
      <c r="U60" s="47" t="n">
        <f aca="false">VLOOKUP(T60,FPOSCORING,2, 0)</f>
        <v>47</v>
      </c>
      <c r="V60" s="48" t="s">
        <v>29</v>
      </c>
      <c r="W60" s="49" t="str">
        <f aca="false">IFERROR(__xludf.dummyfunction("IMPORTRANGE(A80,""Am6"")"),"Valerie Mandujano")</f>
        <v>Valerie Mandujano</v>
      </c>
      <c r="X60" s="50" t="n">
        <v>7</v>
      </c>
      <c r="Y60" s="129" t="n">
        <f aca="false">VLOOKUP(X60,FPOSCORING,2, 0)</f>
        <v>71</v>
      </c>
      <c r="Z60" s="51"/>
      <c r="AA60" s="52" t="s">
        <v>29</v>
      </c>
      <c r="AB60" s="53" t="str">
        <f aca="false">IFERROR(__xludf.dummyfunction("IMPORTRANGE(A80,""Au6"")"),"Valerie Mandujano")</f>
        <v>Valerie Mandujano</v>
      </c>
      <c r="AC60" s="54" t="n">
        <v>12</v>
      </c>
      <c r="AD60" s="130" t="n">
        <f aca="false">VLOOKUP(AC60,FPOSCORING,2, 0)</f>
        <v>47</v>
      </c>
      <c r="AE60" s="51"/>
      <c r="AF60" s="55" t="s">
        <v>29</v>
      </c>
      <c r="AG60" s="56" t="str">
        <f aca="false">IFERROR(__xludf.dummyfunction("IMPORTRANGE(A80,""bc6"")"),"Valerie Mandujano")</f>
        <v>Valerie Mandujano</v>
      </c>
      <c r="AH60" s="57" t="n">
        <v>1</v>
      </c>
      <c r="AI60" s="131" t="n">
        <f aca="false">VLOOKUP(AH60,FPOSCORING,2, 0)</f>
        <v>100</v>
      </c>
      <c r="AJ60" s="51"/>
      <c r="AK60" s="58" t="s">
        <v>29</v>
      </c>
      <c r="AL60" s="59" t="str">
        <f aca="false">IFERROR(__xludf.dummyfunction("IMPORTRANGE(A80,""bk6"")"),"Valerie Mandujano")</f>
        <v>Valerie Mandujano</v>
      </c>
      <c r="AM60" s="60" t="n">
        <v>13</v>
      </c>
      <c r="AN60" s="132" t="n">
        <f aca="false">VLOOKUP(AM60,FPOSCORING,2, 0)</f>
        <v>42</v>
      </c>
      <c r="AO60" s="51"/>
      <c r="AP60" s="61" t="s">
        <v>29</v>
      </c>
      <c r="AQ60" s="62" t="str">
        <f aca="false">IFERROR(__xludf.dummyfunction("IMPORTRANGE(A80,""bs6"")"),"Valerie Mandujano")</f>
        <v>Valerie Mandujano</v>
      </c>
      <c r="AR60" s="63" t="n">
        <v>2</v>
      </c>
      <c r="AS60" s="133" t="n">
        <f aca="false">VLOOKUP(AR60,MPOSCORING,2, 0)</f>
        <v>98</v>
      </c>
      <c r="AT60" s="51"/>
      <c r="AU60" s="64" t="s">
        <v>29</v>
      </c>
      <c r="AV60" s="65" t="str">
        <f aca="false">IFERROR(__xludf.dummyfunction("IMPORTRANGE(A80,""ca6"")"),"Valerie Mandujano")</f>
        <v>Valerie Mandujano</v>
      </c>
      <c r="AW60" s="66" t="n">
        <v>17</v>
      </c>
      <c r="AX60" s="134" t="n">
        <f aca="false">VLOOKUP(AW60,FPOSCORING,2, 0)</f>
        <v>24</v>
      </c>
      <c r="AY60" s="32"/>
      <c r="AZ60" s="36" t="s">
        <v>29</v>
      </c>
      <c r="BA60" s="67" t="str">
        <f aca="false">IFERROR(__xludf.dummyfunction("IMPORTRANGE(A80,""ci6"")"),"Valerie Mandujano")</f>
        <v>Valerie Mandujano</v>
      </c>
      <c r="BB60" s="37" t="n">
        <v>4</v>
      </c>
      <c r="BC60" s="135" t="n">
        <f aca="false">VLOOKUP(BB60,FPOSCORING,2, 0)</f>
        <v>86</v>
      </c>
      <c r="BD60" s="32"/>
      <c r="BE60" s="42" t="s">
        <v>29</v>
      </c>
      <c r="BF60" s="68" t="str">
        <f aca="false">IFERROR(__xludf.dummyfunction("IMPORTRANGE(A80,""cq6"")"),"Valerie Mandujano")</f>
        <v>Valerie Mandujano</v>
      </c>
      <c r="BG60" s="44" t="n">
        <v>16</v>
      </c>
      <c r="BH60" s="136" t="n">
        <f aca="false">VLOOKUP(BG60,FPOSCORING,2, 0)</f>
        <v>29</v>
      </c>
      <c r="BI60" s="32"/>
      <c r="BJ60" s="64" t="s">
        <v>29</v>
      </c>
      <c r="BK60" s="65" t="str">
        <f aca="false">IFERROR(__xludf.dummyfunction("IMPORTRANGE(A80,""cy6"")"),"Valerie Mandujano")</f>
        <v>Valerie Mandujano</v>
      </c>
      <c r="BL60" s="66" t="n">
        <v>11</v>
      </c>
      <c r="BM60" s="134" t="n">
        <f aca="false">VLOOKUP(BL60,FPOSCORING,2, 0)</f>
        <v>52</v>
      </c>
      <c r="BN60" s="32"/>
      <c r="BO60" s="64" t="s">
        <v>29</v>
      </c>
      <c r="BP60" s="65" t="str">
        <f aca="false">IFERROR(__xludf.dummyfunction("IMPORTRANGE(A80,""dg6"")"),"Valerie Mandujano")</f>
        <v>Valerie Mandujano</v>
      </c>
      <c r="BQ60" s="66" t="n">
        <v>9</v>
      </c>
      <c r="BR60" s="134" t="n">
        <f aca="false">VLOOKUP(BQ60,FPOSCORING,3, 0)</f>
        <v>124</v>
      </c>
      <c r="BS60" s="33"/>
      <c r="BT60" s="64" t="s">
        <v>29</v>
      </c>
      <c r="BU60" s="65" t="str">
        <f aca="false">IFERROR(__xludf.dummyfunction("IMPORTRANGE(A80,""do6"")"),"Valerie Mandujano")</f>
        <v>Valerie Mandujano</v>
      </c>
      <c r="BV60" s="66" t="n">
        <v>5</v>
      </c>
      <c r="BW60" s="134" t="n">
        <f aca="false">VLOOKUP(BV60,FPOSCORING,2, 0)</f>
        <v>82</v>
      </c>
      <c r="BX60" s="32"/>
      <c r="BY60" s="64" t="s">
        <v>29</v>
      </c>
      <c r="BZ60" s="65" t="str">
        <f aca="false">IFERROR(__xludf.dummyfunction("IMPORTRANGE(A80,""dw6"")"),"Valerie Mandujano")</f>
        <v>Valerie Mandujano</v>
      </c>
      <c r="CA60" s="66" t="n">
        <v>11</v>
      </c>
      <c r="CB60" s="134" t="n">
        <f aca="false">VLOOKUP(CA60,FPOSCORING,2, 0)</f>
        <v>52</v>
      </c>
      <c r="CC60" s="32"/>
      <c r="CD60" s="64" t="s">
        <v>29</v>
      </c>
      <c r="CE60" s="65"/>
      <c r="CF60" s="66" t="s">
        <v>31</v>
      </c>
      <c r="CG60" s="134" t="n">
        <f aca="false">VLOOKUP(CF60,FPOSCORING,3, 0)</f>
        <v>0</v>
      </c>
      <c r="CH60" s="33"/>
    </row>
    <row r="61" customFormat="false" ht="15" hidden="false" customHeight="false" outlineLevel="0" collapsed="false">
      <c r="A61" s="144" t="str">
        <f aca="false">IFERROR(__xludf.dummyfunction("IMPORTRANGE(A80,""a1"")"),"Don't Trust a Hokom (Courtney)")</f>
        <v>Don't Trust a Hokom (Courtney)</v>
      </c>
      <c r="B61" s="64" t="s">
        <v>133</v>
      </c>
      <c r="C61" s="64"/>
      <c r="D61" s="64"/>
      <c r="E61" s="64"/>
      <c r="F61" s="36" t="s">
        <v>34</v>
      </c>
      <c r="G61" s="67" t="s">
        <v>134</v>
      </c>
      <c r="H61" s="69" t="n">
        <v>1</v>
      </c>
      <c r="I61" s="38" t="n">
        <f aca="false">VLOOKUP(H61,FPOSCORING,2, 0)</f>
        <v>100</v>
      </c>
      <c r="J61" s="39" t="s">
        <v>34</v>
      </c>
      <c r="K61" s="70" t="str">
        <f aca="false">IFERROR(__xludf.dummyfunction("IMPORTRANGE(A80,""o7"")"),"Valerie Mandujano")</f>
        <v>Valerie Mandujano</v>
      </c>
      <c r="L61" s="71" t="n">
        <v>4</v>
      </c>
      <c r="M61" s="38" t="n">
        <f aca="false">VLOOKUP(L61,FPOSCORING,2, 0)</f>
        <v>86</v>
      </c>
      <c r="N61" s="42" t="s">
        <v>34</v>
      </c>
      <c r="O61" s="43" t="str">
        <f aca="false">IFERROR(__xludf.dummyfunction("IMPORTRANGE(A80,""W7"")"),"Sarah Hokom")</f>
        <v>Sarah Hokom</v>
      </c>
      <c r="P61" s="72" t="n">
        <v>3</v>
      </c>
      <c r="Q61" s="38" t="n">
        <f aca="false">VLOOKUP(P61,FPOSCORING,2, 0)</f>
        <v>91</v>
      </c>
      <c r="R61" s="34" t="s">
        <v>34</v>
      </c>
      <c r="S61" s="73" t="str">
        <f aca="false">IFERROR(__xludf.dummyfunction("IMPORTRANGE(A80,""AE7"")"),"Valerie Mandujano")</f>
        <v>Valerie Mandujano</v>
      </c>
      <c r="T61" s="74" t="n">
        <v>7</v>
      </c>
      <c r="U61" s="47" t="n">
        <f aca="false">VLOOKUP(T61,FPOSCORING,2, 0)</f>
        <v>71</v>
      </c>
      <c r="V61" s="48" t="s">
        <v>34</v>
      </c>
      <c r="W61" s="75" t="str">
        <f aca="false">IFERROR(__xludf.dummyfunction("IMPORTRANGE(A80,""Am7"")"),"keiti Tatte")</f>
        <v>keiti Tatte</v>
      </c>
      <c r="X61" s="76" t="n">
        <v>27</v>
      </c>
      <c r="Y61" s="129" t="n">
        <f aca="false">VLOOKUP(X61,FPOSCORING,2, 0)</f>
        <v>0</v>
      </c>
      <c r="Z61" s="51"/>
      <c r="AA61" s="52" t="s">
        <v>34</v>
      </c>
      <c r="AB61" s="77" t="str">
        <f aca="false">IFERROR(__xludf.dummyfunction("IMPORTRANGE(A80,""Au7"")"),"Sarah Hokum")</f>
        <v>Sarah Hokum</v>
      </c>
      <c r="AC61" s="78" t="n">
        <v>14</v>
      </c>
      <c r="AD61" s="130" t="n">
        <f aca="false">VLOOKUP(AC61,FPOSCORING,2, 0)</f>
        <v>38</v>
      </c>
      <c r="AE61" s="51"/>
      <c r="AF61" s="55" t="s">
        <v>34</v>
      </c>
      <c r="AG61" s="79" t="str">
        <f aca="false">IFERROR(__xludf.dummyfunction("IMPORTRANGE(A80,""bc7"")"),"Sarah Hokum")</f>
        <v>Sarah Hokum</v>
      </c>
      <c r="AH61" s="80" t="n">
        <v>14</v>
      </c>
      <c r="AI61" s="131" t="n">
        <f aca="false">VLOOKUP(AH61,FPOSCORING,2, 0)</f>
        <v>38</v>
      </c>
      <c r="AJ61" s="51"/>
      <c r="AK61" s="58" t="s">
        <v>34</v>
      </c>
      <c r="AL61" s="81" t="str">
        <f aca="false">IFERROR(__xludf.dummyfunction("IMPORTRANGE(A80,""bk7"")"),"keiti Tatte")</f>
        <v>keiti Tatte</v>
      </c>
      <c r="AM61" s="82" t="n">
        <v>21</v>
      </c>
      <c r="AN61" s="132" t="n">
        <f aca="false">VLOOKUP(AM61,FPOSCORING,2, 0)</f>
        <v>9</v>
      </c>
      <c r="AO61" s="51"/>
      <c r="AP61" s="61" t="s">
        <v>34</v>
      </c>
      <c r="AQ61" s="83" t="str">
        <f aca="false">IFERROR(__xludf.dummyfunction("IMPORTRANGE(A80,""bs7"")"),"Sarah Hokum")</f>
        <v>Sarah Hokum</v>
      </c>
      <c r="AR61" s="84" t="n">
        <v>20</v>
      </c>
      <c r="AS61" s="133" t="n">
        <f aca="false">VLOOKUP(AR61,MPOSCORING,2, 0)</f>
        <v>66</v>
      </c>
      <c r="AT61" s="51"/>
      <c r="AU61" s="64" t="s">
        <v>34</v>
      </c>
      <c r="AV61" s="85" t="str">
        <f aca="false">IFERROR(__xludf.dummyfunction("IMPORTRANGE(A80,""ca7"")"),"keiti Tatte")</f>
        <v>keiti Tatte</v>
      </c>
      <c r="AW61" s="86" t="n">
        <v>21</v>
      </c>
      <c r="AX61" s="134" t="n">
        <f aca="false">VLOOKUP(AW61,FPOSCORING,2, 0)</f>
        <v>9</v>
      </c>
      <c r="AY61" s="32"/>
      <c r="AZ61" s="36" t="s">
        <v>34</v>
      </c>
      <c r="BA61" s="35" t="str">
        <f aca="false">IFERROR(__xludf.dummyfunction("IMPORTRANGE(A80,""ci7"")"),"keiti Tatte")</f>
        <v>keiti Tatte</v>
      </c>
      <c r="BB61" s="69" t="s">
        <v>31</v>
      </c>
      <c r="BC61" s="135" t="n">
        <f aca="false">VLOOKUP(BB61,FPOSCORING,2, 0)</f>
        <v>0</v>
      </c>
      <c r="BD61" s="32"/>
      <c r="BE61" s="42" t="s">
        <v>34</v>
      </c>
      <c r="BF61" s="43" t="str">
        <f aca="false">IFERROR(__xludf.dummyfunction("IMPORTRANGE(A80,""cq7"")"),"keiti Tatte")</f>
        <v>keiti Tatte</v>
      </c>
      <c r="BG61" s="72" t="n">
        <v>9</v>
      </c>
      <c r="BH61" s="136" t="n">
        <f aca="false">VLOOKUP(BG61,FPOSCORING,2, 0)</f>
        <v>62</v>
      </c>
      <c r="BI61" s="32"/>
      <c r="BJ61" s="64" t="s">
        <v>34</v>
      </c>
      <c r="BK61" s="85" t="str">
        <f aca="false">IFERROR(__xludf.dummyfunction("IMPORTRANGE(A80,""cy7"")"),"keiti Tatte")</f>
        <v>keiti Tatte</v>
      </c>
      <c r="BL61" s="86" t="n">
        <v>46</v>
      </c>
      <c r="BM61" s="134" t="n">
        <f aca="false">VLOOKUP(BL61,FPOSCORING,2, 0)</f>
        <v>0</v>
      </c>
      <c r="BN61" s="32"/>
      <c r="BO61" s="64" t="s">
        <v>34</v>
      </c>
      <c r="BP61" s="85" t="str">
        <f aca="false">IFERROR(__xludf.dummyfunction("IMPORTRANGE(A80,""dg7"")"),"keiti Tatte")</f>
        <v>keiti Tatte</v>
      </c>
      <c r="BQ61" s="86" t="n">
        <v>48</v>
      </c>
      <c r="BR61" s="134" t="n">
        <f aca="false">VLOOKUP(BQ61,FPOSCORING,3, 0)</f>
        <v>0</v>
      </c>
      <c r="BS61" s="33"/>
      <c r="BT61" s="64" t="s">
        <v>34</v>
      </c>
      <c r="BU61" s="85" t="str">
        <f aca="false">IFERROR(__xludf.dummyfunction("IMPORTRANGE(A80,""do7"")"),"keiti Tatte")</f>
        <v>keiti Tatte</v>
      </c>
      <c r="BV61" s="86" t="n">
        <v>9</v>
      </c>
      <c r="BW61" s="134" t="n">
        <f aca="false">VLOOKUP(BV61,FPOSCORING,2, 0)</f>
        <v>62</v>
      </c>
      <c r="BX61" s="32"/>
      <c r="BY61" s="64" t="s">
        <v>34</v>
      </c>
      <c r="BZ61" s="85" t="str">
        <f aca="false">IFERROR(__xludf.dummyfunction("IMPORTRANGE(A80,""dw7"")"),"keiti Tatte")</f>
        <v>keiti Tatte</v>
      </c>
      <c r="CA61" s="86" t="n">
        <v>30</v>
      </c>
      <c r="CB61" s="134" t="n">
        <f aca="false">VLOOKUP(CA61,FPOSCORING,2, 0)</f>
        <v>0</v>
      </c>
      <c r="CC61" s="32"/>
      <c r="CD61" s="64" t="s">
        <v>34</v>
      </c>
      <c r="CE61" s="85"/>
      <c r="CF61" s="86" t="s">
        <v>31</v>
      </c>
      <c r="CG61" s="134" t="n">
        <f aca="false">VLOOKUP(CF61,FPOSCORING,3, 0)</f>
        <v>0</v>
      </c>
      <c r="CH61" s="33"/>
    </row>
    <row r="62" customFormat="false" ht="15" hidden="false" customHeight="false" outlineLevel="0" collapsed="false">
      <c r="A62" s="144" t="str">
        <f aca="false">IFERROR(__xludf.dummyfunction("IMPORTRANGE(A80,""a1"")"),"Don't Trust a Hokom (Courtney)")</f>
        <v>Don't Trust a Hokom (Courtney)</v>
      </c>
      <c r="B62" s="64" t="s">
        <v>135</v>
      </c>
      <c r="C62" s="64"/>
      <c r="D62" s="64"/>
      <c r="E62" s="64"/>
      <c r="F62" s="36" t="s">
        <v>36</v>
      </c>
      <c r="G62" s="87" t="s">
        <v>136</v>
      </c>
      <c r="H62" s="88" t="n">
        <v>77</v>
      </c>
      <c r="I62" s="136" t="n">
        <f aca="false">VLOOKUP(H62,MPOSCORING,2, 0)</f>
        <v>0</v>
      </c>
      <c r="J62" s="39" t="s">
        <v>36</v>
      </c>
      <c r="K62" s="137" t="str">
        <f aca="false">IFERROR(__xludf.dummyfunction("IMPORTRANGE(A80,""o8"")"),"Adam Hammes")</f>
        <v>Adam Hammes</v>
      </c>
      <c r="L62" s="89" t="n">
        <v>50</v>
      </c>
      <c r="M62" s="136" t="n">
        <f aca="false">VLOOKUP(L62,MPOSCORING,2, 0)</f>
        <v>11</v>
      </c>
      <c r="N62" s="42" t="s">
        <v>36</v>
      </c>
      <c r="O62" s="43" t="str">
        <f aca="false">IFERROR(__xludf.dummyfunction("IMPORTRANGE(A80,""W8"")"),"Adam Hammes")</f>
        <v>Adam Hammes</v>
      </c>
      <c r="P62" s="38" t="n">
        <v>88</v>
      </c>
      <c r="Q62" s="136" t="n">
        <f aca="false">VLOOKUP(P62,MPOSCORING,2, 0)</f>
        <v>0</v>
      </c>
      <c r="R62" s="34" t="s">
        <v>36</v>
      </c>
      <c r="S62" s="90" t="str">
        <f aca="false">IFERROR(__xludf.dummyfunction("IMPORTRANGE(A80,""AE8"")"),"Adam Hammes")</f>
        <v>Adam Hammes</v>
      </c>
      <c r="T62" s="47" t="n">
        <v>25</v>
      </c>
      <c r="U62" s="138" t="n">
        <f aca="false">VLOOKUP(T62,MPOSCORING,2, 0)</f>
        <v>57</v>
      </c>
      <c r="V62" s="48" t="s">
        <v>36</v>
      </c>
      <c r="W62" s="91" t="str">
        <f aca="false">IFERROR(__xludf.dummyfunction("IMPORTRANGE(A80,""Am8"")"),"Vaino Makela")</f>
        <v>Vaino Makela</v>
      </c>
      <c r="X62" s="92" t="n">
        <v>3</v>
      </c>
      <c r="Y62" s="129" t="n">
        <f aca="false">VLOOKUP(X62,MPOSCORING,2, 0)</f>
        <v>96</v>
      </c>
      <c r="Z62" s="51"/>
      <c r="AA62" s="52" t="s">
        <v>36</v>
      </c>
      <c r="AB62" s="93" t="str">
        <f aca="false">IFERROR(__xludf.dummyfunction("IMPORTRANGE(A80,""Au8"")"),"Vaino Makela")</f>
        <v>Vaino Makela</v>
      </c>
      <c r="AC62" s="94" t="n">
        <v>23</v>
      </c>
      <c r="AD62" s="130" t="n">
        <f aca="false">VLOOKUP(AC62,MPOSCORING,2, 0)</f>
        <v>60</v>
      </c>
      <c r="AE62" s="51"/>
      <c r="AF62" s="55" t="s">
        <v>36</v>
      </c>
      <c r="AG62" s="95" t="str">
        <f aca="false">IFERROR(__xludf.dummyfunction("IMPORTRANGE(A80,""bc8"")"),"Joel Freeman")</f>
        <v>Joel Freeman</v>
      </c>
      <c r="AH62" s="96" t="n">
        <v>9</v>
      </c>
      <c r="AI62" s="131" t="n">
        <f aca="false">VLOOKUP(AH62,MPOSCORING,2, 0)</f>
        <v>85</v>
      </c>
      <c r="AJ62" s="51"/>
      <c r="AK62" s="58" t="s">
        <v>36</v>
      </c>
      <c r="AL62" s="97" t="str">
        <f aca="false">IFERROR(__xludf.dummyfunction("IMPORTRANGE(A80,""bk8"")"),"Adam Hammes")</f>
        <v>Adam Hammes</v>
      </c>
      <c r="AM62" s="98" t="n">
        <v>6</v>
      </c>
      <c r="AN62" s="132" t="n">
        <f aca="false">VLOOKUP(AM62,MPOSCORING,2, 0)</f>
        <v>91</v>
      </c>
      <c r="AO62" s="51"/>
      <c r="AP62" s="61" t="s">
        <v>37</v>
      </c>
      <c r="AQ62" s="99" t="str">
        <f aca="false">IFERROR(__xludf.dummyfunction("IMPORTRANGE(A80,""bs8"")"),"keiti Tatte")</f>
        <v>keiti Tatte</v>
      </c>
      <c r="AR62" s="100" t="n">
        <v>14</v>
      </c>
      <c r="AS62" s="133" t="n">
        <f aca="false">VLOOKUP(AR62,MPOSCORING,2, 0)</f>
        <v>76</v>
      </c>
      <c r="AT62" s="51"/>
      <c r="AU62" s="64" t="s">
        <v>36</v>
      </c>
      <c r="AV62" s="101" t="str">
        <f aca="false">IFERROR(__xludf.dummyfunction("IMPORTRANGE(A80,""ca8"")"),"Joel Freeman")</f>
        <v>Joel Freeman</v>
      </c>
      <c r="AW62" s="102" t="n">
        <v>34</v>
      </c>
      <c r="AX62" s="134" t="n">
        <f aca="false">VLOOKUP(AW62,MPOSCORING,2, 0)</f>
        <v>40</v>
      </c>
      <c r="AY62" s="32"/>
      <c r="AZ62" s="36" t="s">
        <v>36</v>
      </c>
      <c r="BA62" s="87" t="str">
        <f aca="false">IFERROR(__xludf.dummyfunction("IMPORTRANGE(A80,""ci8"")"),"Joel Freeman")</f>
        <v>Joel Freeman</v>
      </c>
      <c r="BB62" s="88" t="n">
        <v>38</v>
      </c>
      <c r="BC62" s="135" t="n">
        <f aca="false">VLOOKUP(BB62,MPOSCORING,2, 0)</f>
        <v>32</v>
      </c>
      <c r="BD62" s="32"/>
      <c r="BE62" s="42" t="s">
        <v>36</v>
      </c>
      <c r="BF62" s="103" t="str">
        <f aca="false">IFERROR(__xludf.dummyfunction("IMPORTRANGE(A80,""cq8"")"),"Joel Freeman")</f>
        <v>Joel Freeman</v>
      </c>
      <c r="BG62" s="38" t="n">
        <v>12</v>
      </c>
      <c r="BH62" s="136" t="n">
        <f aca="false">VLOOKUP(BG62,MPOSCORING,2, 0)</f>
        <v>80</v>
      </c>
      <c r="BI62" s="32"/>
      <c r="BJ62" s="64" t="s">
        <v>36</v>
      </c>
      <c r="BK62" s="101" t="str">
        <f aca="false">IFERROR(__xludf.dummyfunction("IMPORTRANGE(A80,""cy8"")"),"Joel Freeman")</f>
        <v>Joel Freeman</v>
      </c>
      <c r="BL62" s="102" t="n">
        <v>3</v>
      </c>
      <c r="BM62" s="134" t="n">
        <f aca="false">VLOOKUP(BL62,MPOSCORING,2, 0)</f>
        <v>96</v>
      </c>
      <c r="BN62" s="32"/>
      <c r="BO62" s="64" t="s">
        <v>36</v>
      </c>
      <c r="BP62" s="101" t="str">
        <f aca="false">IFERROR(__xludf.dummyfunction("IMPORTRANGE(A80,""dg8"")"),"Joel Freeman")</f>
        <v>Joel Freeman</v>
      </c>
      <c r="BQ62" s="102" t="n">
        <v>7</v>
      </c>
      <c r="BR62" s="134" t="n">
        <f aca="false">VLOOKUP(BQ62,MPOSCORING,3, 0)</f>
        <v>178</v>
      </c>
      <c r="BS62" s="33"/>
      <c r="BT62" s="64" t="s">
        <v>36</v>
      </c>
      <c r="BU62" s="101" t="str">
        <f aca="false">IFERROR(__xludf.dummyfunction("IMPORTRANGE(A80,""do8"")"),"Joel Freeman")</f>
        <v>Joel Freeman</v>
      </c>
      <c r="BV62" s="102" t="n">
        <v>28</v>
      </c>
      <c r="BW62" s="134" t="n">
        <f aca="false">VLOOKUP(BV62,MPOSCORING,2, 0)</f>
        <v>51</v>
      </c>
      <c r="BX62" s="32"/>
      <c r="BY62" s="64" t="s">
        <v>36</v>
      </c>
      <c r="BZ62" s="101" t="str">
        <f aca="false">IFERROR(__xludf.dummyfunction("IMPORTRANGE(A80,""dw8"")"),"Joel Freeman")</f>
        <v>Joel Freeman</v>
      </c>
      <c r="CA62" s="102" t="n">
        <v>11</v>
      </c>
      <c r="CB62" s="134" t="n">
        <f aca="false">VLOOKUP(CA62,MPOSCORING,2, 0)</f>
        <v>82</v>
      </c>
      <c r="CC62" s="32"/>
      <c r="CD62" s="64" t="s">
        <v>36</v>
      </c>
      <c r="CE62" s="101"/>
      <c r="CF62" s="102" t="s">
        <v>31</v>
      </c>
      <c r="CG62" s="134" t="n">
        <f aca="false">VLOOKUP(CF62,MPOSCORING,3, 0)</f>
        <v>0</v>
      </c>
      <c r="CH62" s="33"/>
    </row>
    <row r="63" customFormat="false" ht="15" hidden="false" customHeight="false" outlineLevel="0" collapsed="false">
      <c r="A63" s="144" t="str">
        <f aca="false">IFERROR(__xludf.dummyfunction("IMPORTRANGE(A80,""a1"")"),"Don't Trust a Hokom (Courtney)")</f>
        <v>Don't Trust a Hokom (Courtney)</v>
      </c>
      <c r="B63" s="64" t="s">
        <v>137</v>
      </c>
      <c r="C63" s="64"/>
      <c r="D63" s="64"/>
      <c r="E63" s="64"/>
      <c r="F63" s="36" t="s">
        <v>39</v>
      </c>
      <c r="G63" s="139" t="s">
        <v>138</v>
      </c>
      <c r="H63" s="88" t="n">
        <v>21</v>
      </c>
      <c r="I63" s="136" t="n">
        <f aca="false">VLOOKUP(H63,MPOSCORING,2, 0)</f>
        <v>64</v>
      </c>
      <c r="J63" s="39" t="s">
        <v>39</v>
      </c>
      <c r="K63" s="105" t="str">
        <f aca="false">IFERROR(__xludf.dummyfunction("IMPORTRANGE(A80,""o9"")"),"Linus Carlsson")</f>
        <v>Linus Carlsson</v>
      </c>
      <c r="L63" s="41" t="n">
        <v>61</v>
      </c>
      <c r="M63" s="136" t="n">
        <f aca="false">VLOOKUP(L63,MPOSCORING,2, 0)</f>
        <v>0</v>
      </c>
      <c r="N63" s="42" t="s">
        <v>39</v>
      </c>
      <c r="O63" s="43" t="str">
        <f aca="false">IFERROR(__xludf.dummyfunction("IMPORTRANGE(A80,""w9"")"),"Joel Freeman")</f>
        <v>Joel Freeman</v>
      </c>
      <c r="P63" s="44" t="n">
        <v>14</v>
      </c>
      <c r="Q63" s="136" t="n">
        <f aca="false">VLOOKUP(P63,MPOSCORING,2, 0)</f>
        <v>76</v>
      </c>
      <c r="R63" s="34" t="s">
        <v>39</v>
      </c>
      <c r="S63" s="106" t="str">
        <f aca="false">IFERROR(__xludf.dummyfunction("IMPORTRANGE(A80,""AE9"")"),"Vaino Makela")</f>
        <v>Vaino Makela</v>
      </c>
      <c r="T63" s="46" t="n">
        <v>43</v>
      </c>
      <c r="U63" s="138" t="n">
        <f aca="false">VLOOKUP(T63,MPOSCORING,2, 0)</f>
        <v>23</v>
      </c>
      <c r="V63" s="48" t="s">
        <v>39</v>
      </c>
      <c r="W63" s="107" t="str">
        <f aca="false">IFERROR(__xludf.dummyfunction("IMPORTRANGE(A80,""Am9"")"),"Joel Freeman")</f>
        <v>Joel Freeman</v>
      </c>
      <c r="X63" s="50" t="n">
        <v>26</v>
      </c>
      <c r="Y63" s="129" t="n">
        <f aca="false">VLOOKUP(X63,MPOSCORING,2, 0)</f>
        <v>55</v>
      </c>
      <c r="Z63" s="51"/>
      <c r="AA63" s="52" t="s">
        <v>39</v>
      </c>
      <c r="AB63" s="108" t="str">
        <f aca="false">IFERROR(__xludf.dummyfunction("IMPORTRANGE(A80,""Au9"")"),"Joel Freeman")</f>
        <v>Joel Freeman</v>
      </c>
      <c r="AC63" s="54" t="n">
        <v>8</v>
      </c>
      <c r="AD63" s="130" t="n">
        <f aca="false">VLOOKUP(AC63,MPOSCORING,2, 0)</f>
        <v>87</v>
      </c>
      <c r="AE63" s="51"/>
      <c r="AF63" s="55" t="s">
        <v>39</v>
      </c>
      <c r="AG63" s="109" t="str">
        <f aca="false">IFERROR(__xludf.dummyfunction("IMPORTRANGE(A80,""bc9"")"),"Adam Hammes")</f>
        <v>Adam Hammes</v>
      </c>
      <c r="AH63" s="57" t="n">
        <v>5</v>
      </c>
      <c r="AI63" s="131" t="n">
        <f aca="false">VLOOKUP(AH63,MPOSCORING,2, 0)</f>
        <v>93</v>
      </c>
      <c r="AJ63" s="51"/>
      <c r="AK63" s="58" t="s">
        <v>39</v>
      </c>
      <c r="AL63" s="110" t="str">
        <f aca="false">IFERROR(__xludf.dummyfunction("IMPORTRANGE(A80,""bk9"")"),"Tristan Tanner")</f>
        <v>Tristan Tanner</v>
      </c>
      <c r="AM63" s="60" t="n">
        <v>80</v>
      </c>
      <c r="AN63" s="132" t="n">
        <f aca="false">VLOOKUP(AM63,MPOSCORING,2, 0)</f>
        <v>0</v>
      </c>
      <c r="AO63" s="51"/>
      <c r="AP63" s="61" t="s">
        <v>40</v>
      </c>
      <c r="AQ63" s="111" t="str">
        <f aca="false">IFERROR(__xludf.dummyfunction("IMPORTRANGE(A80,""bs9"")"),"")</f>
        <v/>
      </c>
      <c r="AR63" s="63" t="s">
        <v>31</v>
      </c>
      <c r="AS63" s="133" t="n">
        <f aca="false">VLOOKUP(AR63,MPOSCORING,2, 0)</f>
        <v>0</v>
      </c>
      <c r="AT63" s="51"/>
      <c r="AU63" s="64" t="s">
        <v>39</v>
      </c>
      <c r="AV63" s="112" t="str">
        <f aca="false">IFERROR(__xludf.dummyfunction("IMPORTRANGE(A80,""ca9"")"),"Adam Hammes")</f>
        <v>Adam Hammes</v>
      </c>
      <c r="AW63" s="66" t="n">
        <v>9</v>
      </c>
      <c r="AX63" s="134" t="n">
        <f aca="false">VLOOKUP(AW63,MPOSCORING,2, 0)</f>
        <v>85</v>
      </c>
      <c r="AY63" s="32"/>
      <c r="AZ63" s="36" t="s">
        <v>39</v>
      </c>
      <c r="BA63" s="139" t="str">
        <f aca="false">IFERROR(__xludf.dummyfunction("IMPORTRANGE(A80,""ci9"")"),"Adam Hammes")</f>
        <v>Adam Hammes</v>
      </c>
      <c r="BB63" s="37" t="n">
        <v>4</v>
      </c>
      <c r="BC63" s="135" t="n">
        <f aca="false">VLOOKUP(BB63,MPOSCORING,2, 0)</f>
        <v>94</v>
      </c>
      <c r="BD63" s="32"/>
      <c r="BE63" s="42" t="s">
        <v>39</v>
      </c>
      <c r="BF63" s="114" t="str">
        <f aca="false">IFERROR(__xludf.dummyfunction("IMPORTRANGE(A80,""cq9"")"),"Adam Hammes")</f>
        <v>Adam Hammes</v>
      </c>
      <c r="BG63" s="44" t="n">
        <v>65</v>
      </c>
      <c r="BH63" s="136" t="n">
        <f aca="false">VLOOKUP(BG63,MPOSCORING,2, 0)</f>
        <v>0</v>
      </c>
      <c r="BI63" s="32"/>
      <c r="BJ63" s="64" t="s">
        <v>39</v>
      </c>
      <c r="BK63" s="112" t="str">
        <f aca="false">IFERROR(__xludf.dummyfunction("IMPORTRANGE(A80,""cy9"")"),"Adam Hammes")</f>
        <v>Adam Hammes</v>
      </c>
      <c r="BL63" s="66" t="n">
        <v>44</v>
      </c>
      <c r="BM63" s="134" t="n">
        <f aca="false">VLOOKUP(BL63,MPOSCORING,2, 0)</f>
        <v>21</v>
      </c>
      <c r="BN63" s="32"/>
      <c r="BO63" s="64" t="s">
        <v>39</v>
      </c>
      <c r="BP63" s="112" t="str">
        <f aca="false">IFERROR(__xludf.dummyfunction("IMPORTRANGE(A80,""dg9"")"),"Adam Hammes")</f>
        <v>Adam Hammes</v>
      </c>
      <c r="BQ63" s="66" t="n">
        <v>41</v>
      </c>
      <c r="BR63" s="134" t="n">
        <f aca="false">VLOOKUP(BQ63,MPOSCORING,3, 0)</f>
        <v>54</v>
      </c>
      <c r="BS63" s="33"/>
      <c r="BT63" s="64" t="s">
        <v>39</v>
      </c>
      <c r="BU63" s="112" t="str">
        <f aca="false">IFERROR(__xludf.dummyfunction("IMPORTRANGE(A80,""do9"")"),"Adam Hammes")</f>
        <v>Adam Hammes</v>
      </c>
      <c r="BV63" s="66" t="n">
        <v>8</v>
      </c>
      <c r="BW63" s="134" t="n">
        <f aca="false">VLOOKUP(BV63,MPOSCORING,2, 0)</f>
        <v>87</v>
      </c>
      <c r="BX63" s="32"/>
      <c r="BY63" s="64" t="s">
        <v>39</v>
      </c>
      <c r="BZ63" s="112" t="str">
        <f aca="false">IFERROR(__xludf.dummyfunction("IMPORTRANGE(A80,""dw9"")"),"Adam Hammes")</f>
        <v>Adam Hammes</v>
      </c>
      <c r="CA63" s="66" t="n">
        <v>50</v>
      </c>
      <c r="CB63" s="134" t="n">
        <f aca="false">VLOOKUP(CA63,MPOSCORING,2, 0)</f>
        <v>11</v>
      </c>
      <c r="CC63" s="32"/>
      <c r="CD63" s="64" t="s">
        <v>39</v>
      </c>
      <c r="CE63" s="112"/>
      <c r="CF63" s="66" t="s">
        <v>31</v>
      </c>
      <c r="CG63" s="134" t="n">
        <f aca="false">VLOOKUP(CF63,MPOSCORING,3, 0)</f>
        <v>0</v>
      </c>
      <c r="CH63" s="33"/>
    </row>
    <row r="64" customFormat="false" ht="15" hidden="false" customHeight="false" outlineLevel="0" collapsed="false">
      <c r="A64" s="144" t="str">
        <f aca="false">IFERROR(__xludf.dummyfunction("IMPORTRANGE(A80,""a1"")"),"Don't Trust a Hokom (Courtney)")</f>
        <v>Don't Trust a Hokom (Courtney)</v>
      </c>
      <c r="B64" s="64" t="s">
        <v>139</v>
      </c>
      <c r="C64" s="64"/>
      <c r="D64" s="64"/>
      <c r="E64" s="64"/>
      <c r="F64" s="36" t="s">
        <v>42</v>
      </c>
      <c r="G64" s="139" t="s">
        <v>139</v>
      </c>
      <c r="H64" s="88" t="n">
        <v>3</v>
      </c>
      <c r="I64" s="136" t="n">
        <f aca="false">VLOOKUP(H64,MPOSCORING,2, 0)</f>
        <v>96</v>
      </c>
      <c r="J64" s="39" t="s">
        <v>42</v>
      </c>
      <c r="K64" s="105" t="str">
        <f aca="false">IFERROR(__xludf.dummyfunction("IMPORTRANGE(A80,""o10"")"),"Joel Freeman")</f>
        <v>Joel Freeman</v>
      </c>
      <c r="L64" s="41" t="n">
        <v>4</v>
      </c>
      <c r="M64" s="136" t="n">
        <f aca="false">VLOOKUP(L64,MPOSCORING,2, 0)</f>
        <v>94</v>
      </c>
      <c r="N64" s="42" t="s">
        <v>42</v>
      </c>
      <c r="O64" s="43" t="str">
        <f aca="false">IFERROR(__xludf.dummyfunction("IMPORTRANGE(A80,""w10"")"),"Lauri Lehtinen")</f>
        <v>Lauri Lehtinen</v>
      </c>
      <c r="P64" s="44" t="n">
        <v>51</v>
      </c>
      <c r="Q64" s="136" t="n">
        <f aca="false">VLOOKUP(P64,MPOSCORING,2, 0)</f>
        <v>9</v>
      </c>
      <c r="R64" s="34" t="s">
        <v>42</v>
      </c>
      <c r="S64" s="106" t="str">
        <f aca="false">IFERROR(__xludf.dummyfunction("IMPORTRANGE(A80,""AE10"")"),"Joel Freeman")</f>
        <v>Joel Freeman</v>
      </c>
      <c r="T64" s="46" t="n">
        <v>6</v>
      </c>
      <c r="U64" s="138" t="n">
        <f aca="false">VLOOKUP(T64,MPOSCORING,2, 0)</f>
        <v>91</v>
      </c>
      <c r="V64" s="48" t="s">
        <v>42</v>
      </c>
      <c r="W64" s="107" t="str">
        <f aca="false">IFERROR(__xludf.dummyfunction("IMPORTRANGE(A80,""Am10"")"),"Lauri Lehtinen")</f>
        <v>Lauri Lehtinen</v>
      </c>
      <c r="X64" s="50" t="n">
        <v>55</v>
      </c>
      <c r="Y64" s="129" t="n">
        <f aca="false">VLOOKUP(X64,MPOSCORING,2, 0)</f>
        <v>5</v>
      </c>
      <c r="Z64" s="51"/>
      <c r="AA64" s="52" t="s">
        <v>42</v>
      </c>
      <c r="AB64" s="108" t="str">
        <f aca="false">IFERROR(__xludf.dummyfunction("IMPORTRANGE(A80,""Au10"")"),"Lauri Lehtinen")</f>
        <v>Lauri Lehtinen</v>
      </c>
      <c r="AC64" s="54" t="n">
        <v>30</v>
      </c>
      <c r="AD64" s="130" t="n">
        <f aca="false">VLOOKUP(AC64,MPOSCORING,2, 0)</f>
        <v>48</v>
      </c>
      <c r="AE64" s="51"/>
      <c r="AF64" s="55" t="s">
        <v>42</v>
      </c>
      <c r="AG64" s="109" t="str">
        <f aca="false">IFERROR(__xludf.dummyfunction("IMPORTRANGE(A80,""BC10"")"),"Tristan Tanner")</f>
        <v>Tristan Tanner</v>
      </c>
      <c r="AH64" s="57" t="n">
        <v>62</v>
      </c>
      <c r="AI64" s="131" t="n">
        <f aca="false">VLOOKUP(AH64,MPOSCORING,2, 0)</f>
        <v>0</v>
      </c>
      <c r="AJ64" s="51"/>
      <c r="AK64" s="58" t="s">
        <v>42</v>
      </c>
      <c r="AL64" s="110" t="str">
        <f aca="false">IFERROR(__xludf.dummyfunction("IMPORTRANGE(A80,""Bk10"")"),"linus Carlsson")</f>
        <v>linus Carlsson</v>
      </c>
      <c r="AM64" s="60" t="n">
        <v>51</v>
      </c>
      <c r="AN64" s="132" t="n">
        <f aca="false">VLOOKUP(AM64,MPOSCORING,2, 0)</f>
        <v>9</v>
      </c>
      <c r="AO64" s="51"/>
      <c r="AP64" s="61" t="s">
        <v>43</v>
      </c>
      <c r="AQ64" s="111" t="str">
        <f aca="false">IFERROR(__xludf.dummyfunction("IMPORTRANGE(A80,""Bs10"")"),"")</f>
        <v/>
      </c>
      <c r="AR64" s="63" t="s">
        <v>31</v>
      </c>
      <c r="AS64" s="133" t="n">
        <f aca="false">VLOOKUP(AR64,MPOSCORING,2, 0)</f>
        <v>0</v>
      </c>
      <c r="AT64" s="51"/>
      <c r="AU64" s="64" t="s">
        <v>42</v>
      </c>
      <c r="AV64" s="112" t="str">
        <f aca="false">IFERROR(__xludf.dummyfunction("IMPORTRANGE(A80,""ca10"")"),"Tristan Tanner")</f>
        <v>Tristan Tanner</v>
      </c>
      <c r="AW64" s="66" t="n">
        <v>95</v>
      </c>
      <c r="AX64" s="134" t="n">
        <f aca="false">VLOOKUP(AW64,MPOSCORING,2, 0)</f>
        <v>0</v>
      </c>
      <c r="AY64" s="32"/>
      <c r="AZ64" s="36" t="s">
        <v>42</v>
      </c>
      <c r="BA64" s="139" t="str">
        <f aca="false">IFERROR(__xludf.dummyfunction("IMPORTRANGE(A80,""ci10"")"),"Tristan Tanner")</f>
        <v>Tristan Tanner</v>
      </c>
      <c r="BB64" s="37" t="n">
        <v>31</v>
      </c>
      <c r="BC64" s="135" t="n">
        <f aca="false">VLOOKUP(BB64,MPOSCORING,2, 0)</f>
        <v>46</v>
      </c>
      <c r="BD64" s="32"/>
      <c r="BE64" s="42" t="s">
        <v>42</v>
      </c>
      <c r="BF64" s="114" t="str">
        <f aca="false">IFERROR(__xludf.dummyfunction("IMPORTRANGE(A80,""cq10"")"),"Tristan Tanner")</f>
        <v>Tristan Tanner</v>
      </c>
      <c r="BG64" s="44" t="n">
        <v>82</v>
      </c>
      <c r="BH64" s="136" t="n">
        <f aca="false">VLOOKUP(BG64,MPOSCORING,2, 0)</f>
        <v>0</v>
      </c>
      <c r="BI64" s="32"/>
      <c r="BJ64" s="64" t="s">
        <v>42</v>
      </c>
      <c r="BK64" s="112" t="str">
        <f aca="false">IFERROR(__xludf.dummyfunction("IMPORTRANGE(A80,""cy10"")"),"Tristan Tanner")</f>
        <v>Tristan Tanner</v>
      </c>
      <c r="BL64" s="66" t="n">
        <v>53</v>
      </c>
      <c r="BM64" s="134" t="n">
        <f aca="false">VLOOKUP(BL64,MPOSCORING,2, 0)</f>
        <v>7</v>
      </c>
      <c r="BN64" s="32"/>
      <c r="BO64" s="64" t="s">
        <v>42</v>
      </c>
      <c r="BP64" s="112" t="str">
        <f aca="false">IFERROR(__xludf.dummyfunction("IMPORTRANGE(A80,""dg10"")"),"Tristan Tanner")</f>
        <v>Tristan Tanner</v>
      </c>
      <c r="BQ64" s="66" t="n">
        <v>3</v>
      </c>
      <c r="BR64" s="134" t="n">
        <f aca="false">VLOOKUP(BQ64,MPOSCORING,3, 0)</f>
        <v>192</v>
      </c>
      <c r="BS64" s="33"/>
      <c r="BT64" s="64" t="s">
        <v>42</v>
      </c>
      <c r="BU64" s="112" t="str">
        <f aca="false">IFERROR(__xludf.dummyfunction("IMPORTRANGE(A80,""do10"")"),"Tristan Tanner")</f>
        <v>Tristan Tanner</v>
      </c>
      <c r="BV64" s="66" t="n">
        <v>85</v>
      </c>
      <c r="BW64" s="134" t="n">
        <f aca="false">VLOOKUP(BV64,MPOSCORING,2, 0)</f>
        <v>0</v>
      </c>
      <c r="BX64" s="32"/>
      <c r="BY64" s="64" t="s">
        <v>42</v>
      </c>
      <c r="BZ64" s="112" t="str">
        <f aca="false">IFERROR(__xludf.dummyfunction("IMPORTRANGE(A80,""dw10"") "),"Tristan Tanner")</f>
        <v>Tristan Tanner</v>
      </c>
      <c r="CA64" s="66" t="n">
        <v>58</v>
      </c>
      <c r="CB64" s="134" t="n">
        <f aca="false">VLOOKUP(CA64,MPOSCORING,2, 0)</f>
        <v>0</v>
      </c>
      <c r="CC64" s="32"/>
      <c r="CD64" s="64" t="s">
        <v>42</v>
      </c>
      <c r="CE64" s="112"/>
      <c r="CF64" s="66" t="s">
        <v>31</v>
      </c>
      <c r="CG64" s="134" t="n">
        <f aca="false">VLOOKUP(CF64,MPOSCORING,3, 0)</f>
        <v>0</v>
      </c>
      <c r="CH64" s="33"/>
    </row>
    <row r="65" customFormat="false" ht="15" hidden="false" customHeight="false" outlineLevel="0" collapsed="false">
      <c r="A65" s="144" t="str">
        <f aca="false">IFERROR(__xludf.dummyfunction("IMPORTRANGE(A80,""a1"")"),"Don't Trust a Hokom (Courtney)")</f>
        <v>Don't Trust a Hokom (Courtney)</v>
      </c>
      <c r="B65" s="64" t="s">
        <v>140</v>
      </c>
      <c r="C65" s="64"/>
      <c r="D65" s="64"/>
      <c r="E65" s="64"/>
      <c r="F65" s="36" t="s">
        <v>45</v>
      </c>
      <c r="G65" s="139" t="s">
        <v>141</v>
      </c>
      <c r="H65" s="88" t="n">
        <v>16</v>
      </c>
      <c r="I65" s="136" t="n">
        <f aca="false">VLOOKUP(H65,MPOSCORING,2, 0)</f>
        <v>73</v>
      </c>
      <c r="J65" s="39" t="s">
        <v>45</v>
      </c>
      <c r="K65" s="105" t="str">
        <f aca="false">IFERROR(__xludf.dummyfunction("IMPORTRANGE(A80,""o11"")"),"Vaino Makela")</f>
        <v>Vaino Makela</v>
      </c>
      <c r="L65" s="41" t="n">
        <v>45</v>
      </c>
      <c r="M65" s="136" t="n">
        <f aca="false">VLOOKUP(L65,MPOSCORING,2, 0)</f>
        <v>19</v>
      </c>
      <c r="N65" s="42" t="s">
        <v>45</v>
      </c>
      <c r="O65" s="43" t="str">
        <f aca="false">IFERROR(__xludf.dummyfunction("IMPORTRANGE(A80,""W11"")"),"Linus Carlsson")</f>
        <v>Linus Carlsson</v>
      </c>
      <c r="P65" s="44" t="n">
        <v>60</v>
      </c>
      <c r="Q65" s="136" t="n">
        <f aca="false">VLOOKUP(P65,MPOSCORING,2, 0)</f>
        <v>0</v>
      </c>
      <c r="R65" s="34" t="s">
        <v>45</v>
      </c>
      <c r="S65" s="106" t="str">
        <f aca="false">IFERROR(__xludf.dummyfunction("IMPORTRANGE(A80,""AE11"")"),"Lauri Lehtinen")</f>
        <v>Lauri Lehtinen</v>
      </c>
      <c r="T65" s="46" t="n">
        <v>13</v>
      </c>
      <c r="U65" s="138" t="n">
        <f aca="false">VLOOKUP(T65,MPOSCORING,2, 0)</f>
        <v>78</v>
      </c>
      <c r="V65" s="48" t="s">
        <v>45</v>
      </c>
      <c r="W65" s="107" t="str">
        <f aca="false">IFERROR(__xludf.dummyfunction("IMPORTRANGE(A80,""Am11"")"),"Tristan Tanner")</f>
        <v>Tristan Tanner</v>
      </c>
      <c r="X65" s="50" t="s">
        <v>30</v>
      </c>
      <c r="Y65" s="129" t="n">
        <f aca="false">VLOOKUP(X65,MPOSCORING,2, 0)</f>
        <v>0</v>
      </c>
      <c r="Z65" s="51"/>
      <c r="AA65" s="52" t="s">
        <v>45</v>
      </c>
      <c r="AB65" s="108" t="str">
        <f aca="false">IFERROR(__xludf.dummyfunction("IMPORTRANGE(A80,""Au11"")"),"Tristan Tanner")</f>
        <v>Tristan Tanner</v>
      </c>
      <c r="AC65" s="54" t="n">
        <v>36</v>
      </c>
      <c r="AD65" s="130" t="n">
        <f aca="false">VLOOKUP(AC65,MPOSCORING,2, 0)</f>
        <v>36</v>
      </c>
      <c r="AE65" s="51"/>
      <c r="AF65" s="55" t="s">
        <v>45</v>
      </c>
      <c r="AG65" s="109" t="str">
        <f aca="false">IFERROR(__xludf.dummyfunction("IMPORTRANGE(A80,""bc11"")"),"linus Carlsson")</f>
        <v>linus Carlsson</v>
      </c>
      <c r="AH65" s="57" t="n">
        <v>17</v>
      </c>
      <c r="AI65" s="131" t="n">
        <f aca="false">VLOOKUP(AH65,MPOSCORING,2, 0)</f>
        <v>71</v>
      </c>
      <c r="AJ65" s="51"/>
      <c r="AK65" s="58" t="s">
        <v>45</v>
      </c>
      <c r="AL65" s="110" t="str">
        <f aca="false">IFERROR(__xludf.dummyfunction("IMPORTRANGE(A80,""bk11"")"),"Austin Turner")</f>
        <v>Austin Turner</v>
      </c>
      <c r="AM65" s="60" t="n">
        <v>35</v>
      </c>
      <c r="AN65" s="132" t="n">
        <f aca="false">VLOOKUP(AM65,MPOSCORING,2, 0)</f>
        <v>38</v>
      </c>
      <c r="AO65" s="51"/>
      <c r="AP65" s="61" t="s">
        <v>46</v>
      </c>
      <c r="AQ65" s="111" t="str">
        <f aca="false">IFERROR(__xludf.dummyfunction("IMPORTRANGE(A80,""bs11"")"),"")</f>
        <v/>
      </c>
      <c r="AR65" s="63" t="s">
        <v>31</v>
      </c>
      <c r="AS65" s="133" t="n">
        <f aca="false">VLOOKUP(AR65,MPOSCORING,2, 0)</f>
        <v>0</v>
      </c>
      <c r="AT65" s="51"/>
      <c r="AU65" s="64" t="s">
        <v>45</v>
      </c>
      <c r="AV65" s="112" t="str">
        <f aca="false">IFERROR(__xludf.dummyfunction("IMPORTRANGE(A80,""ca11"")"),"Austin Turner")</f>
        <v>Austin Turner</v>
      </c>
      <c r="AW65" s="66" t="n">
        <v>30</v>
      </c>
      <c r="AX65" s="134" t="n">
        <f aca="false">VLOOKUP(AW65,MPOSCORING,2, 0)</f>
        <v>48</v>
      </c>
      <c r="AY65" s="32"/>
      <c r="AZ65" s="36" t="s">
        <v>45</v>
      </c>
      <c r="BA65" s="139" t="str">
        <f aca="false">IFERROR(__xludf.dummyfunction("IMPORTRANGE(A80,""ci11"")"),"Austin Turner")</f>
        <v>Austin Turner</v>
      </c>
      <c r="BB65" s="37" t="n">
        <v>81</v>
      </c>
      <c r="BC65" s="135" t="n">
        <f aca="false">VLOOKUP(BB65,MPOSCORING,2, 0)</f>
        <v>0</v>
      </c>
      <c r="BD65" s="32"/>
      <c r="BE65" s="42" t="s">
        <v>45</v>
      </c>
      <c r="BF65" s="114" t="str">
        <f aca="false">IFERROR(__xludf.dummyfunction("IMPORTRANGE(A80,""cq11"")"),"Linus Carlsson")</f>
        <v>Linus Carlsson</v>
      </c>
      <c r="BG65" s="44" t="n">
        <v>32</v>
      </c>
      <c r="BH65" s="136" t="n">
        <f aca="false">VLOOKUP(BG65,MPOSCORING,2, 0)</f>
        <v>44</v>
      </c>
      <c r="BI65" s="32"/>
      <c r="BJ65" s="64" t="s">
        <v>45</v>
      </c>
      <c r="BK65" s="112" t="str">
        <f aca="false">IFERROR(__xludf.dummyfunction("IMPORTRANGE(A80,""cy11"")"),"Linus Carlsson")</f>
        <v>Linus Carlsson</v>
      </c>
      <c r="BL65" s="66" t="n">
        <v>42</v>
      </c>
      <c r="BM65" s="134" t="n">
        <f aca="false">VLOOKUP(BL65,MPOSCORING,2, 0)</f>
        <v>25</v>
      </c>
      <c r="BN65" s="32"/>
      <c r="BO65" s="64" t="s">
        <v>45</v>
      </c>
      <c r="BP65" s="112" t="str">
        <f aca="false">IFERROR(__xludf.dummyfunction("IMPORTRANGE(A80,""dg11"")"),"Linus Carlsson")</f>
        <v>Linus Carlsson</v>
      </c>
      <c r="BQ65" s="66" t="n">
        <v>51</v>
      </c>
      <c r="BR65" s="134" t="n">
        <f aca="false">VLOOKUP(BQ65,MPOSCORING,3, 0)</f>
        <v>20</v>
      </c>
      <c r="BS65" s="33"/>
      <c r="BT65" s="64" t="s">
        <v>45</v>
      </c>
      <c r="BU65" s="112" t="str">
        <f aca="false">IFERROR(__xludf.dummyfunction("IMPORTRANGE(A80,""do11"")"),"Linus Carlsson")</f>
        <v>Linus Carlsson</v>
      </c>
      <c r="BV65" s="66" t="n">
        <v>8</v>
      </c>
      <c r="BW65" s="134" t="n">
        <f aca="false">VLOOKUP(BV65,MPOSCORING,2, 0)</f>
        <v>87</v>
      </c>
      <c r="BX65" s="32"/>
      <c r="BY65" s="64" t="s">
        <v>45</v>
      </c>
      <c r="BZ65" s="112" t="str">
        <f aca="false">IFERROR(__xludf.dummyfunction("IMPORTRANGE(A80,""dw11"")"),"Linus Carlsson")</f>
        <v>Linus Carlsson</v>
      </c>
      <c r="CA65" s="66" t="n">
        <v>5</v>
      </c>
      <c r="CB65" s="134" t="n">
        <f aca="false">VLOOKUP(CA65,MPOSCORING,2, 0)</f>
        <v>93</v>
      </c>
      <c r="CC65" s="32"/>
      <c r="CD65" s="64" t="s">
        <v>45</v>
      </c>
      <c r="CE65" s="112"/>
      <c r="CF65" s="66" t="s">
        <v>31</v>
      </c>
      <c r="CG65" s="134" t="n">
        <f aca="false">VLOOKUP(CF65,MPOSCORING,3, 0)</f>
        <v>0</v>
      </c>
      <c r="CH65" s="33"/>
    </row>
    <row r="66" customFormat="false" ht="15" hidden="false" customHeight="false" outlineLevel="0" collapsed="false">
      <c r="A66" s="144" t="str">
        <f aca="false">IFERROR(__xludf.dummyfunction("IMPORTRANGE(A80,""a1"")"),"Don't Trust a Hokom (Courtney)")</f>
        <v>Don't Trust a Hokom (Courtney)</v>
      </c>
      <c r="B66" s="64" t="s">
        <v>141</v>
      </c>
      <c r="C66" s="64"/>
      <c r="D66" s="64"/>
      <c r="E66" s="64"/>
      <c r="F66" s="36" t="s">
        <v>48</v>
      </c>
      <c r="G66" s="139" t="s">
        <v>142</v>
      </c>
      <c r="H66" s="88" t="n">
        <v>25</v>
      </c>
      <c r="I66" s="136" t="n">
        <f aca="false">VLOOKUP(H66,FPOSCORING,2, 0)</f>
        <v>5</v>
      </c>
      <c r="J66" s="39" t="s">
        <v>48</v>
      </c>
      <c r="K66" s="105" t="str">
        <f aca="false">IFERROR(__xludf.dummyfunction("IMPORTRANGE(A80,""o12"")"),"Lauri Lehtinen")</f>
        <v>Lauri Lehtinen</v>
      </c>
      <c r="L66" s="41" t="n">
        <v>36</v>
      </c>
      <c r="M66" s="136" t="n">
        <f aca="false">VLOOKUP(L66,MPOSCORING,2, 0)</f>
        <v>36</v>
      </c>
      <c r="N66" s="42" t="s">
        <v>48</v>
      </c>
      <c r="O66" s="43" t="str">
        <f aca="false">IFERROR(__xludf.dummyfunction("IMPORTRANGE(A80,""w12"")"),"Keitti Tatte ")</f>
        <v>Keitti Tatte</v>
      </c>
      <c r="P66" s="44" t="n">
        <v>28</v>
      </c>
      <c r="Q66" s="136" t="n">
        <f aca="false">VLOOKUP(P66,FPOSCORING,2, 0)</f>
        <v>0</v>
      </c>
      <c r="R66" s="34" t="s">
        <v>48</v>
      </c>
      <c r="S66" s="106" t="str">
        <f aca="false">IFERROR(__xludf.dummyfunction("IMPORTRANGE(A80,""AE12"")"),"keiti Tatte")</f>
        <v>keiti Tatte</v>
      </c>
      <c r="T66" s="46" t="n">
        <v>18</v>
      </c>
      <c r="U66" s="138" t="n">
        <f aca="false">VLOOKUP(T66,FPOSCORING,2, 0)</f>
        <v>19</v>
      </c>
      <c r="V66" s="48" t="s">
        <v>48</v>
      </c>
      <c r="W66" s="107" t="str">
        <f aca="false">IFERROR(__xludf.dummyfunction("IMPORTRANGE(A80,""Am12"")"),"linus Carlsson")</f>
        <v>linus Carlsson</v>
      </c>
      <c r="X66" s="50" t="n">
        <v>52</v>
      </c>
      <c r="Y66" s="129" t="n">
        <f aca="false">VLOOKUP(X66,MPOSCORING,2, 0)</f>
        <v>8</v>
      </c>
      <c r="Z66" s="51"/>
      <c r="AA66" s="52" t="s">
        <v>48</v>
      </c>
      <c r="AB66" s="108" t="str">
        <f aca="false">IFERROR(__xludf.dummyfunction("IMPORTRANGE(A80,""Au12"")"),"linus Carlsson")</f>
        <v>linus Carlsson</v>
      </c>
      <c r="AC66" s="54" t="n">
        <v>33</v>
      </c>
      <c r="AD66" s="130" t="n">
        <f aca="false">VLOOKUP(AC66,MPOSCORING,2, 0)</f>
        <v>42</v>
      </c>
      <c r="AE66" s="51"/>
      <c r="AF66" s="55" t="s">
        <v>48</v>
      </c>
      <c r="AG66" s="109" t="str">
        <f aca="false">IFERROR(__xludf.dummyfunction("IMPORTRANGE(A80,""bc12"")"),"Vaino Makela")</f>
        <v>Vaino Makela</v>
      </c>
      <c r="AH66" s="57" t="s">
        <v>31</v>
      </c>
      <c r="AI66" s="131" t="n">
        <f aca="false">VLOOKUP(AH66,MPOSCORING,2, 0)</f>
        <v>0</v>
      </c>
      <c r="AJ66" s="51"/>
      <c r="AK66" s="58" t="s">
        <v>48</v>
      </c>
      <c r="AL66" s="110" t="str">
        <f aca="false">IFERROR(__xludf.dummyfunction("IMPORTRANGE(A80,""bk12"")"),"Sarah Hokum")</f>
        <v>Sarah Hokum</v>
      </c>
      <c r="AM66" s="60" t="s">
        <v>31</v>
      </c>
      <c r="AN66" s="132" t="n">
        <f aca="false">VLOOKUP(AM66,MPOSCORING,2, 0)</f>
        <v>0</v>
      </c>
      <c r="AO66" s="51"/>
      <c r="AP66" s="61" t="s">
        <v>49</v>
      </c>
      <c r="AQ66" s="111" t="str">
        <f aca="false">IFERROR(__xludf.dummyfunction("IMPORTRANGE(A80,""bs12"")"),"")</f>
        <v/>
      </c>
      <c r="AR66" s="63" t="s">
        <v>31</v>
      </c>
      <c r="AS66" s="133" t="n">
        <f aca="false">VLOOKUP(AR66,MPOSCORING,2, 0)</f>
        <v>0</v>
      </c>
      <c r="AT66" s="51"/>
      <c r="AU66" s="64" t="s">
        <v>48</v>
      </c>
      <c r="AV66" s="112" t="str">
        <f aca="false">IFERROR(__xludf.dummyfunction("IMPORTRANGE(A80,""ca12"")"),"Sarah Hokum")</f>
        <v>Sarah Hokum</v>
      </c>
      <c r="AW66" s="66" t="s">
        <v>31</v>
      </c>
      <c r="AX66" s="134" t="n">
        <f aca="false">VLOOKUP(AW66,MPOSCORING,2, 0)</f>
        <v>0</v>
      </c>
      <c r="AY66" s="32"/>
      <c r="AZ66" s="36" t="s">
        <v>48</v>
      </c>
      <c r="BA66" s="139" t="str">
        <f aca="false">IFERROR(__xludf.dummyfunction("IMPORTRANGE(A80,""ci12"")"),"Sarah Hokum")</f>
        <v>Sarah Hokum</v>
      </c>
      <c r="BB66" s="37" t="n">
        <v>6</v>
      </c>
      <c r="BC66" s="135" t="n">
        <f aca="false">VLOOKUP(BB66,FPOSCORING,2, 0)</f>
        <v>76</v>
      </c>
      <c r="BD66" s="32"/>
      <c r="BE66" s="42" t="s">
        <v>48</v>
      </c>
      <c r="BF66" s="114" t="str">
        <f aca="false">IFERROR(__xludf.dummyfunction("IMPORTRANGE(A80,""cq12"")"),"Sarah Hokum")</f>
        <v>Sarah Hokum</v>
      </c>
      <c r="BG66" s="44" t="n">
        <v>10</v>
      </c>
      <c r="BH66" s="136" t="n">
        <f aca="false">VLOOKUP(BG66,FPOSCORING,2, 0)</f>
        <v>58</v>
      </c>
      <c r="BI66" s="32"/>
      <c r="BJ66" s="64" t="s">
        <v>48</v>
      </c>
      <c r="BK66" s="112" t="str">
        <f aca="false">IFERROR(__xludf.dummyfunction("IMPORTRANGE(A80,""cy12"")"),"Sarah Hokum")</f>
        <v>Sarah Hokum</v>
      </c>
      <c r="BL66" s="66" t="n">
        <v>5</v>
      </c>
      <c r="BM66" s="134" t="n">
        <f aca="false">VLOOKUP(BL66,FPOSCORING,2, 0)</f>
        <v>82</v>
      </c>
      <c r="BN66" s="32"/>
      <c r="BO66" s="64" t="s">
        <v>48</v>
      </c>
      <c r="BP66" s="112" t="str">
        <f aca="false">IFERROR(__xludf.dummyfunction("IMPORTRANGE(A80,""dg12"")"),"Sarah Hokum")</f>
        <v>Sarah Hokum</v>
      </c>
      <c r="BQ66" s="66" t="s">
        <v>31</v>
      </c>
      <c r="BR66" s="134" t="n">
        <f aca="false">VLOOKUP(BQ66,FPOSCORING,3, 0)</f>
        <v>0</v>
      </c>
      <c r="BS66" s="33"/>
      <c r="BT66" s="64" t="s">
        <v>48</v>
      </c>
      <c r="BU66" s="112" t="str">
        <f aca="false">IFERROR(__xludf.dummyfunction("IMPORTRANGE(A80,""do12"")"),"Sarah Hokum")</f>
        <v>Sarah Hokum</v>
      </c>
      <c r="BV66" s="66" t="n">
        <v>22</v>
      </c>
      <c r="BW66" s="134" t="n">
        <f aca="false">VLOOKUP(BV66,FPOSCORING,2, 0)</f>
        <v>8</v>
      </c>
      <c r="BX66" s="32"/>
      <c r="BY66" s="64" t="s">
        <v>48</v>
      </c>
      <c r="BZ66" s="112" t="str">
        <f aca="false">IFERROR(__xludf.dummyfunction("IMPORTRANGE(A80,""dw12"")"),"Sarah Hokum")</f>
        <v>Sarah Hokum</v>
      </c>
      <c r="CA66" s="66" t="n">
        <v>11</v>
      </c>
      <c r="CB66" s="134" t="n">
        <f aca="false">VLOOKUP(CA66,FPOSCORING,2, 0)</f>
        <v>52</v>
      </c>
      <c r="CC66" s="32"/>
      <c r="CD66" s="64" t="s">
        <v>48</v>
      </c>
      <c r="CE66" s="112"/>
      <c r="CF66" s="66" t="s">
        <v>31</v>
      </c>
      <c r="CG66" s="134" t="n">
        <f aca="false">VLOOKUP(CF66,FPOSCORING,3, 0)</f>
        <v>0</v>
      </c>
      <c r="CH66" s="33"/>
    </row>
    <row r="67" customFormat="false" ht="15" hidden="false" customHeight="false" outlineLevel="0" collapsed="false">
      <c r="A67" s="144" t="str">
        <f aca="false">IFERROR(__xludf.dummyfunction("IMPORTRANGE(A80,""a1"")"),"Don't Trust a Hokom (Courtney)")</f>
        <v>Don't Trust a Hokom (Courtney)</v>
      </c>
      <c r="B67" s="64" t="s">
        <v>142</v>
      </c>
      <c r="C67" s="64"/>
      <c r="D67" s="64"/>
      <c r="E67" s="64"/>
      <c r="F67" s="36" t="s">
        <v>40</v>
      </c>
      <c r="G67" s="139" t="s">
        <v>143</v>
      </c>
      <c r="H67" s="88" t="n">
        <v>86</v>
      </c>
      <c r="I67" s="115" t="n">
        <f aca="false">VLOOKUP(H67,MPOSCORING,2, 0)</f>
        <v>0</v>
      </c>
      <c r="J67" s="39" t="s">
        <v>40</v>
      </c>
      <c r="K67" s="105" t="str">
        <f aca="false">IFERROR(__xludf.dummyfunction("IMPORTRANGE(A80,""o13"")"),"Tristan Tanner")</f>
        <v>Tristan Tanner</v>
      </c>
      <c r="L67" s="41" t="n">
        <v>25</v>
      </c>
      <c r="M67" s="115" t="n">
        <f aca="false">VLOOKUP(L67,MPOSCORING,2, 0)</f>
        <v>57</v>
      </c>
      <c r="N67" s="42" t="s">
        <v>40</v>
      </c>
      <c r="O67" s="43" t="str">
        <f aca="false">IFERROR(__xludf.dummyfunction("IMPORTRANGE(A80,""w13"")"),"Vaino Makela")</f>
        <v>Vaino Makela</v>
      </c>
      <c r="P67" s="44" t="n">
        <v>51</v>
      </c>
      <c r="Q67" s="115" t="n">
        <f aca="false">VLOOKUP(P67,MPOSCORING,2, 0)</f>
        <v>9</v>
      </c>
      <c r="R67" s="34" t="s">
        <v>40</v>
      </c>
      <c r="S67" s="106" t="str">
        <f aca="false">IFERROR(__xludf.dummyfunction("IMPORTRANGE(A80,""AE13"")"),"Tristan Tanner")</f>
        <v>Tristan Tanner</v>
      </c>
      <c r="T67" s="46" t="n">
        <v>46</v>
      </c>
      <c r="U67" s="116" t="n">
        <f aca="false">VLOOKUP(T67,MPOSCORING,2, 0)</f>
        <v>17</v>
      </c>
      <c r="V67" s="48" t="s">
        <v>40</v>
      </c>
      <c r="W67" s="107" t="str">
        <f aca="false">IFERROR(__xludf.dummyfunction("IMPORTRANGE(A80,""Am13"")"),"Adam Hammes")</f>
        <v>Adam Hammes</v>
      </c>
      <c r="X67" s="50" t="s">
        <v>31</v>
      </c>
      <c r="Y67" s="117" t="n">
        <f aca="false">VLOOKUP(X67,MPOSCORING,2, 0)</f>
        <v>0</v>
      </c>
      <c r="Z67" s="51"/>
      <c r="AA67" s="52" t="s">
        <v>40</v>
      </c>
      <c r="AB67" s="108" t="str">
        <f aca="false">IFERROR(__xludf.dummyfunction("IMPORTRANGE(A80,""Au13"")"),"Adam Hammes")</f>
        <v>Adam Hammes</v>
      </c>
      <c r="AC67" s="54" t="n">
        <v>33</v>
      </c>
      <c r="AD67" s="145" t="n">
        <f aca="false">VLOOKUP(AC67,MPOSCORING,2, 0)</f>
        <v>42</v>
      </c>
      <c r="AE67" s="51"/>
      <c r="AF67" s="55" t="s">
        <v>40</v>
      </c>
      <c r="AG67" s="109" t="str">
        <f aca="false">IFERROR(__xludf.dummyfunction("IMPORTRANGE(A80,""bc13"")"),"Lauri Lehtinen")</f>
        <v>Lauri Lehtinen</v>
      </c>
      <c r="AH67" s="57" t="s">
        <v>31</v>
      </c>
      <c r="AI67" s="118" t="n">
        <f aca="false">VLOOKUP(AH67,FPOSCORING,2, 0)</f>
        <v>0</v>
      </c>
      <c r="AJ67" s="51"/>
      <c r="AK67" s="58" t="s">
        <v>40</v>
      </c>
      <c r="AL67" s="110" t="str">
        <f aca="false">IFERROR(__xludf.dummyfunction("IMPORTRANGE(A80,""bk13"")"),"Joel Freeman")</f>
        <v>Joel Freeman</v>
      </c>
      <c r="AM67" s="60" t="s">
        <v>31</v>
      </c>
      <c r="AN67" s="119" t="n">
        <f aca="false">VLOOKUP(AM67,MPOSCORING,2, 0)</f>
        <v>0</v>
      </c>
      <c r="AO67" s="51"/>
      <c r="AP67" s="61" t="s">
        <v>51</v>
      </c>
      <c r="AQ67" s="111" t="str">
        <f aca="false">IFERROR(__xludf.dummyfunction("IMPORTRANGE(A80,""bs13"")"),"")</f>
        <v/>
      </c>
      <c r="AR67" s="63" t="s">
        <v>31</v>
      </c>
      <c r="AS67" s="61"/>
      <c r="AT67" s="51"/>
      <c r="AU67" s="64" t="s">
        <v>40</v>
      </c>
      <c r="AV67" s="123" t="str">
        <f aca="false">IFERROR(__xludf.dummyfunction("IMPORTRANGE(A80,""ca13"")"),"Linus Carlsson")</f>
        <v>Linus Carlsson</v>
      </c>
      <c r="AW67" s="66" t="s">
        <v>31</v>
      </c>
      <c r="AX67" s="120" t="n">
        <f aca="false">VLOOKUP(AW67,MPOSCORING,2, 0)</f>
        <v>0</v>
      </c>
      <c r="AY67" s="121"/>
      <c r="AZ67" s="36" t="s">
        <v>40</v>
      </c>
      <c r="BA67" s="140" t="str">
        <f aca="false">IFERROR(__xludf.dummyfunction("IMPORTRANGE(A80,""ci13"")"),"Linus Carlsson")</f>
        <v>Linus Carlsson</v>
      </c>
      <c r="BB67" s="37" t="s">
        <v>31</v>
      </c>
      <c r="BC67" s="122" t="n">
        <f aca="false">VLOOKUP(BB67,MPOSCORING,2, 0)</f>
        <v>0</v>
      </c>
      <c r="BD67" s="121"/>
      <c r="BE67" s="42" t="s">
        <v>40</v>
      </c>
      <c r="BF67" s="114" t="str">
        <f aca="false">IFERROR(__xludf.dummyfunction("IMPORTRANGE(A80,""cq13"")"),"Austin Turner")</f>
        <v>Austin Turner</v>
      </c>
      <c r="BG67" s="44" t="s">
        <v>31</v>
      </c>
      <c r="BH67" s="115" t="n">
        <f aca="false">VLOOKUP(BG67,MPOSCORING,2, 0)</f>
        <v>0</v>
      </c>
      <c r="BI67" s="121"/>
      <c r="BJ67" s="64" t="s">
        <v>40</v>
      </c>
      <c r="BK67" s="123" t="str">
        <f aca="false">IFERROR(__xludf.dummyfunction("IMPORTRANGE(A80,""cy13"")"),"Austin Turner")</f>
        <v>Austin Turner</v>
      </c>
      <c r="BL67" s="66" t="n">
        <v>53</v>
      </c>
      <c r="BM67" s="120" t="n">
        <f aca="false">VLOOKUP(BL67,MPOSCORING,2, 0)</f>
        <v>7</v>
      </c>
      <c r="BN67" s="121"/>
      <c r="BO67" s="64" t="s">
        <v>40</v>
      </c>
      <c r="BP67" s="123" t="str">
        <f aca="false">IFERROR(__xludf.dummyfunction("IMPORTRANGE(A80,""dg13"")"),"Austin Turner")</f>
        <v>Austin Turner</v>
      </c>
      <c r="BQ67" s="66" t="s">
        <v>31</v>
      </c>
      <c r="BR67" s="120" t="n">
        <f aca="false">VLOOKUP(BQ67,MPOSCORING,2, 0)*2</f>
        <v>0</v>
      </c>
      <c r="BS67" s="124"/>
      <c r="BT67" s="64" t="s">
        <v>40</v>
      </c>
      <c r="BU67" s="123" t="str">
        <f aca="false">IFERROR(__xludf.dummyfunction("IMPORTRANGE(A80,""do13"")"),"Austin Turner")</f>
        <v>Austin Turner</v>
      </c>
      <c r="BV67" s="66" t="s">
        <v>31</v>
      </c>
      <c r="BW67" s="120" t="n">
        <f aca="false">VLOOKUP(BV67,MPOSCORING,2, 0)</f>
        <v>0</v>
      </c>
      <c r="BX67" s="121"/>
      <c r="BY67" s="64" t="s">
        <v>40</v>
      </c>
      <c r="BZ67" s="112" t="str">
        <f aca="false">IFERROR(__xludf.dummyfunction("IMPORTRANGE(A80,""dw13"")"),"")</f>
        <v/>
      </c>
      <c r="CA67" s="66" t="s">
        <v>31</v>
      </c>
      <c r="CB67" s="120" t="n">
        <f aca="false">VLOOKUP(CA67,MPOSCORING,2, 0)</f>
        <v>0</v>
      </c>
      <c r="CC67" s="121"/>
      <c r="CD67" s="64" t="s">
        <v>40</v>
      </c>
      <c r="CE67" s="123"/>
      <c r="CF67" s="66" t="s">
        <v>31</v>
      </c>
      <c r="CG67" s="120" t="n">
        <f aca="false">VLOOKUP(CF67,MPOSCORING,3, 0)</f>
        <v>0</v>
      </c>
      <c r="CH67" s="124"/>
    </row>
    <row r="68" customFormat="false" ht="15" hidden="false" customHeight="false" outlineLevel="0" collapsed="false">
      <c r="A68" s="144" t="str">
        <f aca="false">IFERROR(__xludf.dummyfunction("IMPORTRANGE(A80,""a1"")"),"Don't Trust a Hokom (Courtney)")</f>
        <v>Don't Trust a Hokom (Courtney)</v>
      </c>
      <c r="B68" s="64" t="s">
        <v>144</v>
      </c>
      <c r="C68" s="64"/>
      <c r="D68" s="64"/>
      <c r="E68" s="64"/>
      <c r="F68" s="36" t="s">
        <v>43</v>
      </c>
      <c r="G68" s="139" t="s">
        <v>144</v>
      </c>
      <c r="H68" s="37" t="s">
        <v>31</v>
      </c>
      <c r="I68" s="125" t="n">
        <f aca="false">VLOOKUP(H68,MPOSCORING,2, 0)</f>
        <v>0</v>
      </c>
      <c r="J68" s="39" t="s">
        <v>43</v>
      </c>
      <c r="K68" s="105" t="str">
        <f aca="false">IFERROR(__xludf.dummyfunction("IMPORTRANGE(A80,""o14"")"),"Austin Turner")</f>
        <v>Austin Turner</v>
      </c>
      <c r="L68" s="41" t="n">
        <v>50</v>
      </c>
      <c r="M68" s="125" t="n">
        <f aca="false">VLOOKUP(L68,FPOSCORING,2, 0)</f>
        <v>0</v>
      </c>
      <c r="N68" s="42" t="s">
        <v>43</v>
      </c>
      <c r="O68" s="43" t="str">
        <f aca="false">IFERROR(__xludf.dummyfunction("IMPORTRANGE(A80,""w14"")"),"Tristan Tanner")</f>
        <v>Tristan Tanner</v>
      </c>
      <c r="P68" s="44" t="n">
        <v>60</v>
      </c>
      <c r="Q68" s="125" t="n">
        <f aca="false">VLOOKUP(P68,MPOSCORING,2, 0)</f>
        <v>0</v>
      </c>
      <c r="R68" s="34" t="s">
        <v>43</v>
      </c>
      <c r="S68" s="106" t="str">
        <f aca="false">IFERROR(__xludf.dummyfunction("IMPORTRANGE(A80,""AE14"")"),"linus Carlsson")</f>
        <v>linus Carlsson</v>
      </c>
      <c r="T68" s="46" t="n">
        <v>51</v>
      </c>
      <c r="U68" s="126" t="n">
        <f aca="false">VLOOKUP(T68,FPOSCORING,2, 0)</f>
        <v>0</v>
      </c>
      <c r="V68" s="48" t="s">
        <v>43</v>
      </c>
      <c r="W68" s="107" t="str">
        <f aca="false">IFERROR(__xludf.dummyfunction("IMPORTRANGE(A80,""Am14"")"),"Sarah Hokom")</f>
        <v>Sarah Hokom</v>
      </c>
      <c r="X68" s="50" t="s">
        <v>31</v>
      </c>
      <c r="Y68" s="117" t="n">
        <f aca="false">VLOOKUP(X68,MPOSCORING,2, 0)</f>
        <v>0</v>
      </c>
      <c r="Z68" s="51"/>
      <c r="AA68" s="52" t="s">
        <v>43</v>
      </c>
      <c r="AB68" s="108" t="str">
        <f aca="false">IFERROR(__xludf.dummyfunction("IMPORTRANGE(A80,""Au14"")"),"keiti Tatte")</f>
        <v>keiti Tatte</v>
      </c>
      <c r="AC68" s="54" t="s">
        <v>31</v>
      </c>
      <c r="AD68" s="145" t="n">
        <f aca="false">VLOOKUP(AC68,MPOSCORING,2, 0)</f>
        <v>0</v>
      </c>
      <c r="AE68" s="51"/>
      <c r="AF68" s="55" t="s">
        <v>43</v>
      </c>
      <c r="AG68" s="109" t="str">
        <f aca="false">IFERROR(__xludf.dummyfunction("IMPORTRANGE(A80,""bc14"")"),"keiti Tatte")</f>
        <v>keiti Tatte</v>
      </c>
      <c r="AH68" s="57" t="s">
        <v>31</v>
      </c>
      <c r="AI68" s="118" t="n">
        <f aca="false">VLOOKUP(AH68,MPOSCORING,2, 0)</f>
        <v>0</v>
      </c>
      <c r="AJ68" s="51"/>
      <c r="AK68" s="58" t="s">
        <v>43</v>
      </c>
      <c r="AL68" s="110" t="str">
        <f aca="false">IFERROR(__xludf.dummyfunction("IMPORTRANGE(A80,""bk14"")"),"Vaino Makela")</f>
        <v>Vaino Makela</v>
      </c>
      <c r="AM68" s="60" t="s">
        <v>31</v>
      </c>
      <c r="AN68" s="119" t="n">
        <f aca="false">VLOOKUP(AM68,FPOSCORING,2, 0)</f>
        <v>0</v>
      </c>
      <c r="AO68" s="51"/>
      <c r="AP68" s="61" t="s">
        <v>53</v>
      </c>
      <c r="AQ68" s="111" t="str">
        <f aca="false">IFERROR(__xludf.dummyfunction("IMPORTRANGE(A80,""bs14"")"),"")</f>
        <v/>
      </c>
      <c r="AR68" s="63" t="s">
        <v>31</v>
      </c>
      <c r="AS68" s="61"/>
      <c r="AT68" s="51"/>
      <c r="AU68" s="64" t="s">
        <v>43</v>
      </c>
      <c r="AV68" s="112" t="str">
        <f aca="false">IFERROR(__xludf.dummyfunction("IMPORTRANGE(A80,""ca14"")"),"Vaino Makela")</f>
        <v>Vaino Makela</v>
      </c>
      <c r="AW68" s="66" t="s">
        <v>31</v>
      </c>
      <c r="AX68" s="120" t="n">
        <f aca="false">VLOOKUP(AW68,FPOSCORING,2, 0)</f>
        <v>0</v>
      </c>
      <c r="AY68" s="121"/>
      <c r="AZ68" s="36" t="s">
        <v>43</v>
      </c>
      <c r="BA68" s="139" t="str">
        <f aca="false">IFERROR(__xludf.dummyfunction("IMPORTRANGE(A80,""ci14"")"),"Vaino Makela")</f>
        <v>Vaino Makela</v>
      </c>
      <c r="BB68" s="37" t="s">
        <v>31</v>
      </c>
      <c r="BC68" s="122" t="n">
        <f aca="false">VLOOKUP(BB68,FPOSCORING,2, 0)</f>
        <v>0</v>
      </c>
      <c r="BD68" s="121"/>
      <c r="BE68" s="42" t="s">
        <v>43</v>
      </c>
      <c r="BF68" s="114" t="str">
        <f aca="false">IFERROR(__xludf.dummyfunction("IMPORTRANGE(A80,""cq14"")"),"Vaino Makela")</f>
        <v>Vaino Makela</v>
      </c>
      <c r="BG68" s="44" t="s">
        <v>31</v>
      </c>
      <c r="BH68" s="115" t="n">
        <f aca="false">VLOOKUP(BG68,FPOSCORING,2, 0)</f>
        <v>0</v>
      </c>
      <c r="BI68" s="121"/>
      <c r="BJ68" s="64" t="s">
        <v>43</v>
      </c>
      <c r="BK68" s="112" t="str">
        <f aca="false">IFERROR(__xludf.dummyfunction("IMPORTRANGE(A80,""cy14"")"),"Vaino Makela")</f>
        <v>Vaino Makela</v>
      </c>
      <c r="BL68" s="66" t="n">
        <v>11</v>
      </c>
      <c r="BM68" s="120" t="n">
        <f aca="false">VLOOKUP(BL68,MPOSCORING,2, 0)</f>
        <v>82</v>
      </c>
      <c r="BN68" s="121"/>
      <c r="BO68" s="64" t="s">
        <v>43</v>
      </c>
      <c r="BP68" s="112" t="str">
        <f aca="false">IFERROR(__xludf.dummyfunction("IMPORTRANGE(A80,""dg14"")"),"Vaino Makela")</f>
        <v>Vaino Makela</v>
      </c>
      <c r="BQ68" s="66" t="s">
        <v>31</v>
      </c>
      <c r="BR68" s="120" t="n">
        <f aca="false">VLOOKUP(BQ68,FPOSCORING,2, 0)*2</f>
        <v>0</v>
      </c>
      <c r="BS68" s="124"/>
      <c r="BT68" s="64" t="s">
        <v>43</v>
      </c>
      <c r="BU68" s="112" t="str">
        <f aca="false">IFERROR(__xludf.dummyfunction("IMPORTRANGE(A80,""do14"")"),"Vaino Makela")</f>
        <v>Vaino Makela</v>
      </c>
      <c r="BV68" s="66" t="s">
        <v>31</v>
      </c>
      <c r="BW68" s="120" t="n">
        <f aca="false">VLOOKUP(BV68,FPOSCORING,2, 0)</f>
        <v>0</v>
      </c>
      <c r="BX68" s="121"/>
      <c r="BY68" s="64" t="s">
        <v>43</v>
      </c>
      <c r="BZ68" s="112" t="str">
        <f aca="false">IFERROR(__xludf.dummyfunction("IMPORTRANGE(A80,""dw14"")"),"")</f>
        <v/>
      </c>
      <c r="CA68" s="66" t="s">
        <v>31</v>
      </c>
      <c r="CB68" s="120" t="n">
        <f aca="false">VLOOKUP(CA68,FPOSCORING,2, 0)</f>
        <v>0</v>
      </c>
      <c r="CC68" s="121"/>
      <c r="CD68" s="64" t="s">
        <v>43</v>
      </c>
      <c r="CE68" s="112"/>
      <c r="CF68" s="66" t="s">
        <v>31</v>
      </c>
      <c r="CG68" s="120" t="n">
        <f aca="false">VLOOKUP(CF68,FPOSCORING,3, 0)</f>
        <v>0</v>
      </c>
      <c r="CH68" s="124"/>
    </row>
    <row r="69" customFormat="false" ht="15" hidden="false" customHeight="false" outlineLevel="0" collapsed="false">
      <c r="A69" s="144" t="str">
        <f aca="false">IFERROR(__xludf.dummyfunction("IMPORTRANGE(A80,""a1"")"),"Don't Trust a Hokom (Courtney)")</f>
        <v>Don't Trust a Hokom (Courtney)</v>
      </c>
      <c r="B69" s="64" t="s">
        <v>143</v>
      </c>
      <c r="C69" s="64"/>
      <c r="D69" s="64"/>
      <c r="E69" s="64"/>
      <c r="F69" s="36" t="s">
        <v>46</v>
      </c>
      <c r="G69" s="139" t="s">
        <v>140</v>
      </c>
      <c r="H69" s="37" t="s">
        <v>31</v>
      </c>
      <c r="I69" s="115" t="n">
        <f aca="false">VLOOKUP(H69,MPOSCORING,2, 0)</f>
        <v>0</v>
      </c>
      <c r="J69" s="39" t="s">
        <v>46</v>
      </c>
      <c r="K69" s="105" t="str">
        <f aca="false">IFERROR(__xludf.dummyfunction("IMPORTRANGE(A80,""o15"")"),"Keiti Tatte")</f>
        <v>Keiti Tatte</v>
      </c>
      <c r="L69" s="41" t="n">
        <v>13</v>
      </c>
      <c r="M69" s="115" t="n">
        <f aca="false">VLOOKUP(L69,FPOSCORING,2, 0)</f>
        <v>42</v>
      </c>
      <c r="N69" s="42" t="s">
        <v>46</v>
      </c>
      <c r="O69" s="43" t="str">
        <f aca="false">IFERROR(__xludf.dummyfunction("IMPORTRANGE(A80,""w15"")"),"Austin Turner")</f>
        <v>Austin Turner</v>
      </c>
      <c r="P69" s="44" t="s">
        <v>31</v>
      </c>
      <c r="Q69" s="115" t="n">
        <f aca="false">VLOOKUP(P69,MPOSCORING,2, 0)</f>
        <v>0</v>
      </c>
      <c r="R69" s="34" t="s">
        <v>46</v>
      </c>
      <c r="S69" s="106" t="str">
        <f aca="false">IFERROR(__xludf.dummyfunction("IMPORTRANGE(A80,""AE15"")"),"Austin Turner")</f>
        <v>Austin Turner</v>
      </c>
      <c r="T69" s="46" t="n">
        <v>82</v>
      </c>
      <c r="U69" s="116" t="n">
        <f aca="false">VLOOKUP(T69,MPOSCORING,2, 0)</f>
        <v>0</v>
      </c>
      <c r="V69" s="48" t="s">
        <v>46</v>
      </c>
      <c r="W69" s="107" t="str">
        <f aca="false">IFERROR(__xludf.dummyfunction("IMPORTRANGE(A80,""Am15"")"),"Austin Turner")</f>
        <v>Austin Turner</v>
      </c>
      <c r="X69" s="50" t="s">
        <v>31</v>
      </c>
      <c r="Y69" s="117" t="n">
        <f aca="false">VLOOKUP(X69,MPOSCORING,2, 0)</f>
        <v>0</v>
      </c>
      <c r="Z69" s="51"/>
      <c r="AA69" s="52" t="s">
        <v>46</v>
      </c>
      <c r="AB69" s="108" t="str">
        <f aca="false">IFERROR(__xludf.dummyfunction("IMPORTRANGE(A80,""Au15"")"),"Austin Turner")</f>
        <v>Austin Turner</v>
      </c>
      <c r="AC69" s="54" t="s">
        <v>31</v>
      </c>
      <c r="AD69" s="145" t="n">
        <f aca="false">VLOOKUP(AC69,MPOSCORING,2, 0)</f>
        <v>0</v>
      </c>
      <c r="AE69" s="51"/>
      <c r="AF69" s="55" t="s">
        <v>46</v>
      </c>
      <c r="AG69" s="109" t="str">
        <f aca="false">IFERROR(__xludf.dummyfunction("IMPORTRANGE(A80,""bc15"")"),"Austin Turner")</f>
        <v>Austin Turner</v>
      </c>
      <c r="AH69" s="57" t="s">
        <v>31</v>
      </c>
      <c r="AI69" s="118" t="n">
        <f aca="false">VLOOKUP(AH69,MPOSCORING,2, 0)</f>
        <v>0</v>
      </c>
      <c r="AJ69" s="51"/>
      <c r="AK69" s="58" t="s">
        <v>46</v>
      </c>
      <c r="AL69" s="110" t="str">
        <f aca="false">IFERROR(__xludf.dummyfunction("IMPORTRANGE(A80,""bk15"")"),"Lauri Lehtinen")</f>
        <v>Lauri Lehtinen</v>
      </c>
      <c r="AM69" s="60" t="s">
        <v>31</v>
      </c>
      <c r="AN69" s="119" t="n">
        <f aca="false">VLOOKUP(AM69,MPOSCORING,2, 0)</f>
        <v>0</v>
      </c>
      <c r="AO69" s="51"/>
      <c r="AP69" s="61" t="s">
        <v>55</v>
      </c>
      <c r="AQ69" s="111" t="str">
        <f aca="false">IFERROR(__xludf.dummyfunction("IMPORTRANGE(A80,""bs15"")"),"")</f>
        <v/>
      </c>
      <c r="AR69" s="63" t="s">
        <v>31</v>
      </c>
      <c r="AS69" s="61"/>
      <c r="AT69" s="51"/>
      <c r="AU69" s="64" t="s">
        <v>46</v>
      </c>
      <c r="AV69" s="112" t="str">
        <f aca="false">IFERROR(__xludf.dummyfunction("IMPORTRANGE(A80,""ca15"")"),"Lauri Lehtinen")</f>
        <v>Lauri Lehtinen</v>
      </c>
      <c r="AW69" s="66" t="s">
        <v>31</v>
      </c>
      <c r="AX69" s="120" t="n">
        <f aca="false">VLOOKUP(AW69,MPOSCORING,2, 0)</f>
        <v>0</v>
      </c>
      <c r="AY69" s="121"/>
      <c r="AZ69" s="36" t="s">
        <v>46</v>
      </c>
      <c r="BA69" s="139" t="str">
        <f aca="false">IFERROR(__xludf.dummyfunction("IMPORTRANGE(A80,""ci15"")"),"Lauri Lehtinen")</f>
        <v>Lauri Lehtinen</v>
      </c>
      <c r="BB69" s="37" t="s">
        <v>31</v>
      </c>
      <c r="BC69" s="122" t="n">
        <f aca="false">VLOOKUP(BB69,MPOSCORING,2, 0)</f>
        <v>0</v>
      </c>
      <c r="BD69" s="121"/>
      <c r="BE69" s="42" t="s">
        <v>46</v>
      </c>
      <c r="BF69" s="114" t="str">
        <f aca="false">IFERROR(__xludf.dummyfunction("IMPORTRANGE(A80,""cq15"")"),"Lauri Lehtinen")</f>
        <v>Lauri Lehtinen</v>
      </c>
      <c r="BG69" s="44" t="s">
        <v>31</v>
      </c>
      <c r="BH69" s="115" t="n">
        <f aca="false">VLOOKUP(BG69,MPOSCORING,2, 0)</f>
        <v>0</v>
      </c>
      <c r="BI69" s="121"/>
      <c r="BJ69" s="64" t="s">
        <v>46</v>
      </c>
      <c r="BK69" s="112" t="str">
        <f aca="false">IFERROR(__xludf.dummyfunction("IMPORTRANGE(A80,""cy15"")"),"Lauri Lehtinen")</f>
        <v>Lauri Lehtinen</v>
      </c>
      <c r="BL69" s="66" t="s">
        <v>31</v>
      </c>
      <c r="BM69" s="120" t="n">
        <f aca="false">VLOOKUP(BL69,MPOSCORING,2, 0)</f>
        <v>0</v>
      </c>
      <c r="BN69" s="121"/>
      <c r="BO69" s="64" t="s">
        <v>46</v>
      </c>
      <c r="BP69" s="112" t="str">
        <f aca="false">IFERROR(__xludf.dummyfunction("IMPORTRANGE(A80,""dg15"")"),"Lauri Lehtinen")</f>
        <v>Lauri Lehtinen</v>
      </c>
      <c r="BQ69" s="66" t="s">
        <v>31</v>
      </c>
      <c r="BR69" s="120" t="n">
        <f aca="false">VLOOKUP(BQ69,MPOSCORING,2, 0)*2</f>
        <v>0</v>
      </c>
      <c r="BS69" s="124"/>
      <c r="BT69" s="64" t="s">
        <v>46</v>
      </c>
      <c r="BU69" s="112" t="str">
        <f aca="false">IFERROR(__xludf.dummyfunction("IMPORTRANGE(A80,""do15"")"),"Lauri Lehtinen")</f>
        <v>Lauri Lehtinen</v>
      </c>
      <c r="BV69" s="66" t="s">
        <v>31</v>
      </c>
      <c r="BW69" s="120" t="n">
        <f aca="false">VLOOKUP(BV69,MPOSCORING,2, 0)</f>
        <v>0</v>
      </c>
      <c r="BX69" s="121"/>
      <c r="BY69" s="64" t="s">
        <v>46</v>
      </c>
      <c r="BZ69" s="112" t="str">
        <f aca="false">IFERROR(__xludf.dummyfunction("IMPORTRANGE(A80,""dw15"")"),"")</f>
        <v/>
      </c>
      <c r="CA69" s="66" t="s">
        <v>31</v>
      </c>
      <c r="CB69" s="120" t="n">
        <f aca="false">VLOOKUP(CA69,MPOSCORING,2, 0)</f>
        <v>0</v>
      </c>
      <c r="CC69" s="121"/>
      <c r="CD69" s="64" t="s">
        <v>46</v>
      </c>
      <c r="CE69" s="112"/>
      <c r="CF69" s="66" t="s">
        <v>31</v>
      </c>
      <c r="CG69" s="120" t="n">
        <f aca="false">VLOOKUP(CF69,MPOSCORING,3, 0)</f>
        <v>0</v>
      </c>
      <c r="CH69" s="124"/>
    </row>
    <row r="70" customFormat="false" ht="13.85" hidden="true" customHeight="false" outlineLevel="0" collapsed="false">
      <c r="A70" s="16" t="s">
        <v>145</v>
      </c>
      <c r="I70" s="127"/>
      <c r="M70" s="127"/>
      <c r="U70" s="127"/>
      <c r="BS70" s="18"/>
      <c r="CH70" s="18"/>
    </row>
    <row r="71" customFormat="false" ht="15" hidden="false" customHeight="false" outlineLevel="0" collapsed="false">
      <c r="A71" s="146" t="str">
        <f aca="false">IFERROR(__xludf.dummyfunction("IMPORTRANGE(A95,""a1"")"),"PUTTER? HARDLY KNOW HER (Wyatt)")</f>
        <v>PUTTER? HARDLY KNOW HER (Wyatt)</v>
      </c>
      <c r="B71" s="147" t="s">
        <v>146</v>
      </c>
      <c r="C71" s="147"/>
      <c r="D71" s="147"/>
      <c r="E71" s="147"/>
      <c r="F71" s="36" t="s">
        <v>29</v>
      </c>
      <c r="G71" s="35" t="s">
        <v>147</v>
      </c>
      <c r="H71" s="88" t="s">
        <v>31</v>
      </c>
      <c r="I71" s="38" t="n">
        <f aca="false">VLOOKUP(H71,FPOSCORING,2, 0)</f>
        <v>0</v>
      </c>
      <c r="J71" s="39" t="s">
        <v>29</v>
      </c>
      <c r="K71" s="40" t="s">
        <v>147</v>
      </c>
      <c r="L71" s="41" t="s">
        <v>31</v>
      </c>
      <c r="M71" s="38" t="n">
        <f aca="false">VLOOKUP(L71,FPOSCORING,2, 0)</f>
        <v>0</v>
      </c>
      <c r="N71" s="42" t="s">
        <v>29</v>
      </c>
      <c r="O71" s="43" t="s">
        <v>147</v>
      </c>
      <c r="P71" s="44" t="n">
        <v>13</v>
      </c>
      <c r="Q71" s="38" t="n">
        <f aca="false">VLOOKUP(P71,FPOSCORING,2, 0)</f>
        <v>42</v>
      </c>
      <c r="R71" s="34" t="s">
        <v>29</v>
      </c>
      <c r="S71" s="45" t="str">
        <f aca="false">IFERROR(__xludf.dummyfunction("IMPORTRANGE(A95,""AE6"")"),"Jen allan")</f>
        <v>Jen allan</v>
      </c>
      <c r="T71" s="46" t="n">
        <v>14</v>
      </c>
      <c r="U71" s="47" t="n">
        <f aca="false">VLOOKUP(T71,FPOSCORING,2, 0)</f>
        <v>38</v>
      </c>
      <c r="V71" s="48" t="s">
        <v>29</v>
      </c>
      <c r="W71" s="49" t="str">
        <f aca="false">IFERROR(__xludf.dummyfunction("IMPORTRANGE(A95,""Am6"")"),"Jen allan")</f>
        <v>Jen allan</v>
      </c>
      <c r="X71" s="50" t="n">
        <v>10</v>
      </c>
      <c r="Y71" s="129" t="n">
        <f aca="false">VLOOKUP(X71,FPOSCORING,2, 0)</f>
        <v>58</v>
      </c>
      <c r="Z71" s="51"/>
      <c r="AA71" s="52" t="s">
        <v>29</v>
      </c>
      <c r="AB71" s="53" t="str">
        <f aca="false">IFERROR(__xludf.dummyfunction("IMPORTRANGE(A95,""Au6"")"),"Jen allan")</f>
        <v>Jen allan</v>
      </c>
      <c r="AC71" s="54" t="n">
        <v>7</v>
      </c>
      <c r="AD71" s="130" t="n">
        <f aca="false">VLOOKUP(AC71,FPOSCORING,2, 0)</f>
        <v>71</v>
      </c>
      <c r="AE71" s="51"/>
      <c r="AF71" s="55" t="s">
        <v>29</v>
      </c>
      <c r="AG71" s="56" t="str">
        <f aca="false">IFERROR(__xludf.dummyfunction("IMPORTRANGE(A95,""bc6"")"),"Jen allen")</f>
        <v>Jen allen</v>
      </c>
      <c r="AH71" s="57" t="n">
        <v>11</v>
      </c>
      <c r="AI71" s="131" t="n">
        <f aca="false">VLOOKUP(AH71,FPOSCORING,2, 0)</f>
        <v>52</v>
      </c>
      <c r="AJ71" s="51"/>
      <c r="AK71" s="58" t="s">
        <v>29</v>
      </c>
      <c r="AL71" s="59" t="str">
        <f aca="false">IFERROR(__xludf.dummyfunction("IMPORTRANGE(A95,""bk6"")"),"Jen allen")</f>
        <v>Jen allen</v>
      </c>
      <c r="AM71" s="60" t="n">
        <v>7</v>
      </c>
      <c r="AN71" s="132" t="n">
        <f aca="false">VLOOKUP(AM71,FPOSCORING,2, 0)</f>
        <v>71</v>
      </c>
      <c r="AO71" s="51"/>
      <c r="AP71" s="61" t="s">
        <v>29</v>
      </c>
      <c r="AQ71" s="62" t="str">
        <f aca="false">IFERROR(__xludf.dummyfunction("IMPORTRANGE(A95,""bs6"")"),"")</f>
        <v/>
      </c>
      <c r="AR71" s="63" t="s">
        <v>31</v>
      </c>
      <c r="AS71" s="133" t="n">
        <f aca="false">VLOOKUP(AR71,MPOSCORING,2, 0)</f>
        <v>0</v>
      </c>
      <c r="AT71" s="51"/>
      <c r="AU71" s="64" t="s">
        <v>29</v>
      </c>
      <c r="AV71" s="65" t="str">
        <f aca="false">IFERROR(__xludf.dummyfunction("IMPORTRANGE(A95,""ca6"")"),"Paige Shue")</f>
        <v>Paige Shue</v>
      </c>
      <c r="AW71" s="66" t="n">
        <v>27</v>
      </c>
      <c r="AX71" s="134" t="n">
        <f aca="false">VLOOKUP(AW71,FPOSCORING,2, 0)</f>
        <v>0</v>
      </c>
      <c r="AY71" s="32"/>
      <c r="AZ71" s="36" t="s">
        <v>29</v>
      </c>
      <c r="BA71" s="67" t="str">
        <f aca="false">IFERROR(__xludf.dummyfunction("IMPORTRANGE(A95,""ci6"")"),"Paige Shue")</f>
        <v>Paige Shue</v>
      </c>
      <c r="BB71" s="37" t="s">
        <v>31</v>
      </c>
      <c r="BC71" s="135" t="n">
        <f aca="false">VLOOKUP(BB71,FPOSCORING,2, 0)</f>
        <v>0</v>
      </c>
      <c r="BD71" s="32"/>
      <c r="BE71" s="42" t="s">
        <v>29</v>
      </c>
      <c r="BF71" s="68" t="str">
        <f aca="false">IFERROR(__xludf.dummyfunction("IMPORTRANGE(A95,""cq6"")"),"Jen Allen")</f>
        <v>Jen Allen</v>
      </c>
      <c r="BG71" s="44" t="n">
        <v>21</v>
      </c>
      <c r="BH71" s="136" t="n">
        <f aca="false">VLOOKUP(BG71,FPOSCORING,2, 0)</f>
        <v>9</v>
      </c>
      <c r="BI71" s="32"/>
      <c r="BJ71" s="64" t="s">
        <v>29</v>
      </c>
      <c r="BK71" s="65" t="str">
        <f aca="false">IFERROR(__xludf.dummyfunction("IMPORTRANGE(A95,""cy6"")"),"Jen Allen")</f>
        <v>Jen Allen</v>
      </c>
      <c r="BL71" s="66" t="s">
        <v>31</v>
      </c>
      <c r="BM71" s="134" t="n">
        <f aca="false">VLOOKUP(BL71,FPOSCORING,2, 0)</f>
        <v>0</v>
      </c>
      <c r="BN71" s="32"/>
      <c r="BO71" s="64" t="s">
        <v>29</v>
      </c>
      <c r="BP71" s="65" t="str">
        <f aca="false">IFERROR(__xludf.dummyfunction("IMPORTRANGE(A95,""dg6"")"),"Jen Allen")</f>
        <v>Jen Allen</v>
      </c>
      <c r="BQ71" s="66" t="n">
        <v>12</v>
      </c>
      <c r="BR71" s="134" t="n">
        <f aca="false">VLOOKUP(BQ71,FPOSCORING,3, 0)</f>
        <v>94</v>
      </c>
      <c r="BS71" s="33"/>
      <c r="BT71" s="64" t="s">
        <v>29</v>
      </c>
      <c r="BU71" s="65" t="str">
        <f aca="false">IFERROR(__xludf.dummyfunction("IMPORTRANGE(A95,""do6"")"),"")</f>
        <v/>
      </c>
      <c r="BV71" s="66" t="s">
        <v>31</v>
      </c>
      <c r="BW71" s="134" t="n">
        <f aca="false">VLOOKUP(BV71,FPOSCORING,2, 0)</f>
        <v>0</v>
      </c>
      <c r="BX71" s="32"/>
      <c r="BY71" s="64" t="s">
        <v>29</v>
      </c>
      <c r="BZ71" s="65" t="str">
        <f aca="false">IFERROR(__xludf.dummyfunction("IMPORTRANGE(A95,""dw6"")"),"")</f>
        <v/>
      </c>
      <c r="CA71" s="66" t="s">
        <v>31</v>
      </c>
      <c r="CB71" s="134" t="n">
        <f aca="false">VLOOKUP(CA71,FPOSCORING,2, 0)</f>
        <v>0</v>
      </c>
      <c r="CC71" s="32"/>
      <c r="CD71" s="64" t="s">
        <v>29</v>
      </c>
      <c r="CE71" s="65"/>
      <c r="CF71" s="66" t="s">
        <v>31</v>
      </c>
      <c r="CG71" s="134" t="n">
        <f aca="false">VLOOKUP(CF71,FPOSCORING,3, 0)</f>
        <v>0</v>
      </c>
      <c r="CH71" s="33"/>
    </row>
    <row r="72" customFormat="false" ht="15" hidden="false" customHeight="false" outlineLevel="0" collapsed="false">
      <c r="A72" s="146" t="str">
        <f aca="false">IFERROR(__xludf.dummyfunction("IMPORTRANGE(A95,""a1"")"),"PUTTER? HARDLY KNOW HER (Wyatt)")</f>
        <v>PUTTER? HARDLY KNOW HER (Wyatt)</v>
      </c>
      <c r="B72" s="147" t="s">
        <v>148</v>
      </c>
      <c r="C72" s="147"/>
      <c r="D72" s="147"/>
      <c r="E72" s="147"/>
      <c r="F72" s="36" t="s">
        <v>34</v>
      </c>
      <c r="G72" s="67" t="s">
        <v>149</v>
      </c>
      <c r="H72" s="69" t="s">
        <v>31</v>
      </c>
      <c r="I72" s="38" t="n">
        <f aca="false">VLOOKUP(H72,FPOSCORING,2, 0)</f>
        <v>0</v>
      </c>
      <c r="J72" s="39" t="s">
        <v>34</v>
      </c>
      <c r="K72" s="70" t="s">
        <v>149</v>
      </c>
      <c r="L72" s="71" t="s">
        <v>31</v>
      </c>
      <c r="M72" s="38" t="n">
        <f aca="false">VLOOKUP(L72,FPOSCORING,2, 0)</f>
        <v>0</v>
      </c>
      <c r="N72" s="42" t="s">
        <v>34</v>
      </c>
      <c r="O72" s="68" t="s">
        <v>149</v>
      </c>
      <c r="P72" s="72" t="s">
        <v>31</v>
      </c>
      <c r="Q72" s="38" t="n">
        <f aca="false">VLOOKUP(P72,FPOSCORING,2, 0)</f>
        <v>0</v>
      </c>
      <c r="R72" s="34" t="s">
        <v>34</v>
      </c>
      <c r="S72" s="73" t="str">
        <f aca="false">IFERROR(__xludf.dummyfunction("IMPORTRANGE(A95,""AE7"")"),"Christine Jennings ")</f>
        <v>Christine Jennings</v>
      </c>
      <c r="T72" s="74" t="n">
        <v>23</v>
      </c>
      <c r="U72" s="47" t="n">
        <f aca="false">VLOOKUP(T72,FPOSCORING,2, 0)</f>
        <v>7</v>
      </c>
      <c r="V72" s="48" t="s">
        <v>34</v>
      </c>
      <c r="W72" s="75" t="str">
        <f aca="false">IFERROR(__xludf.dummyfunction("IMPORTRANGE(A95,""Am7"")"),"Christine Jennings ")</f>
        <v>Christine Jennings</v>
      </c>
      <c r="X72" s="76" t="n">
        <v>22</v>
      </c>
      <c r="Y72" s="129" t="n">
        <f aca="false">VLOOKUP(X72,FPOSCORING,2, 0)</f>
        <v>8</v>
      </c>
      <c r="Z72" s="51"/>
      <c r="AA72" s="52" t="s">
        <v>34</v>
      </c>
      <c r="AB72" s="77" t="str">
        <f aca="false">IFERROR(__xludf.dummyfunction("IMPORTRANGE(A95,""Au7"")"),"Christine Jennings ")</f>
        <v>Christine Jennings</v>
      </c>
      <c r="AC72" s="78" t="s">
        <v>31</v>
      </c>
      <c r="AD72" s="130" t="n">
        <f aca="false">VLOOKUP(AC72,FPOSCORING,2, 0)</f>
        <v>0</v>
      </c>
      <c r="AE72" s="51"/>
      <c r="AF72" s="55" t="s">
        <v>34</v>
      </c>
      <c r="AG72" s="79" t="str">
        <f aca="false">IFERROR(__xludf.dummyfunction("IMPORTRANGE(A95,""bc7"")"),"Christine Jennings ")</f>
        <v>Christine Jennings</v>
      </c>
      <c r="AH72" s="80" t="s">
        <v>31</v>
      </c>
      <c r="AI72" s="131" t="n">
        <f aca="false">VLOOKUP(AH72,FPOSCORING,2, 0)</f>
        <v>0</v>
      </c>
      <c r="AJ72" s="51"/>
      <c r="AK72" s="58" t="s">
        <v>34</v>
      </c>
      <c r="AL72" s="81" t="str">
        <f aca="false">IFERROR(__xludf.dummyfunction("IMPORTRANGE(A95,""bk7"")"),"Christine Jennings ")</f>
        <v>Christine Jennings</v>
      </c>
      <c r="AM72" s="82" t="s">
        <v>31</v>
      </c>
      <c r="AN72" s="132" t="n">
        <f aca="false">VLOOKUP(AM72,FPOSCORING,2, 0)</f>
        <v>0</v>
      </c>
      <c r="AO72" s="51"/>
      <c r="AP72" s="61" t="s">
        <v>34</v>
      </c>
      <c r="AQ72" s="83" t="str">
        <f aca="false">IFERROR(__xludf.dummyfunction("IMPORTRANGE(A95,""bs7"")"),"")</f>
        <v/>
      </c>
      <c r="AR72" s="84" t="s">
        <v>31</v>
      </c>
      <c r="AS72" s="133" t="n">
        <f aca="false">VLOOKUP(AR72,MPOSCORING,2, 0)</f>
        <v>0</v>
      </c>
      <c r="AT72" s="51"/>
      <c r="AU72" s="64" t="s">
        <v>34</v>
      </c>
      <c r="AV72" s="85" t="str">
        <f aca="false">IFERROR(__xludf.dummyfunction("IMPORTRANGE(A95,""ca7"")"),"Christine Jennings ")</f>
        <v>Christine Jennings</v>
      </c>
      <c r="AW72" s="86" t="n">
        <v>32</v>
      </c>
      <c r="AX72" s="134" t="n">
        <f aca="false">VLOOKUP(AW72,FPOSCORING,2, 0)</f>
        <v>0</v>
      </c>
      <c r="AY72" s="32"/>
      <c r="AZ72" s="36" t="s">
        <v>34</v>
      </c>
      <c r="BA72" s="35" t="str">
        <f aca="false">IFERROR(__xludf.dummyfunction("IMPORTRANGE(A95,""ci7"")"),"Christine Jennings ")</f>
        <v>Christine Jennings</v>
      </c>
      <c r="BB72" s="69" t="n">
        <v>31</v>
      </c>
      <c r="BC72" s="135" t="n">
        <f aca="false">VLOOKUP(BB72,FPOSCORING,2, 0)</f>
        <v>0</v>
      </c>
      <c r="BD72" s="32"/>
      <c r="BE72" s="42" t="s">
        <v>34</v>
      </c>
      <c r="BF72" s="43" t="str">
        <f aca="false">IFERROR(__xludf.dummyfunction("IMPORTRANGE(A95,""cq7"")"),"Christine Jennings ")</f>
        <v>Christine Jennings</v>
      </c>
      <c r="BG72" s="72" t="n">
        <v>32</v>
      </c>
      <c r="BH72" s="136" t="n">
        <f aca="false">VLOOKUP(BG72,FPOSCORING,2, 0)</f>
        <v>0</v>
      </c>
      <c r="BI72" s="32"/>
      <c r="BJ72" s="64" t="s">
        <v>34</v>
      </c>
      <c r="BK72" s="85" t="str">
        <f aca="false">IFERROR(__xludf.dummyfunction("IMPORTRANGE(A95,""cy7"")"),"Christine Jennings ")</f>
        <v>Christine Jennings</v>
      </c>
      <c r="BL72" s="86" t="s">
        <v>31</v>
      </c>
      <c r="BM72" s="134" t="n">
        <f aca="false">VLOOKUP(BL72,FPOSCORING,2, 0)</f>
        <v>0</v>
      </c>
      <c r="BN72" s="32"/>
      <c r="BO72" s="64" t="s">
        <v>34</v>
      </c>
      <c r="BP72" s="85" t="str">
        <f aca="false">IFERROR(__xludf.dummyfunction("IMPORTRANGE(A95,""dg7"")"),"Christine Jennings ")</f>
        <v>Christine Jennings</v>
      </c>
      <c r="BQ72" s="86" t="n">
        <v>34</v>
      </c>
      <c r="BR72" s="134" t="n">
        <f aca="false">VLOOKUP(BQ72,FPOSCORING,3, 0)</f>
        <v>0</v>
      </c>
      <c r="BS72" s="33"/>
      <c r="BT72" s="64" t="s">
        <v>34</v>
      </c>
      <c r="BU72" s="85" t="str">
        <f aca="false">IFERROR(__xludf.dummyfunction("IMPORTRANGE(A95,""do7"")"),"")</f>
        <v/>
      </c>
      <c r="BV72" s="86" t="s">
        <v>31</v>
      </c>
      <c r="BW72" s="134" t="n">
        <f aca="false">VLOOKUP(BV72,FPOSCORING,2, 0)</f>
        <v>0</v>
      </c>
      <c r="BX72" s="32"/>
      <c r="BY72" s="64" t="s">
        <v>34</v>
      </c>
      <c r="BZ72" s="85" t="str">
        <f aca="false">IFERROR(__xludf.dummyfunction("IMPORTRANGE(A95,""dw7"")"),"")</f>
        <v/>
      </c>
      <c r="CA72" s="86" t="s">
        <v>31</v>
      </c>
      <c r="CB72" s="134" t="n">
        <f aca="false">VLOOKUP(CA72,FPOSCORING,2, 0)</f>
        <v>0</v>
      </c>
      <c r="CC72" s="32"/>
      <c r="CD72" s="64" t="s">
        <v>34</v>
      </c>
      <c r="CE72" s="85"/>
      <c r="CF72" s="86" t="s">
        <v>31</v>
      </c>
      <c r="CG72" s="134" t="n">
        <f aca="false">VLOOKUP(CF72,FPOSCORING,3, 0)</f>
        <v>0</v>
      </c>
      <c r="CH72" s="33"/>
    </row>
    <row r="73" customFormat="false" ht="15" hidden="false" customHeight="false" outlineLevel="0" collapsed="false">
      <c r="A73" s="146" t="str">
        <f aca="false">IFERROR(__xludf.dummyfunction("IMPORTRANGE(A95,""a1"")"),"PUTTER? HARDLY KNOW HER (Wyatt)")</f>
        <v>PUTTER? HARDLY KNOW HER (Wyatt)</v>
      </c>
      <c r="B73" s="147" t="s">
        <v>150</v>
      </c>
      <c r="C73" s="147"/>
      <c r="D73" s="147"/>
      <c r="E73" s="147"/>
      <c r="F73" s="36" t="s">
        <v>36</v>
      </c>
      <c r="G73" s="87" t="s">
        <v>151</v>
      </c>
      <c r="H73" s="88" t="n">
        <v>5</v>
      </c>
      <c r="I73" s="136" t="n">
        <f aca="false">VLOOKUP(H73,MPOSCORING,2, 0)</f>
        <v>93</v>
      </c>
      <c r="J73" s="39" t="s">
        <v>36</v>
      </c>
      <c r="K73" s="137" t="s">
        <v>151</v>
      </c>
      <c r="L73" s="89" t="n">
        <v>8</v>
      </c>
      <c r="M73" s="136" t="n">
        <f aca="false">VLOOKUP(L73,MPOSCORING,2, 0)</f>
        <v>87</v>
      </c>
      <c r="N73" s="42" t="s">
        <v>36</v>
      </c>
      <c r="O73" s="103" t="s">
        <v>151</v>
      </c>
      <c r="P73" s="38" t="n">
        <v>1</v>
      </c>
      <c r="Q73" s="136" t="n">
        <f aca="false">VLOOKUP(P73,MPOSCORING,2, 0)</f>
        <v>100</v>
      </c>
      <c r="R73" s="34" t="s">
        <v>36</v>
      </c>
      <c r="S73" s="90" t="str">
        <f aca="false">IFERROR(__xludf.dummyfunction("IMPORTRANGE(A95,""AE8"")"),"Scott strokely")</f>
        <v>Scott strokely</v>
      </c>
      <c r="T73" s="47" t="n">
        <v>112</v>
      </c>
      <c r="U73" s="138" t="n">
        <f aca="false">VLOOKUP(T73,MPOSCORING,2, 0)</f>
        <v>0</v>
      </c>
      <c r="V73" s="48" t="s">
        <v>36</v>
      </c>
      <c r="W73" s="91" t="str">
        <f aca="false">IFERROR(__xludf.dummyfunction("IMPORTRANGE(A95,""Am8"")"),"Philo")</f>
        <v>Philo</v>
      </c>
      <c r="X73" s="92" t="s">
        <v>152</v>
      </c>
      <c r="Y73" s="129" t="n">
        <f aca="false">VLOOKUP(X73,MPOSCORING,2, 0)</f>
        <v>0</v>
      </c>
      <c r="Z73" s="51"/>
      <c r="AA73" s="52" t="s">
        <v>36</v>
      </c>
      <c r="AB73" s="93" t="str">
        <f aca="false">IFERROR(__xludf.dummyfunction("IMPORTRANGE(A95,""Au8"")"),"Chris Dickerson")</f>
        <v>Chris Dickerson</v>
      </c>
      <c r="AC73" s="94" t="s">
        <v>31</v>
      </c>
      <c r="AD73" s="130" t="n">
        <f aca="false">VLOOKUP(AC73,MPOSCORING,2, 0)</f>
        <v>0</v>
      </c>
      <c r="AE73" s="51"/>
      <c r="AF73" s="55" t="s">
        <v>36</v>
      </c>
      <c r="AG73" s="95" t="str">
        <f aca="false">IFERROR(__xludf.dummyfunction("IMPORTRANGE(A95,""bc8"")"),"Ezra")</f>
        <v>Ezra</v>
      </c>
      <c r="AH73" s="96" t="n">
        <v>11</v>
      </c>
      <c r="AI73" s="131" t="n">
        <f aca="false">VLOOKUP(AH73,MPOSCORING,2, 0)</f>
        <v>82</v>
      </c>
      <c r="AJ73" s="51"/>
      <c r="AK73" s="58" t="s">
        <v>36</v>
      </c>
      <c r="AL73" s="97" t="str">
        <f aca="false">IFERROR(__xludf.dummyfunction("IMPORTRANGE(A95,""bk8"")"),"Ezra")</f>
        <v>Ezra</v>
      </c>
      <c r="AM73" s="98" t="n">
        <v>9</v>
      </c>
      <c r="AN73" s="132" t="n">
        <f aca="false">VLOOKUP(AM73,MPOSCORING,2, 0)</f>
        <v>85</v>
      </c>
      <c r="AO73" s="51"/>
      <c r="AP73" s="61" t="s">
        <v>37</v>
      </c>
      <c r="AQ73" s="99" t="str">
        <f aca="false">IFERROR(__xludf.dummyfunction("IMPORTRANGE(A95,""bs8"")"),"")</f>
        <v/>
      </c>
      <c r="AR73" s="100" t="s">
        <v>31</v>
      </c>
      <c r="AS73" s="133" t="n">
        <f aca="false">VLOOKUP(AR73,MPOSCORING,2, 0)</f>
        <v>0</v>
      </c>
      <c r="AT73" s="51"/>
      <c r="AU73" s="64" t="s">
        <v>36</v>
      </c>
      <c r="AV73" s="101" t="str">
        <f aca="false">IFERROR(__xludf.dummyfunction("IMPORTRANGE(A95,""ca8"")"),"Ezra")</f>
        <v>Ezra</v>
      </c>
      <c r="AW73" s="102" t="n">
        <v>30</v>
      </c>
      <c r="AX73" s="134" t="n">
        <f aca="false">VLOOKUP(AW73,MPOSCORING,2, 0)</f>
        <v>48</v>
      </c>
      <c r="AY73" s="32"/>
      <c r="AZ73" s="36" t="s">
        <v>36</v>
      </c>
      <c r="BA73" s="87" t="str">
        <f aca="false">IFERROR(__xludf.dummyfunction("IMPORTRANGE(A95,""ci8"")"),"Ezra")</f>
        <v>Ezra</v>
      </c>
      <c r="BB73" s="88" t="n">
        <v>12</v>
      </c>
      <c r="BC73" s="135" t="n">
        <f aca="false">VLOOKUP(BB73,MPOSCORING,2, 0)</f>
        <v>80</v>
      </c>
      <c r="BD73" s="32"/>
      <c r="BE73" s="42" t="s">
        <v>36</v>
      </c>
      <c r="BF73" s="103" t="str">
        <f aca="false">IFERROR(__xludf.dummyfunction("IMPORTRANGE(A95,""cq8"")"),"Ezra")</f>
        <v>Ezra</v>
      </c>
      <c r="BG73" s="38" t="n">
        <v>43</v>
      </c>
      <c r="BH73" s="136" t="n">
        <f aca="false">VLOOKUP(BG73,MPOSCORING,2, 0)</f>
        <v>23</v>
      </c>
      <c r="BI73" s="32"/>
      <c r="BJ73" s="64" t="s">
        <v>36</v>
      </c>
      <c r="BK73" s="101" t="str">
        <f aca="false">IFERROR(__xludf.dummyfunction("IMPORTRANGE(A95,""cy8"")"),"Ezra")</f>
        <v>Ezra</v>
      </c>
      <c r="BL73" s="102" t="n">
        <v>35</v>
      </c>
      <c r="BM73" s="134" t="n">
        <f aca="false">VLOOKUP(BL73,MPOSCORING,2, 0)</f>
        <v>38</v>
      </c>
      <c r="BN73" s="32"/>
      <c r="BO73" s="64" t="s">
        <v>36</v>
      </c>
      <c r="BP73" s="101" t="str">
        <f aca="false">IFERROR(__xludf.dummyfunction("IMPORTRANGE(A95,""dg8"")"),"Ezra")</f>
        <v>Ezra</v>
      </c>
      <c r="BQ73" s="102" t="n">
        <v>46</v>
      </c>
      <c r="BR73" s="134" t="n">
        <f aca="false">VLOOKUP(BQ73,MPOSCORING,3, 0)</f>
        <v>34</v>
      </c>
      <c r="BS73" s="33"/>
      <c r="BT73" s="64" t="s">
        <v>36</v>
      </c>
      <c r="BU73" s="101" t="str">
        <f aca="false">IFERROR(__xludf.dummyfunction("IMPORTRANGE(A95,""do8"")"),"")</f>
        <v/>
      </c>
      <c r="BV73" s="102" t="s">
        <v>31</v>
      </c>
      <c r="BW73" s="134" t="n">
        <f aca="false">VLOOKUP(BV73,MPOSCORING,2, 0)</f>
        <v>0</v>
      </c>
      <c r="BX73" s="32"/>
      <c r="BY73" s="64" t="s">
        <v>36</v>
      </c>
      <c r="BZ73" s="101" t="str">
        <f aca="false">IFERROR(__xludf.dummyfunction("IMPORTRANGE(A95,""dw8"")"),"")</f>
        <v/>
      </c>
      <c r="CA73" s="102" t="s">
        <v>31</v>
      </c>
      <c r="CB73" s="134" t="n">
        <f aca="false">VLOOKUP(CA73,MPOSCORING,2, 0)</f>
        <v>0</v>
      </c>
      <c r="CC73" s="32"/>
      <c r="CD73" s="64" t="s">
        <v>36</v>
      </c>
      <c r="CE73" s="101"/>
      <c r="CF73" s="102" t="s">
        <v>31</v>
      </c>
      <c r="CG73" s="134" t="n">
        <f aca="false">VLOOKUP(CF73,MPOSCORING,3, 0)</f>
        <v>0</v>
      </c>
      <c r="CH73" s="33"/>
    </row>
    <row r="74" customFormat="false" ht="15" hidden="false" customHeight="false" outlineLevel="0" collapsed="false">
      <c r="A74" s="146" t="str">
        <f aca="false">IFERROR(__xludf.dummyfunction("IMPORTRANGE(A95,""a1"")"),"PUTTER? HARDLY KNOW HER (Wyatt)")</f>
        <v>PUTTER? HARDLY KNOW HER (Wyatt)</v>
      </c>
      <c r="B74" s="147" t="s">
        <v>153</v>
      </c>
      <c r="C74" s="147"/>
      <c r="D74" s="147"/>
      <c r="E74" s="147"/>
      <c r="F74" s="36" t="s">
        <v>39</v>
      </c>
      <c r="G74" s="139" t="s">
        <v>148</v>
      </c>
      <c r="H74" s="88" t="n">
        <v>21</v>
      </c>
      <c r="I74" s="136" t="n">
        <f aca="false">VLOOKUP(H74,MPOSCORING,2, 0)</f>
        <v>64</v>
      </c>
      <c r="J74" s="39" t="s">
        <v>39</v>
      </c>
      <c r="K74" s="105" t="s">
        <v>148</v>
      </c>
      <c r="L74" s="41" t="n">
        <v>23</v>
      </c>
      <c r="M74" s="136" t="n">
        <f aca="false">VLOOKUP(L74,MPOSCORING,2, 0)</f>
        <v>60</v>
      </c>
      <c r="N74" s="42" t="s">
        <v>39</v>
      </c>
      <c r="O74" s="114" t="s">
        <v>148</v>
      </c>
      <c r="P74" s="44" t="n">
        <v>22</v>
      </c>
      <c r="Q74" s="136" t="n">
        <f aca="false">VLOOKUP(P74,MPOSCORING,2, 0)</f>
        <v>62</v>
      </c>
      <c r="R74" s="34" t="s">
        <v>39</v>
      </c>
      <c r="S74" s="106" t="str">
        <f aca="false">IFERROR(__xludf.dummyfunction("IMPORTRANGE(A95,""AE9"")"),"Kevin jones")</f>
        <v>Kevin jones</v>
      </c>
      <c r="T74" s="46" t="n">
        <v>3</v>
      </c>
      <c r="U74" s="138" t="n">
        <f aca="false">VLOOKUP(T74,MPOSCORING,2, 0)</f>
        <v>96</v>
      </c>
      <c r="V74" s="48" t="s">
        <v>39</v>
      </c>
      <c r="W74" s="107" t="str">
        <f aca="false">IFERROR(__xludf.dummyfunction("IMPORTRANGE(A95,""Am9"")"),"Kevin jones")</f>
        <v>Kevin jones</v>
      </c>
      <c r="X74" s="50" t="n">
        <v>17</v>
      </c>
      <c r="Y74" s="129" t="n">
        <f aca="false">VLOOKUP(X74,MPOSCORING,2, 0)</f>
        <v>71</v>
      </c>
      <c r="Z74" s="51"/>
      <c r="AA74" s="52" t="s">
        <v>39</v>
      </c>
      <c r="AB74" s="108" t="str">
        <f aca="false">IFERROR(__xludf.dummyfunction("IMPORTRANGE(A95,""Au9"")"),"Kevin Jones")</f>
        <v>Kevin Jones</v>
      </c>
      <c r="AC74" s="54" t="n">
        <v>44</v>
      </c>
      <c r="AD74" s="130" t="n">
        <f aca="false">VLOOKUP(AC74,MPOSCORING,2, 0)</f>
        <v>21</v>
      </c>
      <c r="AE74" s="51"/>
      <c r="AF74" s="55" t="s">
        <v>39</v>
      </c>
      <c r="AG74" s="109" t="str">
        <f aca="false">IFERROR(__xludf.dummyfunction("IMPORTRANGE(A95,""bc9"")"),"Kevin jones")</f>
        <v>Kevin jones</v>
      </c>
      <c r="AH74" s="57" t="n">
        <v>21</v>
      </c>
      <c r="AI74" s="131" t="n">
        <f aca="false">VLOOKUP(AH74,MPOSCORING,2, 0)</f>
        <v>64</v>
      </c>
      <c r="AJ74" s="51"/>
      <c r="AK74" s="58" t="s">
        <v>39</v>
      </c>
      <c r="AL74" s="110" t="str">
        <f aca="false">IFERROR(__xludf.dummyfunction("IMPORTRANGE(A95,""bk9"")"),"Kevin jones")</f>
        <v>Kevin jones</v>
      </c>
      <c r="AM74" s="60" t="n">
        <v>16</v>
      </c>
      <c r="AN74" s="132" t="n">
        <f aca="false">VLOOKUP(AM74,MPOSCORING,2, 0)</f>
        <v>73</v>
      </c>
      <c r="AO74" s="51"/>
      <c r="AP74" s="61" t="s">
        <v>40</v>
      </c>
      <c r="AQ74" s="111" t="str">
        <f aca="false">IFERROR(__xludf.dummyfunction("IMPORTRANGE(A95,""bs9"")"),"")</f>
        <v/>
      </c>
      <c r="AR74" s="63" t="s">
        <v>31</v>
      </c>
      <c r="AS74" s="133" t="n">
        <f aca="false">VLOOKUP(AR74,MPOSCORING,2, 0)</f>
        <v>0</v>
      </c>
      <c r="AT74" s="51"/>
      <c r="AU74" s="64" t="s">
        <v>39</v>
      </c>
      <c r="AV74" s="112" t="str">
        <f aca="false">IFERROR(__xludf.dummyfunction("IMPORTRANGE(A95,""ca9"")"),"Chris Dickerson")</f>
        <v>Chris Dickerson</v>
      </c>
      <c r="AW74" s="66" t="n">
        <v>2</v>
      </c>
      <c r="AX74" s="134" t="n">
        <f aca="false">VLOOKUP(AW74,MPOSCORING,2, 0)</f>
        <v>98</v>
      </c>
      <c r="AY74" s="32"/>
      <c r="AZ74" s="36" t="s">
        <v>39</v>
      </c>
      <c r="BA74" s="139" t="str">
        <f aca="false">IFERROR(__xludf.dummyfunction("IMPORTRANGE(A95,""ci9"")"),"Chris Dickerson")</f>
        <v>Chris Dickerson</v>
      </c>
      <c r="BB74" s="37" t="n">
        <v>12</v>
      </c>
      <c r="BC74" s="135" t="n">
        <f aca="false">VLOOKUP(BB74,MPOSCORING,2, 0)</f>
        <v>80</v>
      </c>
      <c r="BD74" s="32"/>
      <c r="BE74" s="42" t="s">
        <v>39</v>
      </c>
      <c r="BF74" s="114" t="str">
        <f aca="false">IFERROR(__xludf.dummyfunction("IMPORTRANGE(A95,""cq9"")"),"Chris Dickerson")</f>
        <v>Chris Dickerson</v>
      </c>
      <c r="BG74" s="44" t="n">
        <v>19</v>
      </c>
      <c r="BH74" s="136" t="n">
        <f aca="false">VLOOKUP(BG74,MPOSCORING,2, 0)</f>
        <v>67</v>
      </c>
      <c r="BI74" s="32"/>
      <c r="BJ74" s="64" t="s">
        <v>39</v>
      </c>
      <c r="BK74" s="112" t="str">
        <f aca="false">IFERROR(__xludf.dummyfunction("IMPORTRANGE(A95,""cy9"")"),"Chris Dickerson")</f>
        <v>Chris Dickerson</v>
      </c>
      <c r="BL74" s="66" t="n">
        <v>16</v>
      </c>
      <c r="BM74" s="134" t="n">
        <f aca="false">VLOOKUP(BL74,MPOSCORING,2, 0)</f>
        <v>73</v>
      </c>
      <c r="BN74" s="32"/>
      <c r="BO74" s="64" t="s">
        <v>39</v>
      </c>
      <c r="BP74" s="112" t="str">
        <f aca="false">IFERROR(__xludf.dummyfunction("IMPORTRANGE(A95,""dg9"")"),"Chris Dickerson")</f>
        <v>Chris Dickerson</v>
      </c>
      <c r="BQ74" s="66" t="n">
        <v>12</v>
      </c>
      <c r="BR74" s="134" t="n">
        <f aca="false">VLOOKUP(BQ74,MPOSCORING,3, 0)</f>
        <v>160</v>
      </c>
      <c r="BS74" s="33"/>
      <c r="BT74" s="64" t="s">
        <v>39</v>
      </c>
      <c r="BU74" s="112" t="str">
        <f aca="false">IFERROR(__xludf.dummyfunction("IMPORTRANGE(A95,""do9"")"),"")</f>
        <v/>
      </c>
      <c r="BV74" s="66" t="s">
        <v>31</v>
      </c>
      <c r="BW74" s="134" t="n">
        <f aca="false">VLOOKUP(BV74,MPOSCORING,2, 0)</f>
        <v>0</v>
      </c>
      <c r="BX74" s="32"/>
      <c r="BY74" s="64" t="s">
        <v>39</v>
      </c>
      <c r="BZ74" s="112" t="str">
        <f aca="false">IFERROR(__xludf.dummyfunction("IMPORTRANGE(A95,""dw9"")"),"")</f>
        <v/>
      </c>
      <c r="CA74" s="66" t="s">
        <v>31</v>
      </c>
      <c r="CB74" s="134" t="n">
        <f aca="false">VLOOKUP(CA74,MPOSCORING,2, 0)</f>
        <v>0</v>
      </c>
      <c r="CC74" s="32"/>
      <c r="CD74" s="64" t="s">
        <v>39</v>
      </c>
      <c r="CE74" s="112"/>
      <c r="CF74" s="66" t="s">
        <v>31</v>
      </c>
      <c r="CG74" s="134" t="n">
        <f aca="false">VLOOKUP(CF74,MPOSCORING,3, 0)</f>
        <v>0</v>
      </c>
      <c r="CH74" s="33"/>
    </row>
    <row r="75" customFormat="false" ht="15" hidden="false" customHeight="false" outlineLevel="0" collapsed="false">
      <c r="A75" s="146" t="str">
        <f aca="false">IFERROR(__xludf.dummyfunction("IMPORTRANGE(A95,""a1"")"),"PUTTER? HARDLY KNOW HER (Wyatt)")</f>
        <v>PUTTER? HARDLY KNOW HER (Wyatt)</v>
      </c>
      <c r="B75" s="147" t="s">
        <v>154</v>
      </c>
      <c r="C75" s="147"/>
      <c r="D75" s="147"/>
      <c r="E75" s="147"/>
      <c r="F75" s="36" t="s">
        <v>42</v>
      </c>
      <c r="G75" s="139" t="s">
        <v>154</v>
      </c>
      <c r="H75" s="88" t="n">
        <v>83</v>
      </c>
      <c r="I75" s="136" t="n">
        <f aca="false">VLOOKUP(H75,MPOSCORING,2, 0)</f>
        <v>0</v>
      </c>
      <c r="J75" s="39" t="s">
        <v>42</v>
      </c>
      <c r="K75" s="105" t="s">
        <v>154</v>
      </c>
      <c r="L75" s="41" t="n">
        <v>70</v>
      </c>
      <c r="M75" s="136" t="n">
        <f aca="false">VLOOKUP(L75,MPOSCORING,2, 0)</f>
        <v>0</v>
      </c>
      <c r="N75" s="42" t="s">
        <v>42</v>
      </c>
      <c r="O75" s="114" t="s">
        <v>154</v>
      </c>
      <c r="P75" s="44" t="n">
        <v>14</v>
      </c>
      <c r="Q75" s="136" t="n">
        <f aca="false">VLOOKUP(P75,MPOSCORING,2, 0)</f>
        <v>76</v>
      </c>
      <c r="R75" s="34" t="s">
        <v>42</v>
      </c>
      <c r="S75" s="106" t="str">
        <f aca="false">IFERROR(__xludf.dummyfunction("IMPORTRANGE(A95,""AE10"")"),"Ezra")</f>
        <v>Ezra</v>
      </c>
      <c r="T75" s="46" t="n">
        <v>10</v>
      </c>
      <c r="U75" s="138" t="n">
        <f aca="false">VLOOKUP(T75,MPOSCORING,2, 0)</f>
        <v>84</v>
      </c>
      <c r="V75" s="48" t="s">
        <v>42</v>
      </c>
      <c r="W75" s="107" t="str">
        <f aca="false">IFERROR(__xludf.dummyfunction("IMPORTRANGE(A95,""Am10"")"),"Sexton")</f>
        <v>Sexton</v>
      </c>
      <c r="X75" s="50" t="n">
        <v>21</v>
      </c>
      <c r="Y75" s="129" t="n">
        <f aca="false">VLOOKUP(X75,MPOSCORING,2, 0)</f>
        <v>64</v>
      </c>
      <c r="Z75" s="51"/>
      <c r="AA75" s="52" t="s">
        <v>42</v>
      </c>
      <c r="AB75" s="108" t="str">
        <f aca="false">IFERROR(__xludf.dummyfunction("IMPORTRANGE(A95,""Au10"")"),"Ezra aderhold ")</f>
        <v>Ezra aderhold</v>
      </c>
      <c r="AC75" s="54" t="n">
        <v>11</v>
      </c>
      <c r="AD75" s="130" t="n">
        <f aca="false">VLOOKUP(AC75,MPOSCORING,2, 0)</f>
        <v>82</v>
      </c>
      <c r="AE75" s="51"/>
      <c r="AF75" s="55" t="s">
        <v>42</v>
      </c>
      <c r="AG75" s="109" t="str">
        <f aca="false">IFERROR(__xludf.dummyfunction("IMPORTRANGE(A95,""BC10"")"),"Scott stokely")</f>
        <v>Scott stokely</v>
      </c>
      <c r="AH75" s="57" t="s">
        <v>31</v>
      </c>
      <c r="AI75" s="131" t="n">
        <f aca="false">VLOOKUP(AH75,MPOSCORING,2, 0)</f>
        <v>0</v>
      </c>
      <c r="AJ75" s="51"/>
      <c r="AK75" s="58" t="s">
        <v>42</v>
      </c>
      <c r="AL75" s="110" t="str">
        <f aca="false">IFERROR(__xludf.dummyfunction("IMPORTRANGE(A95,""Bk10"")"),"Gregg barsby ")</f>
        <v>Gregg barsby</v>
      </c>
      <c r="AM75" s="60" t="n">
        <v>63</v>
      </c>
      <c r="AN75" s="132" t="n">
        <f aca="false">VLOOKUP(AM75,MPOSCORING,2, 0)</f>
        <v>0</v>
      </c>
      <c r="AO75" s="51"/>
      <c r="AP75" s="61" t="s">
        <v>43</v>
      </c>
      <c r="AQ75" s="111" t="str">
        <f aca="false">IFERROR(__xludf.dummyfunction("IMPORTRANGE(A95,""Bs10"")"),"")</f>
        <v/>
      </c>
      <c r="AR75" s="63" t="s">
        <v>31</v>
      </c>
      <c r="AS75" s="133" t="n">
        <f aca="false">VLOOKUP(AR75,MPOSCORING,2, 0)</f>
        <v>0</v>
      </c>
      <c r="AT75" s="51"/>
      <c r="AU75" s="64" t="s">
        <v>42</v>
      </c>
      <c r="AV75" s="112" t="str">
        <f aca="false">IFERROR(__xludf.dummyfunction("IMPORTRANGE(A95,""ca10"")"),"Gregg barsby ")</f>
        <v>Gregg barsby</v>
      </c>
      <c r="AW75" s="66" t="n">
        <v>15</v>
      </c>
      <c r="AX75" s="134" t="n">
        <f aca="false">VLOOKUP(AW75,MPOSCORING,2, 0)</f>
        <v>75</v>
      </c>
      <c r="AY75" s="32"/>
      <c r="AZ75" s="36" t="s">
        <v>42</v>
      </c>
      <c r="BA75" s="139" t="str">
        <f aca="false">IFERROR(__xludf.dummyfunction("IMPORTRANGE(A95,""ci10"")"),"Gregg barsby ")</f>
        <v>Gregg barsby</v>
      </c>
      <c r="BB75" s="37" t="s">
        <v>31</v>
      </c>
      <c r="BC75" s="135" t="n">
        <f aca="false">VLOOKUP(BB75,MPOSCORING,2, 0)</f>
        <v>0</v>
      </c>
      <c r="BD75" s="32"/>
      <c r="BE75" s="42" t="s">
        <v>42</v>
      </c>
      <c r="BF75" s="114" t="str">
        <f aca="false">IFERROR(__xludf.dummyfunction("IMPORTRANGE(A95,""cq10"")"),"Gregg barsby ")</f>
        <v>Gregg barsby</v>
      </c>
      <c r="BG75" s="44" t="n">
        <v>65</v>
      </c>
      <c r="BH75" s="136" t="n">
        <f aca="false">VLOOKUP(BG75,MPOSCORING,2, 0)</f>
        <v>0</v>
      </c>
      <c r="BI75" s="32"/>
      <c r="BJ75" s="64" t="s">
        <v>42</v>
      </c>
      <c r="BK75" s="112" t="str">
        <f aca="false">IFERROR(__xludf.dummyfunction("IMPORTRANGE(A95,""cy10"")"),"Gregg barsby ")</f>
        <v>Gregg barsby</v>
      </c>
      <c r="BL75" s="66" t="n">
        <v>22</v>
      </c>
      <c r="BM75" s="134" t="n">
        <f aca="false">VLOOKUP(BL75,MPOSCORING,2, 0)</f>
        <v>62</v>
      </c>
      <c r="BN75" s="32"/>
      <c r="BO75" s="64" t="s">
        <v>42</v>
      </c>
      <c r="BP75" s="112" t="str">
        <f aca="false">IFERROR(__xludf.dummyfunction("IMPORTRANGE(A95,""dg10"")"),"Gregg barsby ")</f>
        <v>Gregg barsby</v>
      </c>
      <c r="BQ75" s="66" t="n">
        <v>22</v>
      </c>
      <c r="BR75" s="134" t="n">
        <f aca="false">VLOOKUP(BQ75,MPOSCORING,3, 0)</f>
        <v>124</v>
      </c>
      <c r="BS75" s="33"/>
      <c r="BT75" s="64" t="s">
        <v>42</v>
      </c>
      <c r="BU75" s="112" t="str">
        <f aca="false">IFERROR(__xludf.dummyfunction("IMPORTRANGE(A95,""do10"")"),"")</f>
        <v/>
      </c>
      <c r="BV75" s="66" t="s">
        <v>31</v>
      </c>
      <c r="BW75" s="134" t="n">
        <f aca="false">VLOOKUP(BV75,MPOSCORING,2, 0)</f>
        <v>0</v>
      </c>
      <c r="BX75" s="32"/>
      <c r="BY75" s="64" t="s">
        <v>42</v>
      </c>
      <c r="BZ75" s="112" t="str">
        <f aca="false">IFERROR(__xludf.dummyfunction("IMPORTRANGE(A95,""dw10"") "),"")</f>
        <v/>
      </c>
      <c r="CA75" s="66" t="s">
        <v>31</v>
      </c>
      <c r="CB75" s="134" t="n">
        <f aca="false">VLOOKUP(CA75,MPOSCORING,2, 0)</f>
        <v>0</v>
      </c>
      <c r="CC75" s="32"/>
      <c r="CD75" s="64" t="s">
        <v>42</v>
      </c>
      <c r="CE75" s="112"/>
      <c r="CF75" s="66" t="s">
        <v>31</v>
      </c>
      <c r="CG75" s="134" t="n">
        <f aca="false">VLOOKUP(CF75,MPOSCORING,3, 0)</f>
        <v>0</v>
      </c>
      <c r="CH75" s="33"/>
    </row>
    <row r="76" customFormat="false" ht="15" hidden="false" customHeight="false" outlineLevel="0" collapsed="false">
      <c r="A76" s="146" t="str">
        <f aca="false">IFERROR(__xludf.dummyfunction("IMPORTRANGE(A95,""a1"")"),"PUTTER? HARDLY KNOW HER (Wyatt)")</f>
        <v>PUTTER? HARDLY KNOW HER (Wyatt)</v>
      </c>
      <c r="B76" s="147" t="s">
        <v>155</v>
      </c>
      <c r="C76" s="147"/>
      <c r="D76" s="147"/>
      <c r="E76" s="147"/>
      <c r="F76" s="36" t="s">
        <v>45</v>
      </c>
      <c r="G76" s="139" t="s">
        <v>156</v>
      </c>
      <c r="H76" s="88" t="n">
        <v>86</v>
      </c>
      <c r="I76" s="136" t="n">
        <f aca="false">VLOOKUP(H76,MPOSCORING,2, 0)</f>
        <v>0</v>
      </c>
      <c r="J76" s="39" t="s">
        <v>45</v>
      </c>
      <c r="K76" s="105" t="s">
        <v>157</v>
      </c>
      <c r="L76" s="41" t="n">
        <v>3</v>
      </c>
      <c r="M76" s="136" t="n">
        <f aca="false">VLOOKUP(L76,MPOSCORING,2, 0)</f>
        <v>96</v>
      </c>
      <c r="N76" s="42" t="s">
        <v>45</v>
      </c>
      <c r="O76" s="114" t="s">
        <v>157</v>
      </c>
      <c r="P76" s="44" t="n">
        <v>22</v>
      </c>
      <c r="Q76" s="136" t="n">
        <f aca="false">VLOOKUP(P76,MPOSCORING,2, 0)</f>
        <v>62</v>
      </c>
      <c r="R76" s="34" t="s">
        <v>45</v>
      </c>
      <c r="S76" s="106" t="str">
        <f aca="false">IFERROR(__xludf.dummyfunction("IMPORTRANGE(A95,""AE11"")"),"Chris Dickerson")</f>
        <v>Chris Dickerson</v>
      </c>
      <c r="T76" s="46" t="n">
        <v>4</v>
      </c>
      <c r="U76" s="138" t="n">
        <f aca="false">VLOOKUP(T76,MPOSCORING,2, 0)</f>
        <v>94</v>
      </c>
      <c r="V76" s="48" t="s">
        <v>45</v>
      </c>
      <c r="W76" s="107" t="str">
        <f aca="false">IFERROR(__xludf.dummyfunction("IMPORTRANGE(A95,""Am11"")"),"Chris Dickerson")</f>
        <v>Chris Dickerson</v>
      </c>
      <c r="X76" s="50" t="n">
        <v>8</v>
      </c>
      <c r="Y76" s="129" t="n">
        <f aca="false">VLOOKUP(X76,MPOSCORING,2, 0)</f>
        <v>87</v>
      </c>
      <c r="Z76" s="51"/>
      <c r="AA76" s="52" t="s">
        <v>45</v>
      </c>
      <c r="AB76" s="108" t="str">
        <f aca="false">IFERROR(__xludf.dummyfunction("IMPORTRANGE(A95,""Au11"")"),"Scott stokely ")</f>
        <v>Scott stokely</v>
      </c>
      <c r="AC76" s="54" t="n">
        <v>72</v>
      </c>
      <c r="AD76" s="130" t="n">
        <f aca="false">VLOOKUP(AC76,MPOSCORING,2, 0)</f>
        <v>0</v>
      </c>
      <c r="AE76" s="51"/>
      <c r="AF76" s="55" t="s">
        <v>45</v>
      </c>
      <c r="AG76" s="109" t="str">
        <f aca="false">IFERROR(__xludf.dummyfunction("IMPORTRANGE(A95,""bc11"")"),"Nate sexton")</f>
        <v>Nate sexton</v>
      </c>
      <c r="AH76" s="57" t="n">
        <v>10</v>
      </c>
      <c r="AI76" s="131" t="n">
        <f aca="false">VLOOKUP(AH76,MPOSCORING,2, 0)</f>
        <v>84</v>
      </c>
      <c r="AJ76" s="51"/>
      <c r="AK76" s="58" t="s">
        <v>45</v>
      </c>
      <c r="AL76" s="110" t="str">
        <f aca="false">IFERROR(__xludf.dummyfunction("IMPORTRANGE(A95,""bk11"")"),"Scott stokely")</f>
        <v>Scott stokely</v>
      </c>
      <c r="AM76" s="60" t="n">
        <v>97</v>
      </c>
      <c r="AN76" s="132" t="n">
        <f aca="false">VLOOKUP(AM76,MPOSCORING,2, 0)</f>
        <v>0</v>
      </c>
      <c r="AO76" s="51"/>
      <c r="AP76" s="61" t="s">
        <v>46</v>
      </c>
      <c r="AQ76" s="111" t="str">
        <f aca="false">IFERROR(__xludf.dummyfunction("IMPORTRANGE(A95,""bs11"")"),"")</f>
        <v/>
      </c>
      <c r="AR76" s="63" t="s">
        <v>31</v>
      </c>
      <c r="AS76" s="133" t="n">
        <f aca="false">VLOOKUP(AR76,MPOSCORING,2, 0)</f>
        <v>0</v>
      </c>
      <c r="AT76" s="51"/>
      <c r="AU76" s="64" t="s">
        <v>45</v>
      </c>
      <c r="AV76" s="112" t="str">
        <f aca="false">IFERROR(__xludf.dummyfunction("IMPORTRANGE(A95,""ca11"")"),"Scott stokely")</f>
        <v>Scott stokely</v>
      </c>
      <c r="AW76" s="66" t="n">
        <v>96</v>
      </c>
      <c r="AX76" s="134" t="n">
        <f aca="false">VLOOKUP(AW76,MPOSCORING,2, 0)</f>
        <v>0</v>
      </c>
      <c r="AY76" s="32"/>
      <c r="AZ76" s="36" t="s">
        <v>45</v>
      </c>
      <c r="BA76" s="139" t="str">
        <f aca="false">IFERROR(__xludf.dummyfunction("IMPORTRANGE(A95,""ci11"")"),"Scott stokely")</f>
        <v>Scott stokely</v>
      </c>
      <c r="BB76" s="37" t="s">
        <v>31</v>
      </c>
      <c r="BC76" s="135" t="n">
        <f aca="false">VLOOKUP(BB76,MPOSCORING,2, 0)</f>
        <v>0</v>
      </c>
      <c r="BD76" s="32"/>
      <c r="BE76" s="42" t="s">
        <v>45</v>
      </c>
      <c r="BF76" s="114" t="str">
        <f aca="false">IFERROR(__xludf.dummyfunction("IMPORTRANGE(A95,""cq11"")"),"KJUSA")</f>
        <v>KJUSA</v>
      </c>
      <c r="BG76" s="44" t="n">
        <v>12</v>
      </c>
      <c r="BH76" s="136" t="n">
        <f aca="false">VLOOKUP(BG76,MPOSCORING,2, 0)</f>
        <v>80</v>
      </c>
      <c r="BI76" s="32"/>
      <c r="BJ76" s="64" t="s">
        <v>45</v>
      </c>
      <c r="BK76" s="112" t="str">
        <f aca="false">IFERROR(__xludf.dummyfunction("IMPORTRANGE(A95,""cy11"")"),"KJUSA")</f>
        <v>KJUSA</v>
      </c>
      <c r="BL76" s="66" t="n">
        <v>3</v>
      </c>
      <c r="BM76" s="134" t="n">
        <f aca="false">VLOOKUP(BL76,MPOSCORING,2, 0)</f>
        <v>96</v>
      </c>
      <c r="BN76" s="32"/>
      <c r="BO76" s="64" t="s">
        <v>45</v>
      </c>
      <c r="BP76" s="112" t="str">
        <f aca="false">IFERROR(__xludf.dummyfunction("IMPORTRANGE(A95,""dg11"")"),"KJUSA")</f>
        <v>KJUSA</v>
      </c>
      <c r="BQ76" s="66" t="n">
        <v>28</v>
      </c>
      <c r="BR76" s="134" t="n">
        <f aca="false">VLOOKUP(BQ76,MPOSCORING,3, 0)</f>
        <v>102</v>
      </c>
      <c r="BS76" s="33"/>
      <c r="BT76" s="64" t="s">
        <v>45</v>
      </c>
      <c r="BU76" s="112" t="str">
        <f aca="false">IFERROR(__xludf.dummyfunction("IMPORTRANGE(A95,""do11"")"),"")</f>
        <v/>
      </c>
      <c r="BV76" s="66" t="s">
        <v>31</v>
      </c>
      <c r="BW76" s="134" t="n">
        <f aca="false">VLOOKUP(BV76,MPOSCORING,2, 0)</f>
        <v>0</v>
      </c>
      <c r="BX76" s="32"/>
      <c r="BY76" s="64" t="s">
        <v>45</v>
      </c>
      <c r="BZ76" s="112" t="str">
        <f aca="false">IFERROR(__xludf.dummyfunction("IMPORTRANGE(A95,""dw11"")"),"")</f>
        <v/>
      </c>
      <c r="CA76" s="66" t="s">
        <v>31</v>
      </c>
      <c r="CB76" s="134" t="n">
        <f aca="false">VLOOKUP(CA76,MPOSCORING,2, 0)</f>
        <v>0</v>
      </c>
      <c r="CC76" s="32"/>
      <c r="CD76" s="64" t="s">
        <v>45</v>
      </c>
      <c r="CE76" s="112"/>
      <c r="CF76" s="66" t="s">
        <v>31</v>
      </c>
      <c r="CG76" s="134" t="n">
        <f aca="false">VLOOKUP(CF76,MPOSCORING,3, 0)</f>
        <v>0</v>
      </c>
      <c r="CH76" s="33"/>
    </row>
    <row r="77" customFormat="false" ht="15" hidden="false" customHeight="false" outlineLevel="0" collapsed="false">
      <c r="A77" s="146" t="str">
        <f aca="false">IFERROR(__xludf.dummyfunction("IMPORTRANGE(A95,""a1"")"),"PUTTER? HARDLY KNOW HER (Wyatt)")</f>
        <v>PUTTER? HARDLY KNOW HER (Wyatt)</v>
      </c>
      <c r="B77" s="147" t="s">
        <v>158</v>
      </c>
      <c r="C77" s="147"/>
      <c r="D77" s="147"/>
      <c r="E77" s="147"/>
      <c r="F77" s="36" t="s">
        <v>48</v>
      </c>
      <c r="G77" s="139" t="s">
        <v>159</v>
      </c>
      <c r="H77" s="88" t="n">
        <v>66</v>
      </c>
      <c r="I77" s="136" t="n">
        <f aca="false">VLOOKUP(H77,MPOSCORING,2, 0)</f>
        <v>0</v>
      </c>
      <c r="J77" s="39" t="s">
        <v>48</v>
      </c>
      <c r="K77" s="105" t="s">
        <v>159</v>
      </c>
      <c r="L77" s="41" t="n">
        <v>73</v>
      </c>
      <c r="M77" s="136" t="n">
        <f aca="false">VLOOKUP(L77,MPOSCORING,2, 0)</f>
        <v>0</v>
      </c>
      <c r="N77" s="42" t="s">
        <v>48</v>
      </c>
      <c r="O77" s="114" t="s">
        <v>159</v>
      </c>
      <c r="P77" s="44" t="s">
        <v>31</v>
      </c>
      <c r="Q77" s="136" t="n">
        <f aca="false">VLOOKUP(P77,MPOSCORING,2, 0)</f>
        <v>0</v>
      </c>
      <c r="R77" s="34" t="s">
        <v>48</v>
      </c>
      <c r="S77" s="106" t="str">
        <f aca="false">IFERROR(__xludf.dummyfunction("IMPORTRANGE(A95,""AE12"")"),"Sexton")</f>
        <v>Sexton</v>
      </c>
      <c r="T77" s="46" t="n">
        <v>43</v>
      </c>
      <c r="U77" s="138" t="n">
        <f aca="false">VLOOKUP(T77,MPOSCORING,2, 0)</f>
        <v>23</v>
      </c>
      <c r="V77" s="48" t="s">
        <v>48</v>
      </c>
      <c r="W77" s="107" t="str">
        <f aca="false">IFERROR(__xludf.dummyfunction("IMPORTRANGE(A95,""Am12"")"),"Barsby")</f>
        <v>Barsby</v>
      </c>
      <c r="X77" s="50" t="n">
        <v>26</v>
      </c>
      <c r="Y77" s="129" t="n">
        <f aca="false">VLOOKUP(X77,MPOSCORING,2, 0)</f>
        <v>55</v>
      </c>
      <c r="Z77" s="51"/>
      <c r="AA77" s="52" t="s">
        <v>48</v>
      </c>
      <c r="AB77" s="108" t="str">
        <f aca="false">IFERROR(__xludf.dummyfunction("IMPORTRANGE(A95,""Au12"")"),"Gregg barsby ")</f>
        <v>Gregg barsby</v>
      </c>
      <c r="AC77" s="54" t="s">
        <v>31</v>
      </c>
      <c r="AD77" s="130" t="n">
        <f aca="false">VLOOKUP(AC77,FPOSCORING,2, 0)</f>
        <v>0</v>
      </c>
      <c r="AE77" s="51"/>
      <c r="AF77" s="55" t="s">
        <v>48</v>
      </c>
      <c r="AG77" s="109" t="str">
        <f aca="false">IFERROR(__xludf.dummyfunction("IMPORTRANGE(A95,""bc12"")"),"Philo")</f>
        <v>Philo</v>
      </c>
      <c r="AH77" s="57" t="s">
        <v>31</v>
      </c>
      <c r="AI77" s="131" t="n">
        <f aca="false">VLOOKUP(AH77,MPOSCORING,2, 0)</f>
        <v>0</v>
      </c>
      <c r="AJ77" s="51"/>
      <c r="AK77" s="58" t="s">
        <v>48</v>
      </c>
      <c r="AL77" s="110" t="str">
        <f aca="false">IFERROR(__xludf.dummyfunction("IMPORTRANGE(A95,""bk12"")"),"Philo")</f>
        <v>Philo</v>
      </c>
      <c r="AM77" s="60" t="s">
        <v>31</v>
      </c>
      <c r="AN77" s="132" t="n">
        <f aca="false">VLOOKUP(AM77,MPOSCORING,2, 0)</f>
        <v>0</v>
      </c>
      <c r="AO77" s="51"/>
      <c r="AP77" s="61" t="s">
        <v>49</v>
      </c>
      <c r="AQ77" s="111" t="str">
        <f aca="false">IFERROR(__xludf.dummyfunction("IMPORTRANGE(A95,""bs12"")"),"")</f>
        <v/>
      </c>
      <c r="AR77" s="63" t="s">
        <v>31</v>
      </c>
      <c r="AS77" s="133" t="n">
        <f aca="false">VLOOKUP(AR77,MPOSCORING,2, 0)</f>
        <v>0</v>
      </c>
      <c r="AT77" s="51"/>
      <c r="AU77" s="64" t="s">
        <v>48</v>
      </c>
      <c r="AV77" s="112" t="str">
        <f aca="false">IFERROR(__xludf.dummyfunction("IMPORTRANGE(A95,""ca12"")"),"Philo")</f>
        <v>Philo</v>
      </c>
      <c r="AW77" s="66" t="s">
        <v>31</v>
      </c>
      <c r="AX77" s="134" t="n">
        <f aca="false">VLOOKUP(AW77,MPOSCORING,2, 0)</f>
        <v>0</v>
      </c>
      <c r="AY77" s="32"/>
      <c r="AZ77" s="36" t="s">
        <v>48</v>
      </c>
      <c r="BA77" s="139" t="str">
        <f aca="false">IFERROR(__xludf.dummyfunction("IMPORTRANGE(A95,""ci12"")"),"Philo")</f>
        <v>Philo</v>
      </c>
      <c r="BB77" s="37" t="s">
        <v>31</v>
      </c>
      <c r="BC77" s="135" t="n">
        <f aca="false">VLOOKUP(BB77,MPOSCORING,2, 0)</f>
        <v>0</v>
      </c>
      <c r="BD77" s="32"/>
      <c r="BE77" s="42" t="s">
        <v>48</v>
      </c>
      <c r="BF77" s="114" t="str">
        <f aca="false">IFERROR(__xludf.dummyfunction("IMPORTRANGE(A95,""cq12"")"),"Nate sexton")</f>
        <v>Nate sexton</v>
      </c>
      <c r="BG77" s="44" t="n">
        <v>20</v>
      </c>
      <c r="BH77" s="136" t="n">
        <f aca="false">VLOOKUP(BG77,MPOSCORING,2, 0)</f>
        <v>66</v>
      </c>
      <c r="BI77" s="32"/>
      <c r="BJ77" s="64" t="s">
        <v>48</v>
      </c>
      <c r="BK77" s="112" t="str">
        <f aca="false">IFERROR(__xludf.dummyfunction("IMPORTRANGE(A95,""cy12"")"),"Nate sexton")</f>
        <v>Nate sexton</v>
      </c>
      <c r="BL77" s="66" t="s">
        <v>31</v>
      </c>
      <c r="BM77" s="134" t="n">
        <f aca="false">VLOOKUP(BL77,MPOSCORING,2, 0)</f>
        <v>0</v>
      </c>
      <c r="BN77" s="32"/>
      <c r="BO77" s="64" t="s">
        <v>48</v>
      </c>
      <c r="BP77" s="112" t="str">
        <f aca="false">IFERROR(__xludf.dummyfunction("IMPORTRANGE(A95,""dg12"")"),"Nate sexton")</f>
        <v>Nate sexton</v>
      </c>
      <c r="BQ77" s="66" t="n">
        <v>9</v>
      </c>
      <c r="BR77" s="134" t="n">
        <f aca="false">VLOOKUP(BQ77,MPOSCORING,3, 0)</f>
        <v>170</v>
      </c>
      <c r="BS77" s="33"/>
      <c r="BT77" s="64" t="s">
        <v>48</v>
      </c>
      <c r="BU77" s="112" t="str">
        <f aca="false">IFERROR(__xludf.dummyfunction("IMPORTRANGE(A95,""do12"")"),"")</f>
        <v/>
      </c>
      <c r="BV77" s="66" t="s">
        <v>31</v>
      </c>
      <c r="BW77" s="134" t="n">
        <f aca="false">VLOOKUP(BV77,MPOSCORING,2, 0)</f>
        <v>0</v>
      </c>
      <c r="BX77" s="32"/>
      <c r="BY77" s="64" t="s">
        <v>48</v>
      </c>
      <c r="BZ77" s="112" t="str">
        <f aca="false">IFERROR(__xludf.dummyfunction("IMPORTRANGE(A95,""dw12"")"),"")</f>
        <v/>
      </c>
      <c r="CA77" s="66" t="s">
        <v>31</v>
      </c>
      <c r="CB77" s="134" t="n">
        <f aca="false">VLOOKUP(CA77,MPOSCORING,2, 0)</f>
        <v>0</v>
      </c>
      <c r="CC77" s="32"/>
      <c r="CD77" s="64" t="s">
        <v>48</v>
      </c>
      <c r="CE77" s="112"/>
      <c r="CF77" s="66" t="s">
        <v>31</v>
      </c>
      <c r="CG77" s="134" t="n">
        <f aca="false">VLOOKUP(CF77,FPOSCORING,3, 0)</f>
        <v>0</v>
      </c>
      <c r="CH77" s="33"/>
    </row>
    <row r="78" customFormat="false" ht="15" hidden="false" customHeight="false" outlineLevel="0" collapsed="false">
      <c r="A78" s="146" t="str">
        <f aca="false">IFERROR(__xludf.dummyfunction("IMPORTRANGE(A95,""a1"")"),"PUTTER? HARDLY KNOW HER (Wyatt)")</f>
        <v>PUTTER? HARDLY KNOW HER (Wyatt)</v>
      </c>
      <c r="B78" s="147" t="s">
        <v>157</v>
      </c>
      <c r="C78" s="147"/>
      <c r="D78" s="147"/>
      <c r="E78" s="147"/>
      <c r="F78" s="36" t="s">
        <v>40</v>
      </c>
      <c r="G78" s="139" t="s">
        <v>160</v>
      </c>
      <c r="H78" s="88" t="s">
        <v>31</v>
      </c>
      <c r="I78" s="115" t="n">
        <f aca="false">VLOOKUP(H78,MPOSCORING,2, 0)</f>
        <v>0</v>
      </c>
      <c r="J78" s="39" t="s">
        <v>40</v>
      </c>
      <c r="K78" s="105" t="s">
        <v>160</v>
      </c>
      <c r="L78" s="41" t="n">
        <v>25</v>
      </c>
      <c r="M78" s="115" t="n">
        <f aca="false">VLOOKUP(L78,MPOSCORING,2, 0)</f>
        <v>57</v>
      </c>
      <c r="N78" s="42" t="s">
        <v>40</v>
      </c>
      <c r="O78" s="114" t="s">
        <v>160</v>
      </c>
      <c r="P78" s="44" t="s">
        <v>31</v>
      </c>
      <c r="Q78" s="115" t="n">
        <f aca="false">VLOOKUP(P78,MPOSCORING,2, 0)</f>
        <v>0</v>
      </c>
      <c r="R78" s="34" t="s">
        <v>40</v>
      </c>
      <c r="S78" s="106" t="str">
        <f aca="false">IFERROR(__xludf.dummyfunction("IMPORTRANGE(A95,""AE13"")"),"Philo")</f>
        <v>Philo</v>
      </c>
      <c r="T78" s="46" t="s">
        <v>31</v>
      </c>
      <c r="U78" s="116" t="n">
        <f aca="false">VLOOKUP(T78,MPOSCORING,2, 0)</f>
        <v>0</v>
      </c>
      <c r="V78" s="48" t="s">
        <v>40</v>
      </c>
      <c r="W78" s="107" t="str">
        <f aca="false">IFERROR(__xludf.dummyfunction("IMPORTRANGE(A95,""Am13"")"),"Ezra")</f>
        <v>Ezra</v>
      </c>
      <c r="X78" s="50" t="s">
        <v>31</v>
      </c>
      <c r="Y78" s="117" t="n">
        <f aca="false">VLOOKUP(X78,MPOSCORING,2, 0)</f>
        <v>0</v>
      </c>
      <c r="Z78" s="51"/>
      <c r="AA78" s="52" t="s">
        <v>40</v>
      </c>
      <c r="AB78" s="108" t="str">
        <f aca="false">IFERROR(__xludf.dummyfunction("IMPORTRANGE(A95,""Au13"")"),"Philo")</f>
        <v>Philo</v>
      </c>
      <c r="AC78" s="54" t="s">
        <v>31</v>
      </c>
      <c r="AD78" s="145" t="n">
        <f aca="false">VLOOKUP(AC78,MPOSCORING,2, 0)</f>
        <v>0</v>
      </c>
      <c r="AE78" s="51"/>
      <c r="AF78" s="55" t="s">
        <v>40</v>
      </c>
      <c r="AG78" s="109" t="str">
        <f aca="false">IFERROR(__xludf.dummyfunction("IMPORTRANGE(A95,""bc13"")"),"Chris Dickerson")</f>
        <v>Chris Dickerson</v>
      </c>
      <c r="AH78" s="57" t="s">
        <v>31</v>
      </c>
      <c r="AI78" s="118" t="n">
        <f aca="false">VLOOKUP(AH78,FPOSCORING,2, 0)</f>
        <v>0</v>
      </c>
      <c r="AJ78" s="51"/>
      <c r="AK78" s="58" t="s">
        <v>40</v>
      </c>
      <c r="AL78" s="110" t="str">
        <f aca="false">IFERROR(__xludf.dummyfunction("IMPORTRANGE(A95,""bk13"")"),"Chris Dickerson")</f>
        <v>Chris Dickerson</v>
      </c>
      <c r="AM78" s="60" t="s">
        <v>31</v>
      </c>
      <c r="AN78" s="119" t="n">
        <f aca="false">VLOOKUP(AM78,MPOSCORING,2, 0)</f>
        <v>0</v>
      </c>
      <c r="AO78" s="51"/>
      <c r="AP78" s="61" t="s">
        <v>51</v>
      </c>
      <c r="AQ78" s="111" t="str">
        <f aca="false">IFERROR(__xludf.dummyfunction("IMPORTRANGE(A95,""bs13"")"),"")</f>
        <v/>
      </c>
      <c r="AR78" s="63" t="s">
        <v>31</v>
      </c>
      <c r="AS78" s="61"/>
      <c r="AT78" s="51"/>
      <c r="AU78" s="64" t="s">
        <v>40</v>
      </c>
      <c r="AV78" s="123" t="str">
        <f aca="false">IFERROR(__xludf.dummyfunction("IMPORTRANGE(A95,""ca13"")"),"KJUSA")</f>
        <v>KJUSA</v>
      </c>
      <c r="AW78" s="66" t="s">
        <v>31</v>
      </c>
      <c r="AX78" s="120" t="n">
        <f aca="false">VLOOKUP(AW78,MPOSCORING,2, 0)</f>
        <v>0</v>
      </c>
      <c r="AY78" s="121"/>
      <c r="AZ78" s="36" t="s">
        <v>40</v>
      </c>
      <c r="BA78" s="140" t="str">
        <f aca="false">IFERROR(__xludf.dummyfunction("IMPORTRANGE(A95,""ci13"")"),"KJUSA")</f>
        <v>KJUSA</v>
      </c>
      <c r="BB78" s="37" t="s">
        <v>31</v>
      </c>
      <c r="BC78" s="122" t="n">
        <f aca="false">VLOOKUP(BB78,MPOSCORING,2, 0)</f>
        <v>0</v>
      </c>
      <c r="BD78" s="121"/>
      <c r="BE78" s="42" t="s">
        <v>40</v>
      </c>
      <c r="BF78" s="114" t="str">
        <f aca="false">IFERROR(__xludf.dummyfunction("IMPORTRANGE(A95,""cq13"")"),"Scott Stokely ")</f>
        <v>Scott Stokely</v>
      </c>
      <c r="BG78" s="44" t="s">
        <v>31</v>
      </c>
      <c r="BH78" s="115" t="n">
        <f aca="false">VLOOKUP(BG78,MPOSCORING,2, 0)</f>
        <v>0</v>
      </c>
      <c r="BI78" s="121"/>
      <c r="BJ78" s="64" t="s">
        <v>40</v>
      </c>
      <c r="BK78" s="123" t="str">
        <f aca="false">IFERROR(__xludf.dummyfunction("IMPORTRANGE(A95,""cy13"")"),"Scott Stokely ")</f>
        <v>Scott Stokely</v>
      </c>
      <c r="BL78" s="66" t="n">
        <v>35</v>
      </c>
      <c r="BM78" s="120" t="n">
        <f aca="false">VLOOKUP(BL78,MPOSCORING,2, 0)</f>
        <v>38</v>
      </c>
      <c r="BN78" s="121"/>
      <c r="BO78" s="64" t="s">
        <v>40</v>
      </c>
      <c r="BP78" s="123" t="str">
        <f aca="false">IFERROR(__xludf.dummyfunction("IMPORTRANGE(A95,""dg13"")"),"Scott Stokely ")</f>
        <v>Scott Stokely</v>
      </c>
      <c r="BQ78" s="66" t="s">
        <v>31</v>
      </c>
      <c r="BR78" s="120" t="n">
        <f aca="false">VLOOKUP(BQ78,MPOSCORING,2, 0)*2</f>
        <v>0</v>
      </c>
      <c r="BS78" s="124"/>
      <c r="BT78" s="64" t="s">
        <v>40</v>
      </c>
      <c r="BU78" s="123" t="str">
        <f aca="false">IFERROR(__xludf.dummyfunction("IMPORTRANGE(A95,""do13"")"),"")</f>
        <v/>
      </c>
      <c r="BV78" s="66" t="s">
        <v>31</v>
      </c>
      <c r="BW78" s="120" t="n">
        <f aca="false">VLOOKUP(BV78,MPOSCORING,2, 0)</f>
        <v>0</v>
      </c>
      <c r="BX78" s="121"/>
      <c r="BY78" s="64" t="s">
        <v>40</v>
      </c>
      <c r="BZ78" s="112" t="str">
        <f aca="false">IFERROR(__xludf.dummyfunction("IMPORTRANGE(A95,""dw13"")"),"")</f>
        <v/>
      </c>
      <c r="CA78" s="66" t="s">
        <v>31</v>
      </c>
      <c r="CB78" s="120" t="n">
        <f aca="false">VLOOKUP(CA78,MPOSCORING,2, 0)</f>
        <v>0</v>
      </c>
      <c r="CC78" s="121"/>
      <c r="CD78" s="64" t="s">
        <v>40</v>
      </c>
      <c r="CE78" s="123"/>
      <c r="CF78" s="66" t="s">
        <v>31</v>
      </c>
      <c r="CG78" s="120" t="n">
        <f aca="false">VLOOKUP(CF78,MPOSCORING,3, 0)</f>
        <v>0</v>
      </c>
      <c r="CH78" s="33"/>
    </row>
    <row r="79" customFormat="false" ht="15" hidden="false" customHeight="false" outlineLevel="0" collapsed="false">
      <c r="A79" s="146" t="str">
        <f aca="false">IFERROR(__xludf.dummyfunction("IMPORTRANGE(A95,""a1"")"),"PUTTER? HARDLY KNOW HER (Wyatt)")</f>
        <v>PUTTER? HARDLY KNOW HER (Wyatt)</v>
      </c>
      <c r="B79" s="147" t="s">
        <v>161</v>
      </c>
      <c r="C79" s="147"/>
      <c r="D79" s="147"/>
      <c r="E79" s="147"/>
      <c r="F79" s="36" t="s">
        <v>43</v>
      </c>
      <c r="G79" s="139" t="s">
        <v>162</v>
      </c>
      <c r="H79" s="37" t="s">
        <v>31</v>
      </c>
      <c r="I79" s="125" t="n">
        <f aca="false">VLOOKUP(H79,FPOSCORING,2, 0)</f>
        <v>0</v>
      </c>
      <c r="J79" s="39" t="s">
        <v>43</v>
      </c>
      <c r="K79" s="105" t="s">
        <v>162</v>
      </c>
      <c r="L79" s="41" t="s">
        <v>31</v>
      </c>
      <c r="M79" s="125" t="n">
        <f aca="false">VLOOKUP(L79,FPOSCORING,2, 0)</f>
        <v>0</v>
      </c>
      <c r="N79" s="42" t="s">
        <v>43</v>
      </c>
      <c r="O79" s="114" t="s">
        <v>162</v>
      </c>
      <c r="P79" s="44" t="s">
        <v>31</v>
      </c>
      <c r="Q79" s="125" t="n">
        <f aca="false">VLOOKUP(P79,FPOSCORING,2, 0)</f>
        <v>0</v>
      </c>
      <c r="R79" s="34" t="s">
        <v>43</v>
      </c>
      <c r="S79" s="106" t="str">
        <f aca="false">IFERROR(__xludf.dummyfunction("IMPORTRANGE(A95,""AE14"")"),"Paige shue")</f>
        <v>Paige shue</v>
      </c>
      <c r="T79" s="46" t="s">
        <v>31</v>
      </c>
      <c r="U79" s="126" t="n">
        <f aca="false">VLOOKUP(T79,FPOSCORING,2, 0)</f>
        <v>0</v>
      </c>
      <c r="V79" s="48" t="s">
        <v>43</v>
      </c>
      <c r="W79" s="107" t="str">
        <f aca="false">IFERROR(__xludf.dummyfunction("IMPORTRANGE(A95,""Am14"")"),"Paige shiu")</f>
        <v>Paige shiu</v>
      </c>
      <c r="X79" s="50" t="n">
        <v>33</v>
      </c>
      <c r="Y79" s="117" t="n">
        <f aca="false">VLOOKUP(X79,FPOSCORING,2, 0)</f>
        <v>0</v>
      </c>
      <c r="Z79" s="51"/>
      <c r="AA79" s="52" t="s">
        <v>43</v>
      </c>
      <c r="AB79" s="108" t="str">
        <f aca="false">IFERROR(__xludf.dummyfunction("IMPORTRANGE(A95,""Au14"")"),"Sexton")</f>
        <v>Sexton</v>
      </c>
      <c r="AC79" s="54" t="s">
        <v>31</v>
      </c>
      <c r="AD79" s="145" t="n">
        <f aca="false">VLOOKUP(AC79,MPOSCORING,2, 0)</f>
        <v>0</v>
      </c>
      <c r="AE79" s="51"/>
      <c r="AF79" s="55" t="s">
        <v>43</v>
      </c>
      <c r="AG79" s="109" t="str">
        <f aca="false">IFERROR(__xludf.dummyfunction("IMPORTRANGE(A95,""bc14"")"),"Gregg barsby ")</f>
        <v>Gregg barsby</v>
      </c>
      <c r="AH79" s="57" t="s">
        <v>31</v>
      </c>
      <c r="AI79" s="118" t="n">
        <f aca="false">VLOOKUP(AH79,MPOSCORING,2, 0)</f>
        <v>0</v>
      </c>
      <c r="AJ79" s="51"/>
      <c r="AK79" s="58" t="s">
        <v>43</v>
      </c>
      <c r="AL79" s="110" t="str">
        <f aca="false">IFERROR(__xludf.dummyfunction("IMPORTRANGE(A95,""bk14"")"),"Nate sexton")</f>
        <v>Nate sexton</v>
      </c>
      <c r="AM79" s="60" t="s">
        <v>31</v>
      </c>
      <c r="AN79" s="119" t="n">
        <f aca="false">VLOOKUP(AM79,FPOSCORING,2, 0)</f>
        <v>0</v>
      </c>
      <c r="AO79" s="51"/>
      <c r="AP79" s="61" t="s">
        <v>53</v>
      </c>
      <c r="AQ79" s="111" t="str">
        <f aca="false">IFERROR(__xludf.dummyfunction("IMPORTRANGE(A95,""bs14"")"),"")</f>
        <v/>
      </c>
      <c r="AR79" s="63" t="s">
        <v>31</v>
      </c>
      <c r="AS79" s="61"/>
      <c r="AT79" s="51"/>
      <c r="AU79" s="64" t="s">
        <v>43</v>
      </c>
      <c r="AV79" s="112" t="str">
        <f aca="false">IFERROR(__xludf.dummyfunction("IMPORTRANGE(A95,""ca14"")"),"Nate sexton")</f>
        <v>Nate sexton</v>
      </c>
      <c r="AW79" s="66" t="s">
        <v>31</v>
      </c>
      <c r="AX79" s="120" t="n">
        <f aca="false">VLOOKUP(AW79,FPOSCORING,2, 0)</f>
        <v>0</v>
      </c>
      <c r="AY79" s="121"/>
      <c r="AZ79" s="36" t="s">
        <v>43</v>
      </c>
      <c r="BA79" s="139" t="str">
        <f aca="false">IFERROR(__xludf.dummyfunction("IMPORTRANGE(A95,""ci14"")"),"Nate sexton")</f>
        <v>Nate sexton</v>
      </c>
      <c r="BB79" s="37" t="s">
        <v>31</v>
      </c>
      <c r="BC79" s="122" t="n">
        <f aca="false">VLOOKUP(BB79,FPOSCORING,2, 0)</f>
        <v>0</v>
      </c>
      <c r="BD79" s="121"/>
      <c r="BE79" s="42" t="s">
        <v>43</v>
      </c>
      <c r="BF79" s="114" t="str">
        <f aca="false">IFERROR(__xludf.dummyfunction("IMPORTRANGE(A95,""cq14"")"),"Philo")</f>
        <v>Philo</v>
      </c>
      <c r="BG79" s="44" t="s">
        <v>31</v>
      </c>
      <c r="BH79" s="115" t="n">
        <f aca="false">VLOOKUP(BG79,FPOSCORING,2, 0)</f>
        <v>0</v>
      </c>
      <c r="BI79" s="121"/>
      <c r="BJ79" s="64" t="s">
        <v>43</v>
      </c>
      <c r="BK79" s="112" t="str">
        <f aca="false">IFERROR(__xludf.dummyfunction("IMPORTRANGE(A95,""cy14"")"),"Philo")</f>
        <v>Philo</v>
      </c>
      <c r="BL79" s="66" t="s">
        <v>31</v>
      </c>
      <c r="BM79" s="120" t="n">
        <f aca="false">VLOOKUP(BL79,FPOSCORING,2, 0)</f>
        <v>0</v>
      </c>
      <c r="BN79" s="121"/>
      <c r="BO79" s="64" t="s">
        <v>43</v>
      </c>
      <c r="BP79" s="112" t="str">
        <f aca="false">IFERROR(__xludf.dummyfunction("IMPORTRANGE(A95,""dg14"")"),"Philo")</f>
        <v>Philo</v>
      </c>
      <c r="BQ79" s="66" t="s">
        <v>31</v>
      </c>
      <c r="BR79" s="120" t="n">
        <f aca="false">VLOOKUP(BQ79,FPOSCORING,2, 0)*2</f>
        <v>0</v>
      </c>
      <c r="BS79" s="124"/>
      <c r="BT79" s="64" t="s">
        <v>43</v>
      </c>
      <c r="BU79" s="112" t="str">
        <f aca="false">IFERROR(__xludf.dummyfunction("IMPORTRANGE(A95,""do14"")"),"")</f>
        <v/>
      </c>
      <c r="BV79" s="66" t="s">
        <v>31</v>
      </c>
      <c r="BW79" s="120" t="n">
        <f aca="false">VLOOKUP(BV79,FPOSCORING,2, 0)</f>
        <v>0</v>
      </c>
      <c r="BX79" s="121"/>
      <c r="BY79" s="64" t="s">
        <v>43</v>
      </c>
      <c r="BZ79" s="112" t="str">
        <f aca="false">IFERROR(__xludf.dummyfunction("IMPORTRANGE(A95,""dw14"")"),"")</f>
        <v/>
      </c>
      <c r="CA79" s="66" t="s">
        <v>31</v>
      </c>
      <c r="CB79" s="120" t="n">
        <f aca="false">VLOOKUP(CA79,FPOSCORING,2, 0)</f>
        <v>0</v>
      </c>
      <c r="CC79" s="121"/>
      <c r="CD79" s="64" t="s">
        <v>43</v>
      </c>
      <c r="CE79" s="112"/>
      <c r="CF79" s="66" t="s">
        <v>31</v>
      </c>
      <c r="CG79" s="120" t="n">
        <f aca="false">VLOOKUP(CF79,FPOSCORING,3, 0)</f>
        <v>0</v>
      </c>
      <c r="CH79" s="124"/>
    </row>
    <row r="80" customFormat="false" ht="15" hidden="false" customHeight="false" outlineLevel="0" collapsed="false">
      <c r="A80" s="146" t="str">
        <f aca="false">IFERROR(__xludf.dummyfunction("IMPORTRANGE(A95,""a1"")"),"PUTTER? HARDLY KNOW HER (Wyatt)")</f>
        <v>PUTTER? HARDLY KNOW HER (Wyatt)</v>
      </c>
      <c r="B80" s="147" t="s">
        <v>162</v>
      </c>
      <c r="C80" s="147"/>
      <c r="D80" s="147"/>
      <c r="E80" s="147"/>
      <c r="F80" s="36" t="s">
        <v>46</v>
      </c>
      <c r="G80" s="139" t="s">
        <v>163</v>
      </c>
      <c r="H80" s="37" t="s">
        <v>164</v>
      </c>
      <c r="I80" s="115" t="n">
        <f aca="false">VLOOKUP(H80,MPOSCORING,2, 0)</f>
        <v>0</v>
      </c>
      <c r="J80" s="39" t="s">
        <v>46</v>
      </c>
      <c r="K80" s="105" t="s">
        <v>156</v>
      </c>
      <c r="L80" s="41" t="s">
        <v>31</v>
      </c>
      <c r="M80" s="115" t="n">
        <f aca="false">VLOOKUP(L80,MPOSCORING,2, 0)</f>
        <v>0</v>
      </c>
      <c r="N80" s="42" t="s">
        <v>46</v>
      </c>
      <c r="O80" s="114" t="s">
        <v>156</v>
      </c>
      <c r="P80" s="44" t="s">
        <v>31</v>
      </c>
      <c r="Q80" s="115" t="n">
        <f aca="false">VLOOKUP(P80,MPOSCORING,2, 0)</f>
        <v>0</v>
      </c>
      <c r="R80" s="34" t="s">
        <v>46</v>
      </c>
      <c r="S80" s="106" t="str">
        <f aca="false">IFERROR(__xludf.dummyfunction("IMPORTRANGE(A95,""AE15"")"),"Barsby")</f>
        <v>Barsby</v>
      </c>
      <c r="T80" s="46" t="s">
        <v>31</v>
      </c>
      <c r="U80" s="116" t="n">
        <f aca="false">VLOOKUP(T80,MPOSCORING,2, 0)</f>
        <v>0</v>
      </c>
      <c r="V80" s="48" t="s">
        <v>46</v>
      </c>
      <c r="W80" s="107" t="str">
        <f aca="false">IFERROR(__xludf.dummyfunction("IMPORTRANGE(A95,""Am15"")"),"")</f>
        <v/>
      </c>
      <c r="X80" s="50"/>
      <c r="Y80" s="117" t="e">
        <f aca="false">VLOOKUP(X80,MPOSCORING,2, 0)</f>
        <v>#N/A</v>
      </c>
      <c r="Z80" s="51"/>
      <c r="AA80" s="52" t="s">
        <v>46</v>
      </c>
      <c r="AB80" s="108" t="str">
        <f aca="false">IFERROR(__xludf.dummyfunction("IMPORTRANGE(A95,""Au15"")"),"Paige Shue")</f>
        <v>Paige Shue</v>
      </c>
      <c r="AC80" s="54" t="s">
        <v>31</v>
      </c>
      <c r="AD80" s="145" t="n">
        <f aca="false">VLOOKUP(AC80,MPOSCORING,2, 0)</f>
        <v>0</v>
      </c>
      <c r="AE80" s="51"/>
      <c r="AF80" s="55" t="s">
        <v>46</v>
      </c>
      <c r="AG80" s="109" t="str">
        <f aca="false">IFERROR(__xludf.dummyfunction("IMPORTRANGE(A95,""bc15"")"),"Paige Shue")</f>
        <v>Paige Shue</v>
      </c>
      <c r="AH80" s="57" t="s">
        <v>31</v>
      </c>
      <c r="AI80" s="118" t="n">
        <f aca="false">VLOOKUP(AH80,MPOSCORING,2, 0)</f>
        <v>0</v>
      </c>
      <c r="AJ80" s="51"/>
      <c r="AK80" s="58" t="s">
        <v>46</v>
      </c>
      <c r="AL80" s="110" t="str">
        <f aca="false">IFERROR(__xludf.dummyfunction("IMPORTRANGE(A95,""bk15"")"),"Paige Shue")</f>
        <v>Paige Shue</v>
      </c>
      <c r="AM80" s="60" t="s">
        <v>31</v>
      </c>
      <c r="AN80" s="119" t="n">
        <f aca="false">VLOOKUP(AM80,MPOSCORING,2, 0)</f>
        <v>0</v>
      </c>
      <c r="AO80" s="51"/>
      <c r="AP80" s="61" t="s">
        <v>55</v>
      </c>
      <c r="AQ80" s="111" t="str">
        <f aca="false">IFERROR(__xludf.dummyfunction("IMPORTRANGE(A95,""bs15"")"),"")</f>
        <v/>
      </c>
      <c r="AR80" s="63" t="s">
        <v>31</v>
      </c>
      <c r="AS80" s="61"/>
      <c r="AT80" s="51"/>
      <c r="AU80" s="64" t="s">
        <v>46</v>
      </c>
      <c r="AV80" s="112" t="str">
        <f aca="false">IFERROR(__xludf.dummyfunction("IMPORTRANGE(A95,""ca15"")"),"Jen Allen")</f>
        <v>Jen Allen</v>
      </c>
      <c r="AW80" s="66" t="s">
        <v>31</v>
      </c>
      <c r="AX80" s="120" t="n">
        <f aca="false">VLOOKUP(AW80,MPOSCORING,2, 0)</f>
        <v>0</v>
      </c>
      <c r="AY80" s="121"/>
      <c r="AZ80" s="36" t="s">
        <v>46</v>
      </c>
      <c r="BA80" s="139" t="str">
        <f aca="false">IFERROR(__xludf.dummyfunction("IMPORTRANGE(A95,""ci15"")"),"Jen Allen")</f>
        <v>Jen Allen</v>
      </c>
      <c r="BB80" s="37" t="s">
        <v>31</v>
      </c>
      <c r="BC80" s="122" t="n">
        <f aca="false">VLOOKUP(BB80,MPOSCORING,2, 0)</f>
        <v>0</v>
      </c>
      <c r="BD80" s="121"/>
      <c r="BE80" s="42" t="s">
        <v>46</v>
      </c>
      <c r="BF80" s="114" t="str">
        <f aca="false">IFERROR(__xludf.dummyfunction("IMPORTRANGE(A95,""cq15"")"),"Paige shue ")</f>
        <v>Paige shue</v>
      </c>
      <c r="BG80" s="44" t="s">
        <v>31</v>
      </c>
      <c r="BH80" s="115" t="n">
        <f aca="false">VLOOKUP(BG80,MPOSCORING,2, 0)</f>
        <v>0</v>
      </c>
      <c r="BI80" s="121"/>
      <c r="BJ80" s="64" t="s">
        <v>46</v>
      </c>
      <c r="BK80" s="112" t="str">
        <f aca="false">IFERROR(__xludf.dummyfunction("IMPORTRANGE(A95,""cy15"")"),"Paige shue ")</f>
        <v>Paige shue</v>
      </c>
      <c r="BL80" s="66" t="s">
        <v>31</v>
      </c>
      <c r="BM80" s="120" t="n">
        <f aca="false">VLOOKUP(BL80,MPOSCORING,2, 0)</f>
        <v>0</v>
      </c>
      <c r="BN80" s="121"/>
      <c r="BO80" s="64" t="s">
        <v>46</v>
      </c>
      <c r="BP80" s="112" t="str">
        <f aca="false">IFERROR(__xludf.dummyfunction("IMPORTRANGE(A95,""dg15"")"),"Paige shue ")</f>
        <v>Paige shue</v>
      </c>
      <c r="BQ80" s="66" t="s">
        <v>31</v>
      </c>
      <c r="BR80" s="120" t="n">
        <f aca="false">VLOOKUP(BQ80,MPOSCORING,2, 0)*2</f>
        <v>0</v>
      </c>
      <c r="BS80" s="124"/>
      <c r="BT80" s="64" t="s">
        <v>46</v>
      </c>
      <c r="BU80" s="112" t="str">
        <f aca="false">IFERROR(__xludf.dummyfunction("IMPORTRANGE(A95,""do15"")"),"")</f>
        <v/>
      </c>
      <c r="BV80" s="66" t="s">
        <v>31</v>
      </c>
      <c r="BW80" s="120" t="n">
        <f aca="false">VLOOKUP(BV80,MPOSCORING,2, 0)</f>
        <v>0</v>
      </c>
      <c r="BX80" s="121"/>
      <c r="BY80" s="64" t="s">
        <v>46</v>
      </c>
      <c r="BZ80" s="112" t="str">
        <f aca="false">IFERROR(__xludf.dummyfunction("IMPORTRANGE(A95,""dw15"")"),"")</f>
        <v/>
      </c>
      <c r="CA80" s="66" t="s">
        <v>31</v>
      </c>
      <c r="CB80" s="120" t="n">
        <f aca="false">VLOOKUP(CA80,MPOSCORING,2, 0)</f>
        <v>0</v>
      </c>
      <c r="CC80" s="121"/>
      <c r="CD80" s="64" t="s">
        <v>46</v>
      </c>
      <c r="CE80" s="112"/>
      <c r="CF80" s="66" t="s">
        <v>31</v>
      </c>
      <c r="CG80" s="120" t="n">
        <f aca="false">VLOOKUP(CF80,MPOSCORING,3, 0)</f>
        <v>0</v>
      </c>
      <c r="CH80" s="124"/>
    </row>
    <row r="81" customFormat="false" ht="13.85" hidden="true" customHeight="false" outlineLevel="0" collapsed="false">
      <c r="A81" s="16" t="s">
        <v>165</v>
      </c>
      <c r="I81" s="127"/>
      <c r="U81" s="127"/>
      <c r="BS81" s="18"/>
      <c r="CH81" s="18"/>
    </row>
    <row r="82" customFormat="false" ht="15" hidden="false" customHeight="false" outlineLevel="0" collapsed="false">
      <c r="A82" s="148" t="str">
        <f aca="false">IFERROR(__xludf.dummyfunction("IMPORTRANGE(A110,""a1"")"),"The_Legit_Pat")</f>
        <v>The_Legit_Pat</v>
      </c>
      <c r="B82" s="58" t="s">
        <v>166</v>
      </c>
      <c r="C82" s="58"/>
      <c r="D82" s="58"/>
      <c r="E82" s="58"/>
      <c r="F82" s="36" t="s">
        <v>29</v>
      </c>
      <c r="G82" s="35" t="s">
        <v>167</v>
      </c>
      <c r="H82" s="88" t="n">
        <v>28</v>
      </c>
      <c r="I82" s="38" t="n">
        <f aca="false">VLOOKUP(H82,FPOSCORING,2, 0)</f>
        <v>0</v>
      </c>
      <c r="J82" s="39" t="s">
        <v>29</v>
      </c>
      <c r="K82" s="40" t="str">
        <f aca="false">IFERROR(__xludf.dummyfunction("IMPORTRANGE(A110,""o6"")"),"Jessica Weese")</f>
        <v>Jessica Weese</v>
      </c>
      <c r="L82" s="41" t="n">
        <v>10</v>
      </c>
      <c r="M82" s="38" t="n">
        <f aca="false">VLOOKUP(L82,FPOSCORING,2, 0)</f>
        <v>58</v>
      </c>
      <c r="N82" s="42" t="s">
        <v>29</v>
      </c>
      <c r="O82" s="43" t="str">
        <f aca="false">IFERROR(__xludf.dummyfunction("IMPORTRANGE(A110,""W6"")"),"Hailey King")</f>
        <v>Hailey King</v>
      </c>
      <c r="P82" s="44" t="n">
        <v>11</v>
      </c>
      <c r="Q82" s="38" t="n">
        <f aca="false">VLOOKUP(P82,FPOSCORING,2, 0)</f>
        <v>52</v>
      </c>
      <c r="R82" s="34" t="s">
        <v>29</v>
      </c>
      <c r="S82" s="45" t="str">
        <f aca="false">IFERROR(__xludf.dummyfunction("IMPORTRANGE(A110,""AE6"")"),"Hailey King")</f>
        <v>Hailey King</v>
      </c>
      <c r="T82" s="46" t="n">
        <v>10</v>
      </c>
      <c r="U82" s="47" t="n">
        <f aca="false">VLOOKUP(T82,FPOSCORING,2, 0)</f>
        <v>58</v>
      </c>
      <c r="V82" s="48" t="s">
        <v>29</v>
      </c>
      <c r="W82" s="49" t="str">
        <f aca="false">IFERROR(__xludf.dummyfunction("IMPORTRANGE(A110,""Am6"")"),"Hailey King")</f>
        <v>Hailey King</v>
      </c>
      <c r="X82" s="50" t="n">
        <v>6</v>
      </c>
      <c r="Y82" s="129" t="n">
        <f aca="false">VLOOKUP(X82,FPOSCORING,2, 0)</f>
        <v>76</v>
      </c>
      <c r="Z82" s="51"/>
      <c r="AA82" s="52" t="s">
        <v>29</v>
      </c>
      <c r="AB82" s="53" t="str">
        <f aca="false">IFERROR(__xludf.dummyfunction("IMPORTRANGE(A110,""Au6"")"),"Hailey King")</f>
        <v>Hailey King</v>
      </c>
      <c r="AC82" s="54" t="n">
        <v>23</v>
      </c>
      <c r="AD82" s="130" t="n">
        <f aca="false">VLOOKUP(AC82,FPOSCORING,2, 0)</f>
        <v>7</v>
      </c>
      <c r="AE82" s="51"/>
      <c r="AF82" s="55" t="s">
        <v>29</v>
      </c>
      <c r="AG82" s="56" t="str">
        <f aca="false">IFERROR(__xludf.dummyfunction("IMPORTRANGE(A110,""bc6"")"),"Kat Mertsch")</f>
        <v>Kat Mertsch</v>
      </c>
      <c r="AH82" s="57" t="n">
        <v>7</v>
      </c>
      <c r="AI82" s="131" t="n">
        <f aca="false">VLOOKUP(AH82,FPOSCORING,2, 0)</f>
        <v>71</v>
      </c>
      <c r="AJ82" s="51"/>
      <c r="AK82" s="58" t="s">
        <v>29</v>
      </c>
      <c r="AL82" s="59" t="str">
        <f aca="false">IFERROR(__xludf.dummyfunction("IMPORTRANGE(A110,""bk6"")"),"Hailey King")</f>
        <v>Hailey King</v>
      </c>
      <c r="AM82" s="60" t="n">
        <v>25</v>
      </c>
      <c r="AN82" s="132" t="n">
        <f aca="false">VLOOKUP(AM82,FPOSCORING,2, 0)</f>
        <v>5</v>
      </c>
      <c r="AO82" s="51"/>
      <c r="AP82" s="61" t="s">
        <v>29</v>
      </c>
      <c r="AQ82" s="62" t="str">
        <f aca="false">IFERROR(__xludf.dummyfunction("IMPORTRANGE(A110,""bs6"")"),"Hailey King")</f>
        <v>Hailey King</v>
      </c>
      <c r="AR82" s="63" t="n">
        <v>1</v>
      </c>
      <c r="AS82" s="133" t="n">
        <f aca="false">VLOOKUP(AR82,MPOSCORING,2, 0)</f>
        <v>100</v>
      </c>
      <c r="AT82" s="51"/>
      <c r="AU82" s="64" t="s">
        <v>29</v>
      </c>
      <c r="AV82" s="65" t="str">
        <f aca="false">IFERROR(__xludf.dummyfunction("IMPORTRANGE(A110,""ca6"")"),"Hailey King")</f>
        <v>Hailey King</v>
      </c>
      <c r="AW82" s="66" t="s">
        <v>30</v>
      </c>
      <c r="AX82" s="134" t="n">
        <f aca="false">VLOOKUP(AW82,FPOSCORING,2, 0)</f>
        <v>0</v>
      </c>
      <c r="AY82" s="32"/>
      <c r="AZ82" s="36" t="s">
        <v>29</v>
      </c>
      <c r="BA82" s="67" t="str">
        <f aca="false">IFERROR(__xludf.dummyfunction("IMPORTRANGE(A110,""ci6"")"),"Hailey King")</f>
        <v>Hailey King</v>
      </c>
      <c r="BB82" s="37" t="n">
        <v>11</v>
      </c>
      <c r="BC82" s="135" t="n">
        <f aca="false">VLOOKUP(BB82,FPOSCORING,2, 0)</f>
        <v>52</v>
      </c>
      <c r="BD82" s="32"/>
      <c r="BE82" s="42" t="s">
        <v>29</v>
      </c>
      <c r="BF82" s="68" t="str">
        <f aca="false">IFERROR(__xludf.dummyfunction("IMPORTRANGE(A110,""cq6"")"),"Hailey King")</f>
        <v>Hailey King</v>
      </c>
      <c r="BG82" s="44" t="n">
        <v>31</v>
      </c>
      <c r="BH82" s="136" t="n">
        <f aca="false">VLOOKUP(BG82,FPOSCORING,2, 0)</f>
        <v>0</v>
      </c>
      <c r="BI82" s="32"/>
      <c r="BJ82" s="64" t="s">
        <v>29</v>
      </c>
      <c r="BK82" s="65" t="str">
        <f aca="false">IFERROR(__xludf.dummyfunction("IMPORTRANGE(A110,""cy6"")"),"Hailey King")</f>
        <v>Hailey King</v>
      </c>
      <c r="BL82" s="66" t="n">
        <v>20</v>
      </c>
      <c r="BM82" s="134" t="n">
        <f aca="false">VLOOKUP(BL82,FPOSCORING,2, 0)</f>
        <v>12</v>
      </c>
      <c r="BN82" s="32"/>
      <c r="BO82" s="64" t="s">
        <v>29</v>
      </c>
      <c r="BP82" s="65" t="str">
        <f aca="false">IFERROR(__xludf.dummyfunction("IMPORTRANGE(A110,""dg6"")"),"Hailey King")</f>
        <v>Hailey King</v>
      </c>
      <c r="BQ82" s="66" t="n">
        <v>9</v>
      </c>
      <c r="BR82" s="134" t="n">
        <f aca="false">VLOOKUP(BQ82,FPOSCORING,3, 0)</f>
        <v>124</v>
      </c>
      <c r="BS82" s="33"/>
      <c r="BT82" s="64" t="s">
        <v>29</v>
      </c>
      <c r="BU82" s="65" t="str">
        <f aca="false">IFERROR(__xludf.dummyfunction("IMPORTRANGE(A110,""do6"")"),"")</f>
        <v/>
      </c>
      <c r="BV82" s="66" t="s">
        <v>31</v>
      </c>
      <c r="BW82" s="134" t="n">
        <f aca="false">VLOOKUP(BV82,FPOSCORING,2, 0)</f>
        <v>0</v>
      </c>
      <c r="BX82" s="32"/>
      <c r="BY82" s="64" t="s">
        <v>29</v>
      </c>
      <c r="BZ82" s="65" t="str">
        <f aca="false">IFERROR(__xludf.dummyfunction("IMPORTRANGE(A110,""dw6"")"),"")</f>
        <v/>
      </c>
      <c r="CA82" s="66" t="s">
        <v>31</v>
      </c>
      <c r="CB82" s="134" t="n">
        <f aca="false">VLOOKUP(CA82,FPOSCORING,2, 0)</f>
        <v>0</v>
      </c>
      <c r="CC82" s="32"/>
      <c r="CD82" s="64" t="s">
        <v>29</v>
      </c>
      <c r="CE82" s="65"/>
      <c r="CF82" s="66" t="s">
        <v>31</v>
      </c>
      <c r="CG82" s="134" t="n">
        <f aca="false">VLOOKUP(CF82,FPOSCORING,3, 0)</f>
        <v>0</v>
      </c>
      <c r="CH82" s="33"/>
    </row>
    <row r="83" customFormat="false" ht="15" hidden="false" customHeight="false" outlineLevel="0" collapsed="false">
      <c r="A83" s="148" t="str">
        <f aca="false">IFERROR(__xludf.dummyfunction("IMPORTRANGE(A110,""a1"")"),"The_Legit_Pat")</f>
        <v>The_Legit_Pat</v>
      </c>
      <c r="B83" s="58" t="s">
        <v>168</v>
      </c>
      <c r="C83" s="58"/>
      <c r="D83" s="58"/>
      <c r="E83" s="58"/>
      <c r="F83" s="36" t="s">
        <v>34</v>
      </c>
      <c r="G83" s="67" t="s">
        <v>169</v>
      </c>
      <c r="H83" s="69" t="n">
        <v>20</v>
      </c>
      <c r="I83" s="38" t="n">
        <f aca="false">VLOOKUP(H83,FPOSCORING,2, 0)</f>
        <v>12</v>
      </c>
      <c r="J83" s="39" t="s">
        <v>34</v>
      </c>
      <c r="K83" s="70" t="str">
        <f aca="false">IFERROR(__xludf.dummyfunction("IMPORTRANGE(A110,""o7"")"),"Kat Mertsch ")</f>
        <v>Kat Mertsch</v>
      </c>
      <c r="L83" s="71" t="n">
        <v>8</v>
      </c>
      <c r="M83" s="38" t="n">
        <f aca="false">VLOOKUP(L83,FPOSCORING,2, 0)</f>
        <v>67</v>
      </c>
      <c r="N83" s="42" t="s">
        <v>34</v>
      </c>
      <c r="O83" s="43" t="str">
        <f aca="false">IFERROR(__xludf.dummyfunction("IMPORTRANGE(A110,""W7"")"),"Jessica Weese")</f>
        <v>Jessica Weese</v>
      </c>
      <c r="P83" s="72" t="n">
        <v>33</v>
      </c>
      <c r="Q83" s="38" t="n">
        <f aca="false">VLOOKUP(P83,FPOSCORING,2, 0)</f>
        <v>0</v>
      </c>
      <c r="R83" s="34" t="s">
        <v>34</v>
      </c>
      <c r="S83" s="73" t="str">
        <f aca="false">IFERROR(__xludf.dummyfunction("IMPORTRANGE(A110,""AE7"")"),"Kat Mertsch")</f>
        <v>Kat Mertsch</v>
      </c>
      <c r="T83" s="74" t="n">
        <v>3</v>
      </c>
      <c r="U83" s="47" t="n">
        <f aca="false">VLOOKUP(T83,FPOSCORING,2, 0)</f>
        <v>91</v>
      </c>
      <c r="V83" s="48" t="s">
        <v>34</v>
      </c>
      <c r="W83" s="75" t="str">
        <f aca="false">IFERROR(__xludf.dummyfunction("IMPORTRANGE(A110,""Am7"")"),"Kat Mertsch")</f>
        <v>Kat Mertsch</v>
      </c>
      <c r="X83" s="76" t="n">
        <v>17</v>
      </c>
      <c r="Y83" s="129" t="n">
        <f aca="false">VLOOKUP(X83,FPOSCORING,2, 0)</f>
        <v>24</v>
      </c>
      <c r="Z83" s="51"/>
      <c r="AA83" s="52" t="s">
        <v>34</v>
      </c>
      <c r="AB83" s="77" t="str">
        <f aca="false">IFERROR(__xludf.dummyfunction("IMPORTRANGE(A110,""Au7"")"),"Kat Mertsch")</f>
        <v>Kat Mertsch</v>
      </c>
      <c r="AC83" s="78" t="n">
        <v>18</v>
      </c>
      <c r="AD83" s="130" t="n">
        <f aca="false">VLOOKUP(AC83,FPOSCORING,2, 0)</f>
        <v>19</v>
      </c>
      <c r="AE83" s="51"/>
      <c r="AF83" s="55" t="s">
        <v>34</v>
      </c>
      <c r="AG83" s="79" t="str">
        <f aca="false">IFERROR(__xludf.dummyfunction("IMPORTRANGE(A110,""bc7"")"),"Jessica Weese")</f>
        <v>Jessica Weese</v>
      </c>
      <c r="AH83" s="80" t="n">
        <v>16</v>
      </c>
      <c r="AI83" s="131" t="n">
        <f aca="false">VLOOKUP(AH83,FPOSCORING,2, 0)</f>
        <v>29</v>
      </c>
      <c r="AJ83" s="51"/>
      <c r="AK83" s="58" t="s">
        <v>34</v>
      </c>
      <c r="AL83" s="81" t="str">
        <f aca="false">IFERROR(__xludf.dummyfunction("IMPORTRANGE(A110,""bk7"")"),"Natalie Ryan")</f>
        <v>Natalie Ryan</v>
      </c>
      <c r="AM83" s="82" t="n">
        <v>18</v>
      </c>
      <c r="AN83" s="132" t="n">
        <f aca="false">VLOOKUP(AM83,FPOSCORING,2, 0)</f>
        <v>19</v>
      </c>
      <c r="AO83" s="51"/>
      <c r="AP83" s="61" t="s">
        <v>34</v>
      </c>
      <c r="AQ83" s="83" t="str">
        <f aca="false">IFERROR(__xludf.dummyfunction("IMPORTRANGE(A110,""bs7"")"),"Jessica Weese")</f>
        <v>Jessica Weese</v>
      </c>
      <c r="AR83" s="84" t="n">
        <v>24</v>
      </c>
      <c r="AS83" s="133" t="n">
        <f aca="false">VLOOKUP(AR83,MPOSCORING,2, 0)</f>
        <v>58</v>
      </c>
      <c r="AT83" s="51"/>
      <c r="AU83" s="64" t="s">
        <v>34</v>
      </c>
      <c r="AV83" s="85" t="str">
        <f aca="false">IFERROR(__xludf.dummyfunction("IMPORTRANGE(A110,""ca7"")"),"Kat Mertsch")</f>
        <v>Kat Mertsch</v>
      </c>
      <c r="AW83" s="86" t="n">
        <v>19</v>
      </c>
      <c r="AX83" s="134" t="n">
        <f aca="false">VLOOKUP(AW83,FPOSCORING,2, 0)</f>
        <v>15</v>
      </c>
      <c r="AY83" s="32"/>
      <c r="AZ83" s="36" t="s">
        <v>34</v>
      </c>
      <c r="BA83" s="35" t="str">
        <f aca="false">IFERROR(__xludf.dummyfunction("IMPORTRANGE(A110,""ci7"")"),"Kat Mertsch")</f>
        <v>Kat Mertsch</v>
      </c>
      <c r="BB83" s="69" t="n">
        <v>9</v>
      </c>
      <c r="BC83" s="135" t="n">
        <f aca="false">VLOOKUP(BB83,FPOSCORING,2, 0)</f>
        <v>62</v>
      </c>
      <c r="BD83" s="32"/>
      <c r="BE83" s="42" t="s">
        <v>34</v>
      </c>
      <c r="BF83" s="43" t="str">
        <f aca="false">IFERROR(__xludf.dummyfunction("IMPORTRANGE(A110,""cq7"")"),"Natalie Ryan")</f>
        <v>Natalie Ryan</v>
      </c>
      <c r="BG83" s="72" t="n">
        <v>39</v>
      </c>
      <c r="BH83" s="136" t="n">
        <f aca="false">VLOOKUP(BG83,FPOSCORING,2, 0)</f>
        <v>0</v>
      </c>
      <c r="BI83" s="32"/>
      <c r="BJ83" s="64" t="s">
        <v>34</v>
      </c>
      <c r="BK83" s="85" t="str">
        <f aca="false">IFERROR(__xludf.dummyfunction("IMPORTRANGE(A110,""cy7"")"),"Kat Mertsch")</f>
        <v>Kat Mertsch</v>
      </c>
      <c r="BL83" s="86" t="n">
        <v>4</v>
      </c>
      <c r="BM83" s="134" t="n">
        <f aca="false">VLOOKUP(BL83,FPOSCORING,2, 0)</f>
        <v>86</v>
      </c>
      <c r="BN83" s="32"/>
      <c r="BO83" s="64" t="s">
        <v>34</v>
      </c>
      <c r="BP83" s="85" t="str">
        <f aca="false">IFERROR(__xludf.dummyfunction("IMPORTRANGE(A110,""dg7"")"),"Natalie Ryan")</f>
        <v>Natalie Ryan</v>
      </c>
      <c r="BQ83" s="86" t="n">
        <v>19</v>
      </c>
      <c r="BR83" s="134" t="n">
        <f aca="false">VLOOKUP(BQ83,FPOSCORING,3, 0)</f>
        <v>30</v>
      </c>
      <c r="BS83" s="33"/>
      <c r="BT83" s="64" t="s">
        <v>34</v>
      </c>
      <c r="BU83" s="85" t="str">
        <f aca="false">IFERROR(__xludf.dummyfunction("IMPORTRANGE(A110,""do7"")"),"")</f>
        <v/>
      </c>
      <c r="BV83" s="86" t="s">
        <v>31</v>
      </c>
      <c r="BW83" s="134" t="n">
        <f aca="false">VLOOKUP(BV83,FPOSCORING,2, 0)</f>
        <v>0</v>
      </c>
      <c r="BX83" s="32"/>
      <c r="BY83" s="64" t="s">
        <v>34</v>
      </c>
      <c r="BZ83" s="85" t="str">
        <f aca="false">IFERROR(__xludf.dummyfunction("IMPORTRANGE(A110,""dw7"")"),"")</f>
        <v/>
      </c>
      <c r="CA83" s="86" t="s">
        <v>31</v>
      </c>
      <c r="CB83" s="134" t="n">
        <f aca="false">VLOOKUP(CA83,FPOSCORING,2, 0)</f>
        <v>0</v>
      </c>
      <c r="CC83" s="32"/>
      <c r="CD83" s="64" t="s">
        <v>34</v>
      </c>
      <c r="CE83" s="85"/>
      <c r="CF83" s="86" t="s">
        <v>31</v>
      </c>
      <c r="CG83" s="134" t="n">
        <f aca="false">VLOOKUP(CF83,FPOSCORING,3, 0)</f>
        <v>0</v>
      </c>
      <c r="CH83" s="33"/>
    </row>
    <row r="84" customFormat="false" ht="15" hidden="false" customHeight="false" outlineLevel="0" collapsed="false">
      <c r="A84" s="148" t="str">
        <f aca="false">IFERROR(__xludf.dummyfunction("IMPORTRANGE(A110,""a1"")"),"The_Legit_Pat")</f>
        <v>The_Legit_Pat</v>
      </c>
      <c r="B84" s="58" t="s">
        <v>170</v>
      </c>
      <c r="C84" s="58"/>
      <c r="D84" s="58"/>
      <c r="E84" s="58"/>
      <c r="F84" s="36" t="s">
        <v>36</v>
      </c>
      <c r="G84" s="87" t="s">
        <v>166</v>
      </c>
      <c r="H84" s="88" t="n">
        <v>12</v>
      </c>
      <c r="I84" s="136" t="n">
        <f aca="false">VLOOKUP(H84,MPOSCORING,2, 0)</f>
        <v>80</v>
      </c>
      <c r="J84" s="39" t="s">
        <v>36</v>
      </c>
      <c r="K84" s="137" t="str">
        <f aca="false">IFERROR(__xludf.dummyfunction("IMPORTRANGE(A110,""o8"")"),"James Conrad")</f>
        <v>James Conrad</v>
      </c>
      <c r="L84" s="89" t="n">
        <v>4</v>
      </c>
      <c r="M84" s="136" t="n">
        <f aca="false">VLOOKUP(L84,MPOSCORING,2, 0)</f>
        <v>94</v>
      </c>
      <c r="N84" s="42" t="s">
        <v>36</v>
      </c>
      <c r="O84" s="43" t="str">
        <f aca="false">IFERROR(__xludf.dummyfunction("IMPORTRANGE(A110,""W8"")"),"James Conrad")</f>
        <v>James Conrad</v>
      </c>
      <c r="P84" s="38" t="n">
        <v>11</v>
      </c>
      <c r="Q84" s="136" t="n">
        <f aca="false">VLOOKUP(P84,MPOSCORING,2, 0)</f>
        <v>82</v>
      </c>
      <c r="R84" s="34" t="s">
        <v>36</v>
      </c>
      <c r="S84" s="90" t="str">
        <f aca="false">IFERROR(__xludf.dummyfunction("IMPORTRANGE(A110,""AE8"")"),"James Conrad III")</f>
        <v>James Conrad III</v>
      </c>
      <c r="T84" s="47" t="n">
        <v>15</v>
      </c>
      <c r="U84" s="138" t="n">
        <f aca="false">VLOOKUP(T84,MPOSCORING,2, 0)</f>
        <v>75</v>
      </c>
      <c r="V84" s="48" t="s">
        <v>36</v>
      </c>
      <c r="W84" s="91" t="str">
        <f aca="false">IFERROR(__xludf.dummyfunction("IMPORTRANGE(A110,""Am8"")"),"James Conrad III")</f>
        <v>James Conrad III</v>
      </c>
      <c r="X84" s="92" t="n">
        <v>10</v>
      </c>
      <c r="Y84" s="129" t="n">
        <f aca="false">VLOOKUP(X84,MPOSCORING,2, 0)</f>
        <v>84</v>
      </c>
      <c r="Z84" s="51"/>
      <c r="AA84" s="52" t="s">
        <v>36</v>
      </c>
      <c r="AB84" s="93" t="str">
        <f aca="false">IFERROR(__xludf.dummyfunction("IMPORTRANGE(A110,""Au8"")"),"James Conrad III")</f>
        <v>James Conrad III</v>
      </c>
      <c r="AC84" s="94" t="n">
        <v>16</v>
      </c>
      <c r="AD84" s="130" t="n">
        <f aca="false">VLOOKUP(AC84,MPOSCORING,2, 0)</f>
        <v>73</v>
      </c>
      <c r="AE84" s="51"/>
      <c r="AF84" s="55" t="s">
        <v>36</v>
      </c>
      <c r="AG84" s="95" t="str">
        <f aca="false">IFERROR(__xludf.dummyfunction("IMPORTRANGE(A110,""bc8"")"),"James Conrad III")</f>
        <v>James Conrad III</v>
      </c>
      <c r="AH84" s="96" t="n">
        <v>26</v>
      </c>
      <c r="AI84" s="131" t="n">
        <f aca="false">VLOOKUP(AH84,MPOSCORING,2, 0)</f>
        <v>55</v>
      </c>
      <c r="AJ84" s="51"/>
      <c r="AK84" s="58" t="s">
        <v>36</v>
      </c>
      <c r="AL84" s="97" t="str">
        <f aca="false">IFERROR(__xludf.dummyfunction("IMPORTRANGE(A110,""bk8"")"),"James Conrad III")</f>
        <v>James Conrad III</v>
      </c>
      <c r="AM84" s="98" t="n">
        <v>5</v>
      </c>
      <c r="AN84" s="132" t="n">
        <f aca="false">VLOOKUP(AM84,MPOSCORING,2, 0)</f>
        <v>93</v>
      </c>
      <c r="AO84" s="51"/>
      <c r="AP84" s="61" t="s">
        <v>37</v>
      </c>
      <c r="AQ84" s="99" t="str">
        <f aca="false">IFERROR(__xludf.dummyfunction("IMPORTRANGE(A110,""bs8"")"),"Kat Mertsch")</f>
        <v>Kat Mertsch</v>
      </c>
      <c r="AR84" s="100" t="n">
        <v>14</v>
      </c>
      <c r="AS84" s="133" t="n">
        <f aca="false">VLOOKUP(AR84,MPOSCORING,2, 0)</f>
        <v>76</v>
      </c>
      <c r="AT84" s="51"/>
      <c r="AU84" s="64" t="s">
        <v>36</v>
      </c>
      <c r="AV84" s="101" t="str">
        <f aca="false">IFERROR(__xludf.dummyfunction("IMPORTRANGE(A110,""ca8"")"),"James Conrad III")</f>
        <v>James Conrad III</v>
      </c>
      <c r="AW84" s="102" t="n">
        <v>9</v>
      </c>
      <c r="AX84" s="134" t="n">
        <f aca="false">VLOOKUP(AW84,MPOSCORING,2, 0)</f>
        <v>85</v>
      </c>
      <c r="AY84" s="32"/>
      <c r="AZ84" s="36" t="s">
        <v>36</v>
      </c>
      <c r="BA84" s="87" t="str">
        <f aca="false">IFERROR(__xludf.dummyfunction("IMPORTRANGE(A110,""ci8"")"),"James Conrad III")</f>
        <v>James Conrad III</v>
      </c>
      <c r="BB84" s="88" t="s">
        <v>31</v>
      </c>
      <c r="BC84" s="135" t="n">
        <f aca="false">VLOOKUP(BB84,MPOSCORING,2, 0)</f>
        <v>0</v>
      </c>
      <c r="BD84" s="32"/>
      <c r="BE84" s="42" t="s">
        <v>36</v>
      </c>
      <c r="BF84" s="103" t="str">
        <f aca="false">IFERROR(__xludf.dummyfunction("IMPORTRANGE(A110,""cq8"")"),"James Conrad III")</f>
        <v>James Conrad III</v>
      </c>
      <c r="BG84" s="38" t="n">
        <v>20</v>
      </c>
      <c r="BH84" s="136" t="n">
        <f aca="false">VLOOKUP(BG84,MPOSCORING,2, 0)</f>
        <v>66</v>
      </c>
      <c r="BI84" s="32"/>
      <c r="BJ84" s="64" t="s">
        <v>36</v>
      </c>
      <c r="BK84" s="101" t="str">
        <f aca="false">IFERROR(__xludf.dummyfunction("IMPORTRANGE(A110,""cy8"")"),"James Conrad III")</f>
        <v>James Conrad III</v>
      </c>
      <c r="BL84" s="102" t="n">
        <v>29</v>
      </c>
      <c r="BM84" s="134" t="n">
        <f aca="false">VLOOKUP(BL84,MPOSCORING,2, 0)</f>
        <v>49</v>
      </c>
      <c r="BN84" s="32"/>
      <c r="BO84" s="64" t="s">
        <v>36</v>
      </c>
      <c r="BP84" s="101" t="str">
        <f aca="false">IFERROR(__xludf.dummyfunction("IMPORTRANGE(A110,""dg8"")"),"James Conrad III")</f>
        <v>James Conrad III</v>
      </c>
      <c r="BQ84" s="102" t="n">
        <v>38</v>
      </c>
      <c r="BR84" s="134" t="n">
        <f aca="false">VLOOKUP(BQ84,MPOSCORING,3, 0)</f>
        <v>64</v>
      </c>
      <c r="BS84" s="33"/>
      <c r="BT84" s="64" t="s">
        <v>36</v>
      </c>
      <c r="BU84" s="101" t="str">
        <f aca="false">IFERROR(__xludf.dummyfunction("IMPORTRANGE(A110,""do8"")"),"")</f>
        <v/>
      </c>
      <c r="BV84" s="102" t="s">
        <v>31</v>
      </c>
      <c r="BW84" s="134" t="n">
        <f aca="false">VLOOKUP(BV84,MPOSCORING,2, 0)</f>
        <v>0</v>
      </c>
      <c r="BX84" s="32"/>
      <c r="BY84" s="64" t="s">
        <v>36</v>
      </c>
      <c r="BZ84" s="101" t="str">
        <f aca="false">IFERROR(__xludf.dummyfunction("IMPORTRANGE(A110,""dw8"")"),"")</f>
        <v/>
      </c>
      <c r="CA84" s="102" t="s">
        <v>31</v>
      </c>
      <c r="CB84" s="134" t="n">
        <f aca="false">VLOOKUP(CA84,MPOSCORING,2, 0)</f>
        <v>0</v>
      </c>
      <c r="CC84" s="32"/>
      <c r="CD84" s="64" t="s">
        <v>36</v>
      </c>
      <c r="CE84" s="101"/>
      <c r="CF84" s="102" t="s">
        <v>31</v>
      </c>
      <c r="CG84" s="134" t="n">
        <f aca="false">VLOOKUP(CF84,MPOSCORING,3, 0)</f>
        <v>0</v>
      </c>
      <c r="CH84" s="33"/>
    </row>
    <row r="85" customFormat="false" ht="15" hidden="false" customHeight="false" outlineLevel="0" collapsed="false">
      <c r="A85" s="148" t="str">
        <f aca="false">IFERROR(__xludf.dummyfunction("IMPORTRANGE(A110,""a1"")"),"The_Legit_Pat")</f>
        <v>The_Legit_Pat</v>
      </c>
      <c r="B85" s="58" t="s">
        <v>167</v>
      </c>
      <c r="C85" s="58"/>
      <c r="D85" s="58"/>
      <c r="E85" s="58"/>
      <c r="F85" s="36" t="s">
        <v>39</v>
      </c>
      <c r="G85" s="139" t="s">
        <v>170</v>
      </c>
      <c r="H85" s="88" t="n">
        <v>15</v>
      </c>
      <c r="I85" s="136" t="n">
        <f aca="false">VLOOKUP(H85,MPOSCORING,2, 0)</f>
        <v>75</v>
      </c>
      <c r="J85" s="39" t="s">
        <v>39</v>
      </c>
      <c r="K85" s="105" t="str">
        <f aca="false">IFERROR(__xludf.dummyfunction("IMPORTRANGE(A110,""o9"")"),"Mason Ford")</f>
        <v>Mason Ford</v>
      </c>
      <c r="L85" s="41" t="n">
        <v>20</v>
      </c>
      <c r="M85" s="136" t="n">
        <f aca="false">VLOOKUP(L85,MPOSCORING,2, 0)</f>
        <v>66</v>
      </c>
      <c r="N85" s="42" t="s">
        <v>39</v>
      </c>
      <c r="O85" s="43" t="str">
        <f aca="false">IFERROR(__xludf.dummyfunction("IMPORTRANGE(A110,""w9"")"),"Mason Ford")</f>
        <v>Mason Ford</v>
      </c>
      <c r="P85" s="44" t="n">
        <v>14</v>
      </c>
      <c r="Q85" s="136" t="n">
        <f aca="false">VLOOKUP(P85,MPOSCORING,2, 0)</f>
        <v>76</v>
      </c>
      <c r="R85" s="34" t="s">
        <v>39</v>
      </c>
      <c r="S85" s="106" t="str">
        <f aca="false">IFERROR(__xludf.dummyfunction("IMPORTRANGE(A110,""AE9"")"),"Mason Ford")</f>
        <v>Mason Ford</v>
      </c>
      <c r="T85" s="46" t="n">
        <v>13</v>
      </c>
      <c r="U85" s="138" t="n">
        <f aca="false">VLOOKUP(T85,MPOSCORING,2, 0)</f>
        <v>78</v>
      </c>
      <c r="V85" s="48" t="s">
        <v>39</v>
      </c>
      <c r="W85" s="107" t="str">
        <f aca="false">IFERROR(__xludf.dummyfunction("IMPORTRANGE(A110,""Am9"")"),"Mason Ford")</f>
        <v>Mason Ford</v>
      </c>
      <c r="X85" s="50" t="n">
        <v>21</v>
      </c>
      <c r="Y85" s="129" t="n">
        <f aca="false">VLOOKUP(X85,MPOSCORING,2, 0)</f>
        <v>64</v>
      </c>
      <c r="Z85" s="51"/>
      <c r="AA85" s="52" t="s">
        <v>39</v>
      </c>
      <c r="AB85" s="108" t="str">
        <f aca="false">IFERROR(__xludf.dummyfunction("IMPORTRANGE(A110,""Au9"")"),"Mason Ford")</f>
        <v>Mason Ford</v>
      </c>
      <c r="AC85" s="54" t="n">
        <v>11</v>
      </c>
      <c r="AD85" s="130" t="n">
        <f aca="false">VLOOKUP(AC85,MPOSCORING,2, 0)</f>
        <v>82</v>
      </c>
      <c r="AE85" s="51"/>
      <c r="AF85" s="55" t="s">
        <v>39</v>
      </c>
      <c r="AG85" s="109" t="str">
        <f aca="false">IFERROR(__xludf.dummyfunction("IMPORTRANGE(A110,""bc9"")"),"Mason Ford")</f>
        <v>Mason Ford</v>
      </c>
      <c r="AH85" s="57" t="n">
        <v>29</v>
      </c>
      <c r="AI85" s="131" t="n">
        <f aca="false">VLOOKUP(AH85,MPOSCORING,2, 0)</f>
        <v>49</v>
      </c>
      <c r="AJ85" s="51"/>
      <c r="AK85" s="58" t="s">
        <v>39</v>
      </c>
      <c r="AL85" s="110" t="str">
        <f aca="false">IFERROR(__xludf.dummyfunction("IMPORTRANGE(A110,""bk9"")"),"Mason Ford")</f>
        <v>Mason Ford</v>
      </c>
      <c r="AM85" s="60" t="n">
        <v>40</v>
      </c>
      <c r="AN85" s="132" t="n">
        <f aca="false">VLOOKUP(AM85,MPOSCORING,2, 0)</f>
        <v>29</v>
      </c>
      <c r="AO85" s="51"/>
      <c r="AP85" s="61" t="s">
        <v>40</v>
      </c>
      <c r="AQ85" s="111" t="str">
        <f aca="false">IFERROR(__xludf.dummyfunction("IMPORTRANGE(A110,""bs9"")"),"")</f>
        <v/>
      </c>
      <c r="AR85" s="63" t="s">
        <v>31</v>
      </c>
      <c r="AS85" s="133" t="n">
        <f aca="false">VLOOKUP(AR85,MPOSCORING,2, 0)</f>
        <v>0</v>
      </c>
      <c r="AT85" s="51"/>
      <c r="AU85" s="64" t="s">
        <v>39</v>
      </c>
      <c r="AV85" s="112" t="str">
        <f aca="false">IFERROR(__xludf.dummyfunction("IMPORTRANGE(A110,""ca9"")"),"Mason Ford")</f>
        <v>Mason Ford</v>
      </c>
      <c r="AW85" s="66" t="n">
        <v>62</v>
      </c>
      <c r="AX85" s="134" t="n">
        <f aca="false">VLOOKUP(AW85,MPOSCORING,2, 0)</f>
        <v>0</v>
      </c>
      <c r="AY85" s="32"/>
      <c r="AZ85" s="36" t="s">
        <v>39</v>
      </c>
      <c r="BA85" s="139" t="str">
        <f aca="false">IFERROR(__xludf.dummyfunction("IMPORTRANGE(A110,""ci9"")"),"Mason Ford")</f>
        <v>Mason Ford</v>
      </c>
      <c r="BB85" s="37" t="n">
        <v>20</v>
      </c>
      <c r="BC85" s="135" t="n">
        <f aca="false">VLOOKUP(BB85,MPOSCORING,2, 0)</f>
        <v>66</v>
      </c>
      <c r="BD85" s="32"/>
      <c r="BE85" s="42" t="s">
        <v>39</v>
      </c>
      <c r="BF85" s="114" t="str">
        <f aca="false">IFERROR(__xludf.dummyfunction("IMPORTRANGE(A110,""cq9"")"),"Mason Ford")</f>
        <v>Mason Ford</v>
      </c>
      <c r="BG85" s="44" t="n">
        <v>30</v>
      </c>
      <c r="BH85" s="136" t="n">
        <f aca="false">VLOOKUP(BG85,MPOSCORING,2, 0)</f>
        <v>48</v>
      </c>
      <c r="BI85" s="32"/>
      <c r="BJ85" s="64" t="s">
        <v>39</v>
      </c>
      <c r="BK85" s="112" t="str">
        <f aca="false">IFERROR(__xludf.dummyfunction("IMPORTRANGE(A110,""cy9"")"),"Mason Ford")</f>
        <v>Mason Ford</v>
      </c>
      <c r="BL85" s="66" t="n">
        <v>7</v>
      </c>
      <c r="BM85" s="134" t="n">
        <f aca="false">VLOOKUP(BL85,MPOSCORING,2, 0)</f>
        <v>89</v>
      </c>
      <c r="BN85" s="32"/>
      <c r="BO85" s="64" t="s">
        <v>39</v>
      </c>
      <c r="BP85" s="112" t="str">
        <f aca="false">IFERROR(__xludf.dummyfunction("IMPORTRANGE(A110,""dg9"")"),"Mason Ford")</f>
        <v>Mason Ford</v>
      </c>
      <c r="BQ85" s="66" t="n">
        <v>14</v>
      </c>
      <c r="BR85" s="134" t="n">
        <f aca="false">VLOOKUP(BQ85,MPOSCORING,3, 0)</f>
        <v>152</v>
      </c>
      <c r="BS85" s="33"/>
      <c r="BT85" s="64" t="s">
        <v>39</v>
      </c>
      <c r="BU85" s="112" t="str">
        <f aca="false">IFERROR(__xludf.dummyfunction("IMPORTRANGE(A110,""do9"")"),"")</f>
        <v/>
      </c>
      <c r="BV85" s="66" t="s">
        <v>31</v>
      </c>
      <c r="BW85" s="134" t="n">
        <f aca="false">VLOOKUP(BV85,MPOSCORING,2, 0)</f>
        <v>0</v>
      </c>
      <c r="BX85" s="32"/>
      <c r="BY85" s="64" t="s">
        <v>39</v>
      </c>
      <c r="BZ85" s="112" t="str">
        <f aca="false">IFERROR(__xludf.dummyfunction("IMPORTRANGE(A110,""dw9"")"),"")</f>
        <v/>
      </c>
      <c r="CA85" s="66" t="s">
        <v>31</v>
      </c>
      <c r="CB85" s="134" t="n">
        <f aca="false">VLOOKUP(CA85,MPOSCORING,2, 0)</f>
        <v>0</v>
      </c>
      <c r="CC85" s="32"/>
      <c r="CD85" s="64" t="s">
        <v>39</v>
      </c>
      <c r="CE85" s="112"/>
      <c r="CF85" s="66" t="s">
        <v>31</v>
      </c>
      <c r="CG85" s="134" t="n">
        <f aca="false">VLOOKUP(CF85,MPOSCORING,3, 0)</f>
        <v>0</v>
      </c>
      <c r="CH85" s="33"/>
    </row>
    <row r="86" customFormat="false" ht="15" hidden="false" customHeight="false" outlineLevel="0" collapsed="false">
      <c r="A86" s="148" t="str">
        <f aca="false">IFERROR(__xludf.dummyfunction("IMPORTRANGE(A110,""a1"")"),"The_Legit_Pat")</f>
        <v>The_Legit_Pat</v>
      </c>
      <c r="B86" s="58" t="s">
        <v>169</v>
      </c>
      <c r="C86" s="58"/>
      <c r="D86" s="58"/>
      <c r="E86" s="58"/>
      <c r="F86" s="36" t="s">
        <v>42</v>
      </c>
      <c r="G86" s="139" t="s">
        <v>171</v>
      </c>
      <c r="H86" s="88" t="n">
        <v>16</v>
      </c>
      <c r="I86" s="136" t="n">
        <f aca="false">VLOOKUP(H86,MPOSCORING,2, 0)</f>
        <v>73</v>
      </c>
      <c r="J86" s="39" t="s">
        <v>42</v>
      </c>
      <c r="K86" s="105" t="str">
        <f aca="false">IFERROR(__xludf.dummyfunction("IMPORTRANGE(A110,""o10"")"),"Matt Bell")</f>
        <v>Matt Bell</v>
      </c>
      <c r="L86" s="41" t="n">
        <v>58</v>
      </c>
      <c r="M86" s="136" t="n">
        <f aca="false">VLOOKUP(L86,MPOSCORING,2, 0)</f>
        <v>0</v>
      </c>
      <c r="N86" s="42" t="s">
        <v>42</v>
      </c>
      <c r="O86" s="43" t="str">
        <f aca="false">IFERROR(__xludf.dummyfunction("IMPORTRANGE(A110,""w10"")"),"Matt Bell")</f>
        <v>Matt Bell</v>
      </c>
      <c r="P86" s="44" t="n">
        <v>36</v>
      </c>
      <c r="Q86" s="136" t="n">
        <f aca="false">VLOOKUP(P86,MPOSCORING,2, 0)</f>
        <v>36</v>
      </c>
      <c r="R86" s="34" t="s">
        <v>42</v>
      </c>
      <c r="S86" s="106" t="str">
        <f aca="false">IFERROR(__xludf.dummyfunction("IMPORTRANGE(A110,""AE10"")"),"Matt Bell")</f>
        <v>Matt Bell</v>
      </c>
      <c r="T86" s="46" t="n">
        <v>31</v>
      </c>
      <c r="U86" s="138" t="n">
        <f aca="false">VLOOKUP(T86,MPOSCORING,2, 0)</f>
        <v>46</v>
      </c>
      <c r="V86" s="48" t="s">
        <v>42</v>
      </c>
      <c r="W86" s="107" t="str">
        <f aca="false">IFERROR(__xludf.dummyfunction("IMPORTRANGE(A110,""Am10"")"),"Matt Bell")</f>
        <v>Matt Bell</v>
      </c>
      <c r="X86" s="50" t="s">
        <v>30</v>
      </c>
      <c r="Y86" s="129" t="n">
        <f aca="false">VLOOKUP(X86,MPOSCORING,2, 0)</f>
        <v>0</v>
      </c>
      <c r="Z86" s="51"/>
      <c r="AA86" s="52" t="s">
        <v>42</v>
      </c>
      <c r="AB86" s="108" t="str">
        <f aca="false">IFERROR(__xludf.dummyfunction("IMPORTRANGE(A110,""Au10"")"),"Matt Bell")</f>
        <v>Matt Bell</v>
      </c>
      <c r="AC86" s="54" t="n">
        <v>49</v>
      </c>
      <c r="AD86" s="130" t="n">
        <f aca="false">VLOOKUP(AC86,MPOSCORING,2, 0)</f>
        <v>12</v>
      </c>
      <c r="AE86" s="51"/>
      <c r="AF86" s="55" t="s">
        <v>42</v>
      </c>
      <c r="AG86" s="109" t="str">
        <f aca="false">IFERROR(__xludf.dummyfunction("IMPORTRANGE(A110,""BC10"")"),"Casey White")</f>
        <v>Casey White</v>
      </c>
      <c r="AH86" s="57" t="n">
        <v>64</v>
      </c>
      <c r="AI86" s="131" t="n">
        <f aca="false">VLOOKUP(AH86,MPOSCORING,2, 0)</f>
        <v>0</v>
      </c>
      <c r="AJ86" s="51"/>
      <c r="AK86" s="58" t="s">
        <v>42</v>
      </c>
      <c r="AL86" s="110" t="str">
        <f aca="false">IFERROR(__xludf.dummyfunction("IMPORTRANGE(A110,""Bk10"")"),"Casey White")</f>
        <v>Casey White</v>
      </c>
      <c r="AM86" s="60" t="n">
        <v>22</v>
      </c>
      <c r="AN86" s="132" t="n">
        <f aca="false">VLOOKUP(AM86,MPOSCORING,2, 0)</f>
        <v>62</v>
      </c>
      <c r="AO86" s="51"/>
      <c r="AP86" s="61" t="s">
        <v>43</v>
      </c>
      <c r="AQ86" s="111" t="str">
        <f aca="false">IFERROR(__xludf.dummyfunction("IMPORTRANGE(A110,""Bs10"")"),"")</f>
        <v/>
      </c>
      <c r="AR86" s="63" t="s">
        <v>31</v>
      </c>
      <c r="AS86" s="133" t="n">
        <f aca="false">VLOOKUP(AR86,MPOSCORING,2, 0)</f>
        <v>0</v>
      </c>
      <c r="AT86" s="51"/>
      <c r="AU86" s="64" t="s">
        <v>42</v>
      </c>
      <c r="AV86" s="112" t="str">
        <f aca="false">IFERROR(__xludf.dummyfunction("IMPORTRANGE(A110,""ca10"")"),"Casey White")</f>
        <v>Casey White</v>
      </c>
      <c r="AW86" s="66" t="n">
        <v>53</v>
      </c>
      <c r="AX86" s="134" t="n">
        <f aca="false">VLOOKUP(AW86,MPOSCORING,2, 0)</f>
        <v>7</v>
      </c>
      <c r="AY86" s="32"/>
      <c r="AZ86" s="36" t="s">
        <v>42</v>
      </c>
      <c r="BA86" s="139" t="str">
        <f aca="false">IFERROR(__xludf.dummyfunction("IMPORTRANGE(A110,""ci10"")"),"Eric Oakley")</f>
        <v>Eric Oakley</v>
      </c>
      <c r="BB86" s="37" t="n">
        <v>42</v>
      </c>
      <c r="BC86" s="135" t="n">
        <f aca="false">VLOOKUP(BB86,MPOSCORING,2, 0)</f>
        <v>25</v>
      </c>
      <c r="BD86" s="32"/>
      <c r="BE86" s="42" t="s">
        <v>42</v>
      </c>
      <c r="BF86" s="114" t="str">
        <f aca="false">IFERROR(__xludf.dummyfunction("IMPORTRANGE(A110,""cq10"")"),"Casey White")</f>
        <v>Casey White</v>
      </c>
      <c r="BG86" s="44" t="n">
        <v>50</v>
      </c>
      <c r="BH86" s="136" t="n">
        <f aca="false">VLOOKUP(BG86,MPOSCORING,2, 0)</f>
        <v>11</v>
      </c>
      <c r="BI86" s="32"/>
      <c r="BJ86" s="64" t="s">
        <v>42</v>
      </c>
      <c r="BK86" s="112" t="str">
        <f aca="false">IFERROR(__xludf.dummyfunction("IMPORTRANGE(A110,""cy10"")"),"Casey White")</f>
        <v>Casey White</v>
      </c>
      <c r="BL86" s="66" t="n">
        <v>72</v>
      </c>
      <c r="BM86" s="134" t="n">
        <f aca="false">VLOOKUP(BL86,MPOSCORING,2, 0)</f>
        <v>0</v>
      </c>
      <c r="BN86" s="32"/>
      <c r="BO86" s="64" t="s">
        <v>42</v>
      </c>
      <c r="BP86" s="112" t="str">
        <f aca="false">IFERROR(__xludf.dummyfunction("IMPORTRANGE(A110,""dg10"")"),"Matt Bell")</f>
        <v>Matt Bell</v>
      </c>
      <c r="BQ86" s="66" t="s">
        <v>31</v>
      </c>
      <c r="BR86" s="134" t="n">
        <f aca="false">VLOOKUP(BQ86,MPOSCORING,3, 0)</f>
        <v>0</v>
      </c>
      <c r="BS86" s="33"/>
      <c r="BT86" s="64" t="s">
        <v>42</v>
      </c>
      <c r="BU86" s="112" t="str">
        <f aca="false">IFERROR(__xludf.dummyfunction("IMPORTRANGE(A110,""do10"")"),"")</f>
        <v/>
      </c>
      <c r="BV86" s="66" t="s">
        <v>31</v>
      </c>
      <c r="BW86" s="134" t="n">
        <f aca="false">VLOOKUP(BV86,MPOSCORING,2, 0)</f>
        <v>0</v>
      </c>
      <c r="BX86" s="32"/>
      <c r="BY86" s="64" t="s">
        <v>42</v>
      </c>
      <c r="BZ86" s="112" t="str">
        <f aca="false">IFERROR(__xludf.dummyfunction("IMPORTRANGE(A110,""dw10"") "),"")</f>
        <v/>
      </c>
      <c r="CA86" s="66" t="s">
        <v>31</v>
      </c>
      <c r="CB86" s="134" t="n">
        <f aca="false">VLOOKUP(CA86,MPOSCORING,2, 0)</f>
        <v>0</v>
      </c>
      <c r="CC86" s="32"/>
      <c r="CD86" s="64" t="s">
        <v>42</v>
      </c>
      <c r="CE86" s="112"/>
      <c r="CF86" s="66" t="s">
        <v>31</v>
      </c>
      <c r="CG86" s="134" t="n">
        <f aca="false">VLOOKUP(CF86,MPOSCORING,3, 0)</f>
        <v>0</v>
      </c>
      <c r="CH86" s="33"/>
    </row>
    <row r="87" customFormat="false" ht="15" hidden="false" customHeight="false" outlineLevel="0" collapsed="false">
      <c r="A87" s="148" t="str">
        <f aca="false">IFERROR(__xludf.dummyfunction("IMPORTRANGE(A110,""a1"")"),"The_Legit_Pat")</f>
        <v>The_Legit_Pat</v>
      </c>
      <c r="B87" s="58" t="s">
        <v>171</v>
      </c>
      <c r="C87" s="58"/>
      <c r="D87" s="58"/>
      <c r="E87" s="58"/>
      <c r="F87" s="36" t="s">
        <v>45</v>
      </c>
      <c r="G87" s="139" t="s">
        <v>172</v>
      </c>
      <c r="H87" s="88" t="n">
        <v>50</v>
      </c>
      <c r="I87" s="136" t="n">
        <f aca="false">VLOOKUP(H87,MPOSCORING,2, 0)</f>
        <v>11</v>
      </c>
      <c r="J87" s="39" t="s">
        <v>45</v>
      </c>
      <c r="K87" s="105" t="str">
        <f aca="false">IFERROR(__xludf.dummyfunction("IMPORTRANGE(A110,""o11"")"),"Casey White")</f>
        <v>Casey White</v>
      </c>
      <c r="L87" s="41" t="n">
        <v>13</v>
      </c>
      <c r="M87" s="136" t="n">
        <f aca="false">VLOOKUP(L87,MPOSCORING,2, 0)</f>
        <v>78</v>
      </c>
      <c r="N87" s="42" t="s">
        <v>45</v>
      </c>
      <c r="O87" s="43" t="str">
        <f aca="false">IFERROR(__xludf.dummyfunction("IMPORTRANGE(A110,""W11"")"),"Casey White")</f>
        <v>Casey White</v>
      </c>
      <c r="P87" s="44" t="n">
        <v>22</v>
      </c>
      <c r="Q87" s="136" t="n">
        <f aca="false">VLOOKUP(P87,MPOSCORING,2, 0)</f>
        <v>62</v>
      </c>
      <c r="R87" s="34" t="s">
        <v>45</v>
      </c>
      <c r="S87" s="106" t="str">
        <f aca="false">IFERROR(__xludf.dummyfunction("IMPORTRANGE(A110,""AE11"")"),"Casey White")</f>
        <v>Casey White</v>
      </c>
      <c r="T87" s="46" t="n">
        <v>18</v>
      </c>
      <c r="U87" s="138" t="n">
        <f aca="false">VLOOKUP(T87,MPOSCORING,2, 0)</f>
        <v>69</v>
      </c>
      <c r="V87" s="48" t="s">
        <v>45</v>
      </c>
      <c r="W87" s="107" t="str">
        <f aca="false">IFERROR(__xludf.dummyfunction("IMPORTRANGE(A110,""Am11"")"),"Casey White")</f>
        <v>Casey White</v>
      </c>
      <c r="X87" s="50" t="n">
        <v>30</v>
      </c>
      <c r="Y87" s="129" t="n">
        <f aca="false">VLOOKUP(X87,MPOSCORING,2, 0)</f>
        <v>48</v>
      </c>
      <c r="Z87" s="51"/>
      <c r="AA87" s="52" t="s">
        <v>45</v>
      </c>
      <c r="AB87" s="108" t="str">
        <f aca="false">IFERROR(__xludf.dummyfunction("IMPORTRANGE(A110,""Au11"")"),"Casey White")</f>
        <v>Casey White</v>
      </c>
      <c r="AC87" s="54" t="n">
        <v>67</v>
      </c>
      <c r="AD87" s="130" t="n">
        <f aca="false">VLOOKUP(AC87,MPOSCORING,2, 0)</f>
        <v>0</v>
      </c>
      <c r="AE87" s="51"/>
      <c r="AF87" s="55" t="s">
        <v>45</v>
      </c>
      <c r="AG87" s="109" t="str">
        <f aca="false">IFERROR(__xludf.dummyfunction("IMPORTRANGE(A110,""bc11"")"),"Eric Oakley")</f>
        <v>Eric Oakley</v>
      </c>
      <c r="AH87" s="57" t="n">
        <v>40</v>
      </c>
      <c r="AI87" s="131" t="n">
        <f aca="false">VLOOKUP(AH87,MPOSCORING,2, 0)</f>
        <v>29</v>
      </c>
      <c r="AJ87" s="51"/>
      <c r="AK87" s="58" t="s">
        <v>45</v>
      </c>
      <c r="AL87" s="110" t="str">
        <f aca="false">IFERROR(__xludf.dummyfunction("IMPORTRANGE(A110,""bk11"")"),"Eric Oakley")</f>
        <v>Eric Oakley</v>
      </c>
      <c r="AM87" s="60" t="n">
        <v>58</v>
      </c>
      <c r="AN87" s="132" t="n">
        <f aca="false">VLOOKUP(AM87,MPOSCORING,2, 0)</f>
        <v>0</v>
      </c>
      <c r="AO87" s="51"/>
      <c r="AP87" s="61" t="s">
        <v>46</v>
      </c>
      <c r="AQ87" s="111" t="str">
        <f aca="false">IFERROR(__xludf.dummyfunction("IMPORTRANGE(A110,""bs11"")"),"")</f>
        <v/>
      </c>
      <c r="AR87" s="63" t="s">
        <v>31</v>
      </c>
      <c r="AS87" s="133" t="n">
        <f aca="false">VLOOKUP(AR87,MPOSCORING,2, 0)</f>
        <v>0</v>
      </c>
      <c r="AT87" s="51"/>
      <c r="AU87" s="64" t="s">
        <v>45</v>
      </c>
      <c r="AV87" s="112" t="str">
        <f aca="false">IFERROR(__xludf.dummyfunction("IMPORTRANGE(A110,""ca11"")"),"Matt Bell")</f>
        <v>Matt Bell</v>
      </c>
      <c r="AW87" s="66" t="n">
        <v>19</v>
      </c>
      <c r="AX87" s="134" t="n">
        <f aca="false">VLOOKUP(AW87,MPOSCORING,2, 0)</f>
        <v>67</v>
      </c>
      <c r="AY87" s="32"/>
      <c r="AZ87" s="36" t="s">
        <v>45</v>
      </c>
      <c r="BA87" s="139" t="str">
        <f aca="false">IFERROR(__xludf.dummyfunction("IMPORTRANGE(A110,""ci11"")"),"Casey White")</f>
        <v>Casey White</v>
      </c>
      <c r="BB87" s="37" t="n">
        <v>24</v>
      </c>
      <c r="BC87" s="135" t="n">
        <f aca="false">VLOOKUP(BB87,MPOSCORING,2, 0)</f>
        <v>58</v>
      </c>
      <c r="BD87" s="32"/>
      <c r="BE87" s="42" t="s">
        <v>45</v>
      </c>
      <c r="BF87" s="114" t="str">
        <f aca="false">IFERROR(__xludf.dummyfunction("IMPORTRANGE(A110,""cq11"")"),"Matt Bell")</f>
        <v>Matt Bell</v>
      </c>
      <c r="BG87" s="44" t="n">
        <v>56</v>
      </c>
      <c r="BH87" s="136" t="n">
        <f aca="false">VLOOKUP(BG87,MPOSCORING,2, 0)</f>
        <v>0</v>
      </c>
      <c r="BI87" s="32"/>
      <c r="BJ87" s="64" t="s">
        <v>45</v>
      </c>
      <c r="BK87" s="112" t="str">
        <f aca="false">IFERROR(__xludf.dummyfunction("IMPORTRANGE(A110,""cy11"")"),"Chandler Kramer")</f>
        <v>Chandler Kramer</v>
      </c>
      <c r="BL87" s="66" t="n">
        <v>12</v>
      </c>
      <c r="BM87" s="134" t="n">
        <f aca="false">VLOOKUP(BL87,MPOSCORING,2, 0)</f>
        <v>80</v>
      </c>
      <c r="BN87" s="32"/>
      <c r="BO87" s="64" t="s">
        <v>45</v>
      </c>
      <c r="BP87" s="112" t="str">
        <f aca="false">IFERROR(__xludf.dummyfunction("IMPORTRANGE(A110,""dg11"")"),"Seppo Paju")</f>
        <v>Seppo Paju</v>
      </c>
      <c r="BQ87" s="66" t="s">
        <v>31</v>
      </c>
      <c r="BR87" s="134" t="n">
        <f aca="false">VLOOKUP(BQ87,MPOSCORING,3, 0)</f>
        <v>0</v>
      </c>
      <c r="BS87" s="33"/>
      <c r="BT87" s="64" t="s">
        <v>45</v>
      </c>
      <c r="BU87" s="112" t="str">
        <f aca="false">IFERROR(__xludf.dummyfunction("IMPORTRANGE(A110,""do11"")"),"")</f>
        <v/>
      </c>
      <c r="BV87" s="66" t="s">
        <v>31</v>
      </c>
      <c r="BW87" s="134" t="n">
        <f aca="false">VLOOKUP(BV87,MPOSCORING,2, 0)</f>
        <v>0</v>
      </c>
      <c r="BX87" s="32"/>
      <c r="BY87" s="64" t="s">
        <v>45</v>
      </c>
      <c r="BZ87" s="112" t="str">
        <f aca="false">IFERROR(__xludf.dummyfunction("IMPORTRANGE(A110,""dw11"")"),"")</f>
        <v/>
      </c>
      <c r="CA87" s="66" t="s">
        <v>31</v>
      </c>
      <c r="CB87" s="134" t="n">
        <f aca="false">VLOOKUP(CA87,MPOSCORING,2, 0)</f>
        <v>0</v>
      </c>
      <c r="CC87" s="32"/>
      <c r="CD87" s="64" t="s">
        <v>45</v>
      </c>
      <c r="CE87" s="112"/>
      <c r="CF87" s="66" t="s">
        <v>31</v>
      </c>
      <c r="CG87" s="134" t="n">
        <f aca="false">VLOOKUP(CF87,MPOSCORING,3, 0)</f>
        <v>0</v>
      </c>
      <c r="CH87" s="33"/>
    </row>
    <row r="88" customFormat="false" ht="15" hidden="false" customHeight="false" outlineLevel="0" collapsed="false">
      <c r="A88" s="148" t="str">
        <f aca="false">IFERROR(__xludf.dummyfunction("IMPORTRANGE(A110,""a1"")"),"The_Legit_Pat")</f>
        <v>The_Legit_Pat</v>
      </c>
      <c r="B88" s="58" t="s">
        <v>173</v>
      </c>
      <c r="C88" s="58"/>
      <c r="D88" s="58"/>
      <c r="E88" s="58"/>
      <c r="F88" s="36" t="s">
        <v>48</v>
      </c>
      <c r="G88" s="139" t="s">
        <v>174</v>
      </c>
      <c r="H88" s="88" t="n">
        <v>4</v>
      </c>
      <c r="I88" s="136" t="n">
        <f aca="false">VLOOKUP(H88,FPOSCORING,2, 0)</f>
        <v>86</v>
      </c>
      <c r="J88" s="39" t="s">
        <v>48</v>
      </c>
      <c r="K88" s="105" t="str">
        <f aca="false">IFERROR(__xludf.dummyfunction("IMPORTRANGE(A110,""o12"")"),"Noah Meintsma")</f>
        <v>Noah Meintsma</v>
      </c>
      <c r="L88" s="41" t="n">
        <v>73</v>
      </c>
      <c r="M88" s="136" t="n">
        <f aca="false">VLOOKUP(L88,MPOSCORING,2, 0)</f>
        <v>0</v>
      </c>
      <c r="N88" s="42" t="s">
        <v>48</v>
      </c>
      <c r="O88" s="43" t="str">
        <f aca="false">IFERROR(__xludf.dummyfunction("IMPORTRANGE(A110,""w12"")"),"Kat Mertsch ")</f>
        <v>Kat Mertsch</v>
      </c>
      <c r="P88" s="44" t="n">
        <v>14</v>
      </c>
      <c r="Q88" s="136" t="n">
        <f aca="false">VLOOKUP(P88,FPOSCORING,2, 0)</f>
        <v>38</v>
      </c>
      <c r="R88" s="34" t="s">
        <v>48</v>
      </c>
      <c r="S88" s="106" t="str">
        <f aca="false">IFERROR(__xludf.dummyfunction("IMPORTRANGE(A110,""AE12"")"),"Eric Oakley")</f>
        <v>Eric Oakley</v>
      </c>
      <c r="T88" s="46" t="n">
        <v>38</v>
      </c>
      <c r="U88" s="138" t="n">
        <f aca="false">VLOOKUP(T88,MPOSCORING,2, 0)</f>
        <v>32</v>
      </c>
      <c r="V88" s="48" t="s">
        <v>48</v>
      </c>
      <c r="W88" s="107" t="str">
        <f aca="false">IFERROR(__xludf.dummyfunction("IMPORTRANGE(A110,""Am12"")"),"Eric Oakley")</f>
        <v>Eric Oakley</v>
      </c>
      <c r="X88" s="50" t="s">
        <v>31</v>
      </c>
      <c r="Y88" s="129" t="n">
        <f aca="false">VLOOKUP(X88,MPOSCORING,2, 0)</f>
        <v>0</v>
      </c>
      <c r="Z88" s="51"/>
      <c r="AA88" s="52" t="s">
        <v>48</v>
      </c>
      <c r="AB88" s="108" t="str">
        <f aca="false">IFERROR(__xludf.dummyfunction("IMPORTRANGE(A110,""Au12"")"),"Eric Oakley")</f>
        <v>Eric Oakley</v>
      </c>
      <c r="AC88" s="54" t="n">
        <v>30</v>
      </c>
      <c r="AD88" s="130" t="n">
        <f aca="false">VLOOKUP(AC88,MPOSCORING,2, 0)</f>
        <v>48</v>
      </c>
      <c r="AE88" s="51"/>
      <c r="AF88" s="55" t="s">
        <v>48</v>
      </c>
      <c r="AG88" s="109" t="str">
        <f aca="false">IFERROR(__xludf.dummyfunction("IMPORTRANGE(A110,""bc12"")"),"Natalie Ryan")</f>
        <v>Natalie Ryan</v>
      </c>
      <c r="AH88" s="57" t="n">
        <v>9</v>
      </c>
      <c r="AI88" s="131" t="n">
        <f aca="false">VLOOKUP(AH88,FPOSCORING,2, 0)</f>
        <v>62</v>
      </c>
      <c r="AJ88" s="51"/>
      <c r="AK88" s="58" t="s">
        <v>48</v>
      </c>
      <c r="AL88" s="110" t="str">
        <f aca="false">IFERROR(__xludf.dummyfunction("IMPORTRANGE(A110,""bk12"")"),"Matt Bell")</f>
        <v>Matt Bell</v>
      </c>
      <c r="AM88" s="60" t="n">
        <v>80</v>
      </c>
      <c r="AN88" s="132" t="n">
        <f aca="false">VLOOKUP(AM88,MPOSCORING,2, 0)</f>
        <v>0</v>
      </c>
      <c r="AO88" s="51"/>
      <c r="AP88" s="61" t="s">
        <v>49</v>
      </c>
      <c r="AQ88" s="111" t="str">
        <f aca="false">IFERROR(__xludf.dummyfunction("IMPORTRANGE(A110,""bs12"")"),"")</f>
        <v/>
      </c>
      <c r="AR88" s="63" t="s">
        <v>31</v>
      </c>
      <c r="AS88" s="133" t="n">
        <f aca="false">VLOOKUP(AR88,MPOSCORING,2, 0)</f>
        <v>0</v>
      </c>
      <c r="AT88" s="51"/>
      <c r="AU88" s="64" t="s">
        <v>48</v>
      </c>
      <c r="AV88" s="112" t="str">
        <f aca="false">IFERROR(__xludf.dummyfunction("IMPORTRANGE(A110,""ca12"")"),"Jessica Weese")</f>
        <v>Jessica Weese</v>
      </c>
      <c r="AW88" s="66" t="n">
        <v>8</v>
      </c>
      <c r="AX88" s="134" t="n">
        <f aca="false">VLOOKUP(AW88,FPOSCORING,2, 0)</f>
        <v>67</v>
      </c>
      <c r="AY88" s="32"/>
      <c r="AZ88" s="36" t="s">
        <v>48</v>
      </c>
      <c r="BA88" s="139" t="str">
        <f aca="false">IFERROR(__xludf.dummyfunction("IMPORTRANGE(A110,""ci12"")"),"Matt Bell")</f>
        <v>Matt Bell</v>
      </c>
      <c r="BB88" s="37" t="s">
        <v>31</v>
      </c>
      <c r="BC88" s="135" t="n">
        <f aca="false">VLOOKUP(BB88,MPOSCORING,2, 0)</f>
        <v>0</v>
      </c>
      <c r="BD88" s="32"/>
      <c r="BE88" s="42" t="s">
        <v>48</v>
      </c>
      <c r="BF88" s="114" t="str">
        <f aca="false">IFERROR(__xludf.dummyfunction("IMPORTRANGE(A110,""cq12"")"),"Kat Mertsch")</f>
        <v>Kat Mertsch</v>
      </c>
      <c r="BG88" s="44" t="n">
        <v>20</v>
      </c>
      <c r="BH88" s="136" t="n">
        <f aca="false">VLOOKUP(BG88,FPOSCORING,2, 0)</f>
        <v>12</v>
      </c>
      <c r="BI88" s="32"/>
      <c r="BJ88" s="64" t="s">
        <v>48</v>
      </c>
      <c r="BK88" s="112" t="str">
        <f aca="false">IFERROR(__xludf.dummyfunction("IMPORTRANGE(A110,""cy12"")"),"Eric Oakley")</f>
        <v>Eric Oakley</v>
      </c>
      <c r="BL88" s="66" t="n">
        <v>83</v>
      </c>
      <c r="BM88" s="134" t="n">
        <f aca="false">VLOOKUP(BL88,MPOSCORING,2, 0)</f>
        <v>0</v>
      </c>
      <c r="BN88" s="32"/>
      <c r="BO88" s="64" t="s">
        <v>48</v>
      </c>
      <c r="BP88" s="112" t="str">
        <f aca="false">IFERROR(__xludf.dummyfunction("IMPORTRANGE(A110,""dg12"")"),"Kat Mertsch")</f>
        <v>Kat Mertsch</v>
      </c>
      <c r="BQ88" s="66" t="n">
        <v>8</v>
      </c>
      <c r="BR88" s="134" t="n">
        <f aca="false">VLOOKUP(BQ88,FPOSCORING,3, 0)</f>
        <v>134</v>
      </c>
      <c r="BS88" s="33"/>
      <c r="BT88" s="64" t="s">
        <v>48</v>
      </c>
      <c r="BU88" s="112" t="str">
        <f aca="false">IFERROR(__xludf.dummyfunction("IMPORTRANGE(A110,""do12"")"),"")</f>
        <v/>
      </c>
      <c r="BV88" s="66" t="s">
        <v>31</v>
      </c>
      <c r="BW88" s="134" t="n">
        <f aca="false">VLOOKUP(BV88,MPOSCORING,2, 0)</f>
        <v>0</v>
      </c>
      <c r="BX88" s="32"/>
      <c r="BY88" s="64" t="s">
        <v>48</v>
      </c>
      <c r="BZ88" s="112" t="str">
        <f aca="false">IFERROR(__xludf.dummyfunction("IMPORTRANGE(A110,""dw12"")"),"")</f>
        <v/>
      </c>
      <c r="CA88" s="66" t="s">
        <v>31</v>
      </c>
      <c r="CB88" s="134" t="n">
        <f aca="false">VLOOKUP(CA88,MPOSCORING,2, 0)</f>
        <v>0</v>
      </c>
      <c r="CC88" s="32"/>
      <c r="CD88" s="64" t="s">
        <v>48</v>
      </c>
      <c r="CE88" s="112"/>
      <c r="CF88" s="66" t="s">
        <v>31</v>
      </c>
      <c r="CG88" s="134" t="n">
        <f aca="false">VLOOKUP(CF88,FPOSCORING,3, 0)</f>
        <v>0</v>
      </c>
      <c r="CH88" s="33"/>
    </row>
    <row r="89" customFormat="false" ht="15" hidden="false" customHeight="false" outlineLevel="0" collapsed="false">
      <c r="A89" s="148" t="str">
        <f aca="false">IFERROR(__xludf.dummyfunction("IMPORTRANGE(A110,""a1"")"),"The_Legit_Pat")</f>
        <v>The_Legit_Pat</v>
      </c>
      <c r="B89" s="58" t="s">
        <v>172</v>
      </c>
      <c r="C89" s="58"/>
      <c r="D89" s="58"/>
      <c r="E89" s="58"/>
      <c r="F89" s="36" t="s">
        <v>40</v>
      </c>
      <c r="G89" s="139" t="s">
        <v>168</v>
      </c>
      <c r="H89" s="88" t="s">
        <v>31</v>
      </c>
      <c r="I89" s="115" t="n">
        <f aca="false">VLOOKUP(H89,FPOSCORING,2, 0)</f>
        <v>0</v>
      </c>
      <c r="J89" s="39" t="s">
        <v>40</v>
      </c>
      <c r="K89" s="105" t="str">
        <f aca="false">IFERROR(__xludf.dummyfunction("IMPORTRANGE(A110,""o13"")"),"Hailey King")</f>
        <v>Hailey King</v>
      </c>
      <c r="L89" s="41" t="s">
        <v>31</v>
      </c>
      <c r="M89" s="115" t="n">
        <f aca="false">VLOOKUP(L89,MPOSCORING,2, 0)</f>
        <v>0</v>
      </c>
      <c r="N89" s="42" t="s">
        <v>40</v>
      </c>
      <c r="O89" s="43" t="str">
        <f aca="false">IFERROR(__xludf.dummyfunction("IMPORTRANGE(A110,""w13"")"),"Eric oakley")</f>
        <v>Eric oakley</v>
      </c>
      <c r="P89" s="44" t="n">
        <v>19</v>
      </c>
      <c r="Q89" s="115" t="n">
        <f aca="false">VLOOKUP(P89,MPOSCORING,2, 0)</f>
        <v>67</v>
      </c>
      <c r="R89" s="34" t="s">
        <v>40</v>
      </c>
      <c r="S89" s="106" t="str">
        <f aca="false">IFERROR(__xludf.dummyfunction("IMPORTRANGE(A110,""AE13"")"),"Natalie Ryan")</f>
        <v>Natalie Ryan</v>
      </c>
      <c r="T89" s="46" t="n">
        <v>26</v>
      </c>
      <c r="U89" s="116" t="n">
        <f aca="false">VLOOKUP(T89,FPOSCORING,2, 0)</f>
        <v>0</v>
      </c>
      <c r="V89" s="48" t="s">
        <v>40</v>
      </c>
      <c r="W89" s="107" t="str">
        <f aca="false">IFERROR(__xludf.dummyfunction("IMPORTRANGE(A110,""Am13"")"),"Natalie Ryan")</f>
        <v>Natalie Ryan</v>
      </c>
      <c r="X89" s="50" t="n">
        <v>11</v>
      </c>
      <c r="Y89" s="117" t="n">
        <f aca="false">VLOOKUP(X89,FPOSCORING,2, 0)</f>
        <v>52</v>
      </c>
      <c r="Z89" s="51"/>
      <c r="AA89" s="52" t="s">
        <v>40</v>
      </c>
      <c r="AB89" s="108" t="str">
        <f aca="false">IFERROR(__xludf.dummyfunction("IMPORTRANGE(A110,""Au13"")"),"Natalie Ryan")</f>
        <v>Natalie Ryan</v>
      </c>
      <c r="AC89" s="54" t="n">
        <v>2</v>
      </c>
      <c r="AD89" s="145" t="n">
        <f aca="false">VLOOKUP(AC89,FPOSCORING,2, 0)</f>
        <v>96</v>
      </c>
      <c r="AE89" s="51"/>
      <c r="AF89" s="55" t="s">
        <v>40</v>
      </c>
      <c r="AG89" s="109" t="str">
        <f aca="false">IFERROR(__xludf.dummyfunction("IMPORTRANGE(A110,""bc13"")"),"Hailey King")</f>
        <v>Hailey King</v>
      </c>
      <c r="AH89" s="57" t="s">
        <v>31</v>
      </c>
      <c r="AI89" s="118" t="n">
        <f aca="false">VLOOKUP(AH89,FPOSCORING,2, 0)</f>
        <v>0</v>
      </c>
      <c r="AJ89" s="51"/>
      <c r="AK89" s="58" t="s">
        <v>40</v>
      </c>
      <c r="AL89" s="110" t="str">
        <f aca="false">IFERROR(__xludf.dummyfunction("IMPORTRANGE(A110,""bk13"")"),"Jessica Weese")</f>
        <v>Jessica Weese</v>
      </c>
      <c r="AM89" s="60" t="s">
        <v>31</v>
      </c>
      <c r="AN89" s="119" t="n">
        <f aca="false">VLOOKUP(AM89,MPOSCORING,2, 0)</f>
        <v>0</v>
      </c>
      <c r="AO89" s="51"/>
      <c r="AP89" s="61" t="s">
        <v>51</v>
      </c>
      <c r="AQ89" s="111" t="str">
        <f aca="false">IFERROR(__xludf.dummyfunction("IMPORTRANGE(A110,""bs13"")"),"")</f>
        <v/>
      </c>
      <c r="AR89" s="63" t="s">
        <v>31</v>
      </c>
      <c r="AS89" s="61"/>
      <c r="AT89" s="51"/>
      <c r="AU89" s="64" t="s">
        <v>40</v>
      </c>
      <c r="AV89" s="123" t="str">
        <f aca="false">IFERROR(__xludf.dummyfunction("IMPORTRANGE(A110,""ca13"")"),"Natalie Ryan")</f>
        <v>Natalie Ryan</v>
      </c>
      <c r="AW89" s="66" t="s">
        <v>164</v>
      </c>
      <c r="AX89" s="120" t="n">
        <f aca="false">VLOOKUP(AW89,MPOSCORING,2, 0)</f>
        <v>0</v>
      </c>
      <c r="AY89" s="121"/>
      <c r="AZ89" s="36" t="s">
        <v>40</v>
      </c>
      <c r="BA89" s="140" t="str">
        <f aca="false">IFERROR(__xludf.dummyfunction("IMPORTRANGE(A110,""ci13"")"),"Jessica Weese")</f>
        <v>Jessica Weese</v>
      </c>
      <c r="BB89" s="37" t="n">
        <v>18</v>
      </c>
      <c r="BC89" s="122" t="n">
        <f aca="false">VLOOKUP(BB89,FPOSCORING,2, 0)</f>
        <v>19</v>
      </c>
      <c r="BD89" s="121"/>
      <c r="BE89" s="42" t="s">
        <v>40</v>
      </c>
      <c r="BF89" s="114" t="str">
        <f aca="false">IFERROR(__xludf.dummyfunction("IMPORTRANGE(A110,""cq13"")"),"Jessica Weese")</f>
        <v>Jessica Weese</v>
      </c>
      <c r="BG89" s="44" t="s">
        <v>31</v>
      </c>
      <c r="BH89" s="115" t="n">
        <f aca="false">VLOOKUP(BG89,MPOSCORING,2, 0)</f>
        <v>0</v>
      </c>
      <c r="BI89" s="121"/>
      <c r="BJ89" s="64" t="s">
        <v>40</v>
      </c>
      <c r="BK89" s="123" t="str">
        <f aca="false">IFERROR(__xludf.dummyfunction("IMPORTRANGE(A110,""cy13"")"),"Jessica weese ")</f>
        <v>Jessica weese</v>
      </c>
      <c r="BL89" s="66" t="n">
        <v>15</v>
      </c>
      <c r="BM89" s="120" t="n">
        <f aca="false">VLOOKUP(BL89,FPOSCORING,2, 0)</f>
        <v>34</v>
      </c>
      <c r="BN89" s="121"/>
      <c r="BO89" s="64" t="s">
        <v>40</v>
      </c>
      <c r="BP89" s="123" t="str">
        <f aca="false">IFERROR(__xludf.dummyfunction("IMPORTRANGE(A110,""dg13"")"),"Casey White")</f>
        <v>Casey White</v>
      </c>
      <c r="BQ89" s="66" t="s">
        <v>31</v>
      </c>
      <c r="BR89" s="120" t="n">
        <f aca="false">VLOOKUP(BQ89,MPOSCORING,2, 0)*2</f>
        <v>0</v>
      </c>
      <c r="BS89" s="124"/>
      <c r="BT89" s="64" t="s">
        <v>40</v>
      </c>
      <c r="BU89" s="123" t="str">
        <f aca="false">IFERROR(__xludf.dummyfunction("IMPORTRANGE(A110,""do13"")"),"")</f>
        <v/>
      </c>
      <c r="BV89" s="66" t="s">
        <v>31</v>
      </c>
      <c r="BW89" s="120" t="n">
        <f aca="false">VLOOKUP(BV89,MPOSCORING,2, 0)</f>
        <v>0</v>
      </c>
      <c r="BX89" s="121"/>
      <c r="BY89" s="64" t="s">
        <v>40</v>
      </c>
      <c r="BZ89" s="112" t="str">
        <f aca="false">IFERROR(__xludf.dummyfunction("IMPORTRANGE(A110,""dw13"")"),"")</f>
        <v/>
      </c>
      <c r="CA89" s="66" t="s">
        <v>31</v>
      </c>
      <c r="CB89" s="120" t="n">
        <f aca="false">VLOOKUP(CA89,MPOSCORING,2, 0)</f>
        <v>0</v>
      </c>
      <c r="CC89" s="121"/>
      <c r="CD89" s="64" t="s">
        <v>40</v>
      </c>
      <c r="CE89" s="123"/>
      <c r="CF89" s="66" t="s">
        <v>31</v>
      </c>
      <c r="CG89" s="120" t="n">
        <f aca="false">VLOOKUP(CF89,MPOSCORING,3, 0)</f>
        <v>0</v>
      </c>
      <c r="CH89" s="124"/>
    </row>
    <row r="90" customFormat="false" ht="15" hidden="false" customHeight="false" outlineLevel="0" collapsed="false">
      <c r="A90" s="148" t="str">
        <f aca="false">IFERROR(__xludf.dummyfunction("IMPORTRANGE(A110,""a1"")"),"The_Legit_Pat")</f>
        <v>The_Legit_Pat</v>
      </c>
      <c r="B90" s="58" t="s">
        <v>174</v>
      </c>
      <c r="C90" s="58"/>
      <c r="D90" s="58"/>
      <c r="E90" s="58"/>
      <c r="F90" s="36" t="s">
        <v>43</v>
      </c>
      <c r="G90" s="139" t="s">
        <v>173</v>
      </c>
      <c r="H90" s="37" t="s">
        <v>31</v>
      </c>
      <c r="I90" s="125" t="n">
        <f aca="false">VLOOKUP(H90,FPOSCORING,2, 0)</f>
        <v>0</v>
      </c>
      <c r="J90" s="39" t="s">
        <v>43</v>
      </c>
      <c r="K90" s="105" t="str">
        <f aca="false">IFERROR(__xludf.dummyfunction("IMPORTRANGE(A110,""o14"")"),"Eric Oakley")</f>
        <v>Eric Oakley</v>
      </c>
      <c r="L90" s="41" t="s">
        <v>31</v>
      </c>
      <c r="M90" s="125" t="n">
        <f aca="false">VLOOKUP(L90,FPOSCORING,2, 0)</f>
        <v>0</v>
      </c>
      <c r="N90" s="42" t="s">
        <v>43</v>
      </c>
      <c r="O90" s="43" t="str">
        <f aca="false">IFERROR(__xludf.dummyfunction("IMPORTRANGE(A110,""w14"")"),"Natalie ryan")</f>
        <v>Natalie ryan</v>
      </c>
      <c r="P90" s="44" t="n">
        <v>8</v>
      </c>
      <c r="Q90" s="125" t="n">
        <f aca="false">VLOOKUP(P90,FPOSCORING,2, 0)</f>
        <v>67</v>
      </c>
      <c r="R90" s="34" t="s">
        <v>43</v>
      </c>
      <c r="S90" s="106" t="str">
        <f aca="false">IFERROR(__xludf.dummyfunction("IMPORTRANGE(A110,""AE14"")"),"Jessica Weese")</f>
        <v>Jessica Weese</v>
      </c>
      <c r="T90" s="46" t="s">
        <v>31</v>
      </c>
      <c r="U90" s="126" t="n">
        <f aca="false">VLOOKUP(T90,FPOSCORING,2, 0)</f>
        <v>0</v>
      </c>
      <c r="V90" s="48" t="s">
        <v>43</v>
      </c>
      <c r="W90" s="107" t="str">
        <f aca="false">IFERROR(__xludf.dummyfunction("IMPORTRANGE(A110,""Am14"")"),"Jessica Weese")</f>
        <v>Jessica Weese</v>
      </c>
      <c r="X90" s="50" t="n">
        <v>13</v>
      </c>
      <c r="Y90" s="117" t="n">
        <f aca="false">VLOOKUP(X90,FPOSCORING,2, 0)</f>
        <v>42</v>
      </c>
      <c r="Z90" s="51"/>
      <c r="AA90" s="52" t="s">
        <v>43</v>
      </c>
      <c r="AB90" s="108" t="str">
        <f aca="false">IFERROR(__xludf.dummyfunction("IMPORTRANGE(A110,""Au14"")"),"Jessica Weese")</f>
        <v>Jessica Weese</v>
      </c>
      <c r="AC90" s="54" t="n">
        <v>14</v>
      </c>
      <c r="AD90" s="145" t="n">
        <f aca="false">VLOOKUP(AC90,FPOSCORING,2, 0)</f>
        <v>38</v>
      </c>
      <c r="AE90" s="51"/>
      <c r="AF90" s="55" t="s">
        <v>43</v>
      </c>
      <c r="AG90" s="109" t="str">
        <f aca="false">IFERROR(__xludf.dummyfunction("IMPORTRANGE(A110,""bc14"")"),"Matt Bell")</f>
        <v>Matt Bell</v>
      </c>
      <c r="AH90" s="57" t="s">
        <v>31</v>
      </c>
      <c r="AI90" s="118" t="n">
        <f aca="false">VLOOKUP(AH90,MPOSCORING,2, 0)</f>
        <v>0</v>
      </c>
      <c r="AJ90" s="51"/>
      <c r="AK90" s="58" t="s">
        <v>43</v>
      </c>
      <c r="AL90" s="110" t="str">
        <f aca="false">IFERROR(__xludf.dummyfunction("IMPORTRANGE(A110,""bk14"")"),"Kat Mertsch")</f>
        <v>Kat Mertsch</v>
      </c>
      <c r="AM90" s="60" t="s">
        <v>31</v>
      </c>
      <c r="AN90" s="119" t="n">
        <f aca="false">VLOOKUP(AM90,FPOSCORING,2, 0)</f>
        <v>0</v>
      </c>
      <c r="AO90" s="51"/>
      <c r="AP90" s="61" t="s">
        <v>53</v>
      </c>
      <c r="AQ90" s="111" t="str">
        <f aca="false">IFERROR(__xludf.dummyfunction("IMPORTRANGE(A110,""bs14"")"),"")</f>
        <v/>
      </c>
      <c r="AR90" s="63" t="s">
        <v>31</v>
      </c>
      <c r="AS90" s="61"/>
      <c r="AT90" s="51"/>
      <c r="AU90" s="64" t="s">
        <v>43</v>
      </c>
      <c r="AV90" s="112" t="str">
        <f aca="false">IFERROR(__xludf.dummyfunction("IMPORTRANGE(A110,""ca14"")"),"Noah Meintsma")</f>
        <v>Noah Meintsma</v>
      </c>
      <c r="AW90" s="66" t="n">
        <v>80</v>
      </c>
      <c r="AX90" s="120" t="n">
        <f aca="false">VLOOKUP(AW90,MPOSCORING,2, 0)</f>
        <v>0</v>
      </c>
      <c r="AY90" s="121"/>
      <c r="AZ90" s="36" t="s">
        <v>43</v>
      </c>
      <c r="BA90" s="139" t="str">
        <f aca="false">IFERROR(__xludf.dummyfunction("IMPORTRANGE(A110,""ci14"")"),"Natalie Ryan")</f>
        <v>Natalie Ryan</v>
      </c>
      <c r="BB90" s="37" t="n">
        <v>1</v>
      </c>
      <c r="BC90" s="122" t="n">
        <f aca="false">VLOOKUP(BB90,FPOSCORING,2, 0)</f>
        <v>100</v>
      </c>
      <c r="BD90" s="121"/>
      <c r="BE90" s="42" t="s">
        <v>43</v>
      </c>
      <c r="BF90" s="114" t="str">
        <f aca="false">IFERROR(__xludf.dummyfunction("IMPORTRANGE(A110,""cq14"")"),"Eric Oakley")</f>
        <v>Eric Oakley</v>
      </c>
      <c r="BG90" s="44" t="s">
        <v>31</v>
      </c>
      <c r="BH90" s="115" t="n">
        <f aca="false">VLOOKUP(BG90,FPOSCORING,2, 0)</f>
        <v>0</v>
      </c>
      <c r="BI90" s="121"/>
      <c r="BJ90" s="64" t="s">
        <v>43</v>
      </c>
      <c r="BK90" s="112" t="str">
        <f aca="false">IFERROR(__xludf.dummyfunction("IMPORTRANGE(A110,""cy14"")"),"Matt Bell")</f>
        <v>Matt Bell</v>
      </c>
      <c r="BL90" s="66" t="s">
        <v>31</v>
      </c>
      <c r="BM90" s="120" t="n">
        <f aca="false">VLOOKUP(BL90,FPOSCORING,2, 0)</f>
        <v>0</v>
      </c>
      <c r="BN90" s="121"/>
      <c r="BO90" s="64" t="s">
        <v>43</v>
      </c>
      <c r="BP90" s="112" t="str">
        <f aca="false">IFERROR(__xludf.dummyfunction("IMPORTRANGE(A110,""dg14"")"),"Eric Oakley")</f>
        <v>Eric Oakley</v>
      </c>
      <c r="BQ90" s="66" t="s">
        <v>31</v>
      </c>
      <c r="BR90" s="120" t="n">
        <f aca="false">VLOOKUP(BQ90,FPOSCORING,2, 0)*2</f>
        <v>0</v>
      </c>
      <c r="BS90" s="124"/>
      <c r="BT90" s="64" t="s">
        <v>43</v>
      </c>
      <c r="BU90" s="112" t="str">
        <f aca="false">IFERROR(__xludf.dummyfunction("IMPORTRANGE(A110,""do14"")"),"")</f>
        <v/>
      </c>
      <c r="BV90" s="66" t="s">
        <v>31</v>
      </c>
      <c r="BW90" s="120" t="n">
        <f aca="false">VLOOKUP(BV90,FPOSCORING,2, 0)</f>
        <v>0</v>
      </c>
      <c r="BX90" s="121"/>
      <c r="BY90" s="64" t="s">
        <v>43</v>
      </c>
      <c r="BZ90" s="112" t="str">
        <f aca="false">IFERROR(__xludf.dummyfunction("IMPORTRANGE(A110,""dw14"")"),"")</f>
        <v/>
      </c>
      <c r="CA90" s="66" t="s">
        <v>31</v>
      </c>
      <c r="CB90" s="120" t="n">
        <f aca="false">VLOOKUP(CA90,FPOSCORING,2, 0)</f>
        <v>0</v>
      </c>
      <c r="CC90" s="121"/>
      <c r="CD90" s="64" t="s">
        <v>43</v>
      </c>
      <c r="CE90" s="112"/>
      <c r="CF90" s="66" t="s">
        <v>31</v>
      </c>
      <c r="CG90" s="120" t="n">
        <f aca="false">VLOOKUP(CF90,FPOSCORING,3, 0)</f>
        <v>0</v>
      </c>
      <c r="CH90" s="124"/>
    </row>
    <row r="91" customFormat="false" ht="15" hidden="false" customHeight="false" outlineLevel="0" collapsed="false">
      <c r="A91" s="148" t="str">
        <f aca="false">IFERROR(__xludf.dummyfunction("IMPORTRANGE(A110,""a1"")"),"The_Legit_Pat")</f>
        <v>The_Legit_Pat</v>
      </c>
      <c r="B91" s="58" t="s">
        <v>175</v>
      </c>
      <c r="C91" s="58"/>
      <c r="D91" s="58"/>
      <c r="E91" s="58"/>
      <c r="F91" s="36" t="s">
        <v>46</v>
      </c>
      <c r="G91" s="139" t="s">
        <v>175</v>
      </c>
      <c r="H91" s="37" t="n">
        <v>28</v>
      </c>
      <c r="I91" s="115" t="n">
        <f aca="false">VLOOKUP(H91,MPOSCORING,2, 0)</f>
        <v>51</v>
      </c>
      <c r="J91" s="39" t="s">
        <v>46</v>
      </c>
      <c r="K91" s="105" t="str">
        <f aca="false">IFERROR(__xludf.dummyfunction("IMPORTRANGE(A110,""o15"")"),"Natalie Ryan")</f>
        <v>Natalie Ryan</v>
      </c>
      <c r="L91" s="41" t="s">
        <v>31</v>
      </c>
      <c r="M91" s="115" t="n">
        <f aca="false">VLOOKUP(L91,MPOSCORING,2, 0)</f>
        <v>0</v>
      </c>
      <c r="N91" s="42" t="s">
        <v>46</v>
      </c>
      <c r="O91" s="43" t="str">
        <f aca="false">IFERROR(__xludf.dummyfunction("IMPORTRANGE(A110,""w15"")"),"Noah Meinstma")</f>
        <v>Noah Meinstma</v>
      </c>
      <c r="P91" s="44" t="n">
        <v>93</v>
      </c>
      <c r="Q91" s="115" t="n">
        <f aca="false">VLOOKUP(P91,MPOSCORING,2, 0)</f>
        <v>0</v>
      </c>
      <c r="R91" s="34" t="s">
        <v>46</v>
      </c>
      <c r="S91" s="106" t="str">
        <f aca="false">IFERROR(__xludf.dummyfunction("IMPORTRANGE(A110,""AE15"")"),"Noah Meintsma")</f>
        <v>Noah Meintsma</v>
      </c>
      <c r="T91" s="46" t="n">
        <v>74</v>
      </c>
      <c r="U91" s="116" t="n">
        <f aca="false">VLOOKUP(T91,MPOSCORING,2, 0)</f>
        <v>0</v>
      </c>
      <c r="V91" s="48" t="s">
        <v>46</v>
      </c>
      <c r="W91" s="107" t="str">
        <f aca="false">IFERROR(__xludf.dummyfunction("IMPORTRANGE(A110,""Am15"")"),"Noah Meintsma")</f>
        <v>Noah Meintsma</v>
      </c>
      <c r="X91" s="50" t="s">
        <v>31</v>
      </c>
      <c r="Y91" s="117" t="n">
        <f aca="false">VLOOKUP(X91,MPOSCORING,2, 0)</f>
        <v>0</v>
      </c>
      <c r="Z91" s="51"/>
      <c r="AA91" s="52" t="s">
        <v>46</v>
      </c>
      <c r="AB91" s="108" t="str">
        <f aca="false">IFERROR(__xludf.dummyfunction("IMPORTRANGE(A110,""Au15"")"),"Noah Meintsma")</f>
        <v>Noah Meintsma</v>
      </c>
      <c r="AC91" s="54" t="s">
        <v>31</v>
      </c>
      <c r="AD91" s="145" t="n">
        <f aca="false">VLOOKUP(AC91,MPOSCORING,2, 0)</f>
        <v>0</v>
      </c>
      <c r="AE91" s="51"/>
      <c r="AF91" s="55" t="s">
        <v>46</v>
      </c>
      <c r="AG91" s="109" t="str">
        <f aca="false">IFERROR(__xludf.dummyfunction("IMPORTRANGE(A110,""bc15"")"),"Noah Meintsma")</f>
        <v>Noah Meintsma</v>
      </c>
      <c r="AH91" s="57" t="n">
        <v>47</v>
      </c>
      <c r="AI91" s="118" t="n">
        <f aca="false">VLOOKUP(AH91,MPOSCORING,2, 0)</f>
        <v>15</v>
      </c>
      <c r="AJ91" s="51"/>
      <c r="AK91" s="58" t="s">
        <v>46</v>
      </c>
      <c r="AL91" s="110" t="str">
        <f aca="false">IFERROR(__xludf.dummyfunction("IMPORTRANGE(A110,""bk15"")"),"Noah Meintsma")</f>
        <v>Noah Meintsma</v>
      </c>
      <c r="AM91" s="60" t="s">
        <v>31</v>
      </c>
      <c r="AN91" s="119" t="n">
        <f aca="false">VLOOKUP(AM91,MPOSCORING,2, 0)</f>
        <v>0</v>
      </c>
      <c r="AO91" s="51"/>
      <c r="AP91" s="61" t="s">
        <v>55</v>
      </c>
      <c r="AQ91" s="111" t="str">
        <f aca="false">IFERROR(__xludf.dummyfunction("IMPORTRANGE(A110,""bs15"")"),"")</f>
        <v/>
      </c>
      <c r="AR91" s="63" t="s">
        <v>31</v>
      </c>
      <c r="AS91" s="61"/>
      <c r="AT91" s="51"/>
      <c r="AU91" s="64" t="s">
        <v>46</v>
      </c>
      <c r="AV91" s="112" t="str">
        <f aca="false">IFERROR(__xludf.dummyfunction("IMPORTRANGE(A110,""ca15"")"),"Eric Oakley")</f>
        <v>Eric Oakley</v>
      </c>
      <c r="AW91" s="66" t="n">
        <v>34</v>
      </c>
      <c r="AX91" s="120" t="n">
        <f aca="false">VLOOKUP(AW91,MPOSCORING,2, 0)</f>
        <v>40</v>
      </c>
      <c r="AY91" s="121"/>
      <c r="AZ91" s="36" t="s">
        <v>46</v>
      </c>
      <c r="BA91" s="139" t="str">
        <f aca="false">IFERROR(__xludf.dummyfunction("IMPORTRANGE(A110,""ci15"")"),"Chandler Kramer")</f>
        <v>Chandler Kramer</v>
      </c>
      <c r="BB91" s="37" t="s">
        <v>31</v>
      </c>
      <c r="BC91" s="122" t="n">
        <f aca="false">VLOOKUP(BB91,MPOSCORING,2, 0)</f>
        <v>0</v>
      </c>
      <c r="BD91" s="121"/>
      <c r="BE91" s="42" t="s">
        <v>46</v>
      </c>
      <c r="BF91" s="114" t="str">
        <f aca="false">IFERROR(__xludf.dummyfunction("IMPORTRANGE(A110,""cq15"")"),"Chandler Kramer")</f>
        <v>Chandler Kramer</v>
      </c>
      <c r="BG91" s="44" t="s">
        <v>31</v>
      </c>
      <c r="BH91" s="115" t="n">
        <f aca="false">VLOOKUP(BG91,MPOSCORING,2, 0)</f>
        <v>0</v>
      </c>
      <c r="BI91" s="121"/>
      <c r="BJ91" s="64" t="s">
        <v>46</v>
      </c>
      <c r="BK91" s="112" t="str">
        <f aca="false">IFERROR(__xludf.dummyfunction("IMPORTRANGE(A110,""cy15"")"),"Natalie Ryan")</f>
        <v>Natalie Ryan</v>
      </c>
      <c r="BL91" s="66" t="s">
        <v>31</v>
      </c>
      <c r="BM91" s="120" t="n">
        <f aca="false">VLOOKUP(BL91,MPOSCORING,2, 0)</f>
        <v>0</v>
      </c>
      <c r="BN91" s="121"/>
      <c r="BO91" s="64" t="s">
        <v>46</v>
      </c>
      <c r="BP91" s="112" t="str">
        <f aca="false">IFERROR(__xludf.dummyfunction("IMPORTRANGE(A110,""dg15"")"),"Jessica weese ")</f>
        <v>Jessica weese</v>
      </c>
      <c r="BQ91" s="66" t="s">
        <v>31</v>
      </c>
      <c r="BR91" s="120" t="n">
        <f aca="false">VLOOKUP(BQ91,MPOSCORING,2, 0)*2</f>
        <v>0</v>
      </c>
      <c r="BS91" s="124"/>
      <c r="BT91" s="64" t="s">
        <v>46</v>
      </c>
      <c r="BU91" s="112" t="str">
        <f aca="false">IFERROR(__xludf.dummyfunction("IMPORTRANGE(A110,""do15"")"),"")</f>
        <v/>
      </c>
      <c r="BV91" s="66" t="s">
        <v>31</v>
      </c>
      <c r="BW91" s="120" t="n">
        <f aca="false">VLOOKUP(BV91,MPOSCORING,2, 0)</f>
        <v>0</v>
      </c>
      <c r="BX91" s="121"/>
      <c r="BY91" s="64" t="s">
        <v>46</v>
      </c>
      <c r="BZ91" s="112" t="str">
        <f aca="false">IFERROR(__xludf.dummyfunction("IMPORTRANGE(A110,""dw15"")"),"")</f>
        <v/>
      </c>
      <c r="CA91" s="66" t="s">
        <v>31</v>
      </c>
      <c r="CB91" s="120" t="n">
        <f aca="false">VLOOKUP(CA91,MPOSCORING,2, 0)</f>
        <v>0</v>
      </c>
      <c r="CC91" s="121"/>
      <c r="CD91" s="64" t="s">
        <v>46</v>
      </c>
      <c r="CE91" s="112"/>
      <c r="CF91" s="66" t="s">
        <v>31</v>
      </c>
      <c r="CG91" s="120" t="n">
        <f aca="false">VLOOKUP(CF91,MPOSCORING,3, 0)</f>
        <v>0</v>
      </c>
      <c r="CH91" s="124"/>
    </row>
    <row r="92" customFormat="false" ht="13.85" hidden="true" customHeight="false" outlineLevel="0" collapsed="false">
      <c r="A92" s="16" t="s">
        <v>176</v>
      </c>
      <c r="I92" s="127"/>
      <c r="BS92" s="18"/>
      <c r="CH92" s="18"/>
    </row>
    <row r="93" customFormat="false" ht="15" hidden="false" customHeight="false" outlineLevel="0" collapsed="false">
      <c r="A93" s="149" t="str">
        <f aca="false">IFERROR(__xludf.dummyfunction("IMPORTRANGE(A125,""a1"")"),"Emer-mommy (Aleeza)")</f>
        <v>Emer-mommy (Aleeza)</v>
      </c>
      <c r="B93" s="61" t="s">
        <v>177</v>
      </c>
      <c r="C93" s="61"/>
      <c r="D93" s="61"/>
      <c r="E93" s="61"/>
      <c r="F93" s="36" t="s">
        <v>29</v>
      </c>
      <c r="G93" s="35" t="s">
        <v>178</v>
      </c>
      <c r="H93" s="88" t="n">
        <v>2</v>
      </c>
      <c r="I93" s="38" t="n">
        <f aca="false">VLOOKUP(H93,FPOSCORING,2, 0)</f>
        <v>96</v>
      </c>
      <c r="J93" s="39" t="s">
        <v>29</v>
      </c>
      <c r="K93" s="40" t="str">
        <f aca="false">IFERROR(__xludf.dummyfunction("IMPORTRANGE(A125,""o6"")"),"Kristin Tattar")</f>
        <v>Kristin Tattar</v>
      </c>
      <c r="L93" s="41" t="n">
        <v>2</v>
      </c>
      <c r="M93" s="38" t="n">
        <f aca="false">VLOOKUP(L93,FPOSCORING,2, 0)</f>
        <v>96</v>
      </c>
      <c r="N93" s="42" t="s">
        <v>29</v>
      </c>
      <c r="O93" s="43" t="str">
        <f aca="false">IFERROR(__xludf.dummyfunction("IMPORTRANGE(A125,""W6"")"),"kristin tattar ")</f>
        <v>kristin tattar</v>
      </c>
      <c r="P93" s="44" t="n">
        <v>2</v>
      </c>
      <c r="Q93" s="38" t="n">
        <f aca="false">VLOOKUP(P93,FPOSCORING,2, 0)</f>
        <v>96</v>
      </c>
      <c r="R93" s="34" t="s">
        <v>29</v>
      </c>
      <c r="S93" s="45" t="str">
        <f aca="false">IFERROR(__xludf.dummyfunction("IMPORTRANGE(A125,""AE6"")"),"kristin tattar ")</f>
        <v>kristin tattar</v>
      </c>
      <c r="T93" s="46" t="n">
        <v>1</v>
      </c>
      <c r="U93" s="47" t="n">
        <f aca="false">VLOOKUP(T93,FPOSCORING,2, 0)</f>
        <v>100</v>
      </c>
      <c r="V93" s="48" t="s">
        <v>29</v>
      </c>
      <c r="W93" s="49" t="str">
        <f aca="false">IFERROR(__xludf.dummyfunction("IMPORTRANGE(A125,""Am6"")"),"kristin tattar ")</f>
        <v>kristin tattar</v>
      </c>
      <c r="X93" s="50" t="n">
        <v>1</v>
      </c>
      <c r="Y93" s="129" t="n">
        <f aca="false">VLOOKUP(X93,FPOSCORING,2, 0)</f>
        <v>100</v>
      </c>
      <c r="Z93" s="51"/>
      <c r="AA93" s="52" t="s">
        <v>29</v>
      </c>
      <c r="AB93" s="53" t="str">
        <f aca="false">IFERROR(__xludf.dummyfunction("IMPORTRANGE(A125,""Au6"")"),"Kristin Tattar")</f>
        <v>Kristin Tattar</v>
      </c>
      <c r="AC93" s="54" t="s">
        <v>31</v>
      </c>
      <c r="AD93" s="130" t="n">
        <f aca="false">VLOOKUP(AC93,FPOSCORING,2, 0)</f>
        <v>0</v>
      </c>
      <c r="AE93" s="51"/>
      <c r="AF93" s="55" t="s">
        <v>29</v>
      </c>
      <c r="AG93" s="56" t="str">
        <f aca="false">IFERROR(__xludf.dummyfunction("IMPORTRANGE(A125,""bc6"")"),"Emily Beach")</f>
        <v>Emily Beach</v>
      </c>
      <c r="AH93" s="57" t="s">
        <v>31</v>
      </c>
      <c r="AI93" s="131" t="n">
        <f aca="false">VLOOKUP(AH93,FPOSCORING,2, 0)</f>
        <v>0</v>
      </c>
      <c r="AJ93" s="51"/>
      <c r="AK93" s="58" t="s">
        <v>29</v>
      </c>
      <c r="AL93" s="59" t="str">
        <f aca="false">IFERROR(__xludf.dummyfunction("IMPORTRANGE(A125,""bk6"")"),"Emily Beach")</f>
        <v>Emily Beach</v>
      </c>
      <c r="AM93" s="60" t="n">
        <v>10</v>
      </c>
      <c r="AN93" s="132" t="n">
        <f aca="false">VLOOKUP(AM93,FPOSCORING,2, 0)</f>
        <v>58</v>
      </c>
      <c r="AO93" s="51"/>
      <c r="AP93" s="61" t="s">
        <v>29</v>
      </c>
      <c r="AQ93" s="62" t="str">
        <f aca="false">IFERROR(__xludf.dummyfunction("IMPORTRANGE(A125,""bs6"")"),"Emily Beach")</f>
        <v>Emily Beach</v>
      </c>
      <c r="AR93" s="63" t="n">
        <v>13</v>
      </c>
      <c r="AS93" s="133" t="n">
        <f aca="false">VLOOKUP(AR93,MPOSCORING,2, 0)</f>
        <v>78</v>
      </c>
      <c r="AT93" s="51"/>
      <c r="AU93" s="64" t="s">
        <v>29</v>
      </c>
      <c r="AV93" s="65" t="str">
        <f aca="false">IFERROR(__xludf.dummyfunction("IMPORTRANGE(A125,""ca6"")"),"Emily Beach")</f>
        <v>Emily Beach</v>
      </c>
      <c r="AW93" s="66" t="n">
        <v>30</v>
      </c>
      <c r="AX93" s="134" t="n">
        <f aca="false">VLOOKUP(AW93,FPOSCORING,2, 0)</f>
        <v>0</v>
      </c>
      <c r="AY93" s="32"/>
      <c r="AZ93" s="36" t="s">
        <v>29</v>
      </c>
      <c r="BA93" s="67" t="str">
        <f aca="false">IFERROR(__xludf.dummyfunction("IMPORTRANGE(A125,""ci6"")"),"Emily Beach")</f>
        <v>Emily Beach</v>
      </c>
      <c r="BB93" s="37" t="n">
        <v>2</v>
      </c>
      <c r="BC93" s="135" t="n">
        <f aca="false">VLOOKUP(BB93,FPOSCORING,2, 0)</f>
        <v>96</v>
      </c>
      <c r="BD93" s="32"/>
      <c r="BE93" s="42" t="s">
        <v>29</v>
      </c>
      <c r="BF93" s="68" t="str">
        <f aca="false">IFERROR(__xludf.dummyfunction("IMPORTRANGE(A125,""cq6"")"),"Emily Beach")</f>
        <v>Emily Beach</v>
      </c>
      <c r="BG93" s="44" t="n">
        <v>25</v>
      </c>
      <c r="BH93" s="136" t="n">
        <f aca="false">VLOOKUP(BG93,FPOSCORING,2, 0)</f>
        <v>5</v>
      </c>
      <c r="BI93" s="32"/>
      <c r="BJ93" s="64" t="s">
        <v>29</v>
      </c>
      <c r="BK93" s="65" t="str">
        <f aca="false">IFERROR(__xludf.dummyfunction("IMPORTRANGE(A125,""cy6"")"),"Kristin Tattar")</f>
        <v>Kristin Tattar</v>
      </c>
      <c r="BL93" s="66" t="n">
        <v>1</v>
      </c>
      <c r="BM93" s="134" t="n">
        <f aca="false">VLOOKUP(BL93,FPOSCORING,2, 0)</f>
        <v>100</v>
      </c>
      <c r="BN93" s="32"/>
      <c r="BO93" s="64" t="s">
        <v>29</v>
      </c>
      <c r="BP93" s="65" t="str">
        <f aca="false">IFERROR(__xludf.dummyfunction("IMPORTRANGE(A125,""dg6"")"),"Kristin Tattar")</f>
        <v>Kristin Tattar</v>
      </c>
      <c r="BQ93" s="66" t="n">
        <v>1</v>
      </c>
      <c r="BR93" s="134" t="n">
        <f aca="false">VLOOKUP(BQ93,FPOSCORING,3, 0)</f>
        <v>200</v>
      </c>
      <c r="BS93" s="33"/>
      <c r="BT93" s="64" t="s">
        <v>29</v>
      </c>
      <c r="BU93" s="65" t="str">
        <f aca="false">IFERROR(__xludf.dummyfunction("IMPORTRANGE(A125,""do6"")"),"Kristin Tattar")</f>
        <v>Kristin Tattar</v>
      </c>
      <c r="BV93" s="66" t="n">
        <v>1</v>
      </c>
      <c r="BW93" s="134" t="n">
        <f aca="false">VLOOKUP(BV93,FPOSCORING,2, 0)</f>
        <v>100</v>
      </c>
      <c r="BX93" s="32"/>
      <c r="BY93" s="64" t="s">
        <v>29</v>
      </c>
      <c r="BZ93" s="65" t="str">
        <f aca="false">IFERROR(__xludf.dummyfunction("IMPORTRANGE(A125,""dw6"")"),"")</f>
        <v/>
      </c>
      <c r="CA93" s="66" t="s">
        <v>31</v>
      </c>
      <c r="CB93" s="134" t="n">
        <f aca="false">VLOOKUP(CA93,FPOSCORING,2, 0)</f>
        <v>0</v>
      </c>
      <c r="CC93" s="32"/>
      <c r="CD93" s="64" t="s">
        <v>29</v>
      </c>
      <c r="CE93" s="65"/>
      <c r="CF93" s="66" t="s">
        <v>31</v>
      </c>
      <c r="CG93" s="134" t="n">
        <f aca="false">VLOOKUP(CF93,FPOSCORING,3, 0)</f>
        <v>0</v>
      </c>
      <c r="CH93" s="33"/>
    </row>
    <row r="94" customFormat="false" ht="15" hidden="false" customHeight="false" outlineLevel="0" collapsed="false">
      <c r="A94" s="149" t="str">
        <f aca="false">IFERROR(__xludf.dummyfunction("IMPORTRANGE(A125,""a1"")"),"Emer-mommy (Aleeza)")</f>
        <v>Emer-mommy (Aleeza)</v>
      </c>
      <c r="B94" s="61" t="s">
        <v>179</v>
      </c>
      <c r="C94" s="61"/>
      <c r="D94" s="61"/>
      <c r="E94" s="61"/>
      <c r="F94" s="36" t="s">
        <v>34</v>
      </c>
      <c r="G94" s="67" t="s">
        <v>180</v>
      </c>
      <c r="H94" s="69" t="n">
        <v>10</v>
      </c>
      <c r="I94" s="38" t="n">
        <f aca="false">VLOOKUP(H94,FPOSCORING,2, 0)</f>
        <v>58</v>
      </c>
      <c r="J94" s="39" t="s">
        <v>34</v>
      </c>
      <c r="K94" s="70" t="str">
        <f aca="false">IFERROR(__xludf.dummyfunction("IMPORTRANGE(A125,""o7"")"),"Holly Finley")</f>
        <v>Holly Finley</v>
      </c>
      <c r="L94" s="71" t="n">
        <v>32</v>
      </c>
      <c r="M94" s="38" t="n">
        <f aca="false">VLOOKUP(L94,FPOSCORING,2, 0)</f>
        <v>0</v>
      </c>
      <c r="N94" s="42" t="s">
        <v>34</v>
      </c>
      <c r="O94" s="43" t="str">
        <f aca="false">IFERROR(__xludf.dummyfunction("IMPORTRANGE(A125,""W7"")"),"holly finley ")</f>
        <v>holly finley</v>
      </c>
      <c r="P94" s="72" t="n">
        <v>24</v>
      </c>
      <c r="Q94" s="38" t="n">
        <f aca="false">VLOOKUP(P94,FPOSCORING,2, 0)</f>
        <v>6</v>
      </c>
      <c r="R94" s="34" t="s">
        <v>34</v>
      </c>
      <c r="S94" s="73" t="str">
        <f aca="false">IFERROR(__xludf.dummyfunction("IMPORTRANGE(A125,""AE7"")"),"holly finley ")</f>
        <v>holly finley</v>
      </c>
      <c r="T94" s="74" t="n">
        <v>30</v>
      </c>
      <c r="U94" s="47" t="n">
        <f aca="false">VLOOKUP(T94,FPOSCORING,2, 0)</f>
        <v>0</v>
      </c>
      <c r="V94" s="48" t="s">
        <v>34</v>
      </c>
      <c r="W94" s="75" t="str">
        <f aca="false">IFERROR(__xludf.dummyfunction("IMPORTRANGE(A125,""Am7"")"),"holly finley ")</f>
        <v>holly finley</v>
      </c>
      <c r="X94" s="76" t="n">
        <v>28</v>
      </c>
      <c r="Y94" s="129" t="n">
        <f aca="false">VLOOKUP(X94,FPOSCORING,2, 0)</f>
        <v>0</v>
      </c>
      <c r="Z94" s="51"/>
      <c r="AA94" s="52" t="s">
        <v>34</v>
      </c>
      <c r="AB94" s="77" t="str">
        <f aca="false">IFERROR(__xludf.dummyfunction("IMPORTRANGE(A125,""Au7"")"),"Holly Finley")</f>
        <v>Holly Finley</v>
      </c>
      <c r="AC94" s="78" t="s">
        <v>31</v>
      </c>
      <c r="AD94" s="130" t="n">
        <f aca="false">VLOOKUP(AC94,FPOSCORING,2, 0)</f>
        <v>0</v>
      </c>
      <c r="AE94" s="51"/>
      <c r="AF94" s="55" t="s">
        <v>34</v>
      </c>
      <c r="AG94" s="79" t="str">
        <f aca="false">IFERROR(__xludf.dummyfunction("IMPORTRANGE(A125,""bc7"")"),"Holly Finley")</f>
        <v>Holly Finley</v>
      </c>
      <c r="AH94" s="80" t="n">
        <v>24</v>
      </c>
      <c r="AI94" s="131" t="n">
        <f aca="false">VLOOKUP(AH94,FPOSCORING,2, 0)</f>
        <v>6</v>
      </c>
      <c r="AJ94" s="51"/>
      <c r="AK94" s="58" t="s">
        <v>34</v>
      </c>
      <c r="AL94" s="81" t="str">
        <f aca="false">IFERROR(__xludf.dummyfunction("IMPORTRANGE(A125,""bk7"")"),"Holly Finley")</f>
        <v>Holly Finley</v>
      </c>
      <c r="AM94" s="82" t="n">
        <v>23</v>
      </c>
      <c r="AN94" s="132" t="n">
        <f aca="false">VLOOKUP(AM94,FPOSCORING,2, 0)</f>
        <v>7</v>
      </c>
      <c r="AO94" s="51"/>
      <c r="AP94" s="61" t="s">
        <v>34</v>
      </c>
      <c r="AQ94" s="83" t="str">
        <f aca="false">IFERROR(__xludf.dummyfunction("IMPORTRANGE(A125,""bs7"")"),"Holly Finley")</f>
        <v>Holly Finley</v>
      </c>
      <c r="AR94" s="84" t="n">
        <v>45</v>
      </c>
      <c r="AS94" s="133" t="n">
        <f aca="false">VLOOKUP(AR94,MPOSCORING,2, 0)</f>
        <v>19</v>
      </c>
      <c r="AT94" s="51"/>
      <c r="AU94" s="64" t="s">
        <v>34</v>
      </c>
      <c r="AV94" s="85" t="str">
        <f aca="false">IFERROR(__xludf.dummyfunction("IMPORTRANGE(A125,""ca7"")"),"Holly Finley")</f>
        <v>Holly Finley</v>
      </c>
      <c r="AW94" s="86" t="n">
        <v>15</v>
      </c>
      <c r="AX94" s="134" t="n">
        <f aca="false">VLOOKUP(AW94,FPOSCORING,2, 0)</f>
        <v>34</v>
      </c>
      <c r="AY94" s="32"/>
      <c r="AZ94" s="36" t="s">
        <v>34</v>
      </c>
      <c r="BA94" s="35" t="str">
        <f aca="false">IFERROR(__xludf.dummyfunction("IMPORTRANGE(A125,""ci7"")"),"Holly Finley")</f>
        <v>Holly Finley</v>
      </c>
      <c r="BB94" s="69" t="n">
        <v>22</v>
      </c>
      <c r="BC94" s="135" t="n">
        <f aca="false">VLOOKUP(BB94,FPOSCORING,2, 0)</f>
        <v>8</v>
      </c>
      <c r="BD94" s="32"/>
      <c r="BE94" s="42" t="s">
        <v>34</v>
      </c>
      <c r="BF94" s="43" t="str">
        <f aca="false">IFERROR(__xludf.dummyfunction("IMPORTRANGE(A125,""cq7"")"),"Holly Finley")</f>
        <v>Holly Finley</v>
      </c>
      <c r="BG94" s="72" t="n">
        <v>12</v>
      </c>
      <c r="BH94" s="136" t="n">
        <f aca="false">VLOOKUP(BG94,FPOSCORING,2, 0)</f>
        <v>47</v>
      </c>
      <c r="BI94" s="32"/>
      <c r="BJ94" s="64" t="s">
        <v>34</v>
      </c>
      <c r="BK94" s="85" t="str">
        <f aca="false">IFERROR(__xludf.dummyfunction("IMPORTRANGE(A125,""cy7"")"),"Emily Beach")</f>
        <v>Emily Beach</v>
      </c>
      <c r="BL94" s="86" t="n">
        <v>17</v>
      </c>
      <c r="BM94" s="134" t="n">
        <f aca="false">VLOOKUP(BL94,FPOSCORING,2, 0)</f>
        <v>24</v>
      </c>
      <c r="BN94" s="32"/>
      <c r="BO94" s="64" t="s">
        <v>34</v>
      </c>
      <c r="BP94" s="85" t="str">
        <f aca="false">IFERROR(__xludf.dummyfunction("IMPORTRANGE(A125,""dg7"")"),"Emily Beach")</f>
        <v>Emily Beach</v>
      </c>
      <c r="BQ94" s="86" t="n">
        <v>16</v>
      </c>
      <c r="BR94" s="134" t="n">
        <f aca="false">VLOOKUP(BQ94,FPOSCORING,3, 0)</f>
        <v>58</v>
      </c>
      <c r="BS94" s="33"/>
      <c r="BT94" s="64" t="s">
        <v>34</v>
      </c>
      <c r="BU94" s="85" t="str">
        <f aca="false">IFERROR(__xludf.dummyfunction("IMPORTRANGE(A125,""do7"")"),"Emily Beach")</f>
        <v>Emily Beach</v>
      </c>
      <c r="BV94" s="86" t="n">
        <v>28</v>
      </c>
      <c r="BW94" s="134" t="n">
        <f aca="false">VLOOKUP(BV94,FPOSCORING,2, 0)</f>
        <v>0</v>
      </c>
      <c r="BX94" s="32"/>
      <c r="BY94" s="64" t="s">
        <v>34</v>
      </c>
      <c r="BZ94" s="85" t="str">
        <f aca="false">IFERROR(__xludf.dummyfunction("IMPORTRANGE(A125,""dw7"")"),"")</f>
        <v/>
      </c>
      <c r="CA94" s="86" t="s">
        <v>31</v>
      </c>
      <c r="CB94" s="134" t="n">
        <f aca="false">VLOOKUP(CA94,FPOSCORING,2, 0)</f>
        <v>0</v>
      </c>
      <c r="CC94" s="32"/>
      <c r="CD94" s="64" t="s">
        <v>34</v>
      </c>
      <c r="CE94" s="85"/>
      <c r="CF94" s="86" t="s">
        <v>31</v>
      </c>
      <c r="CG94" s="134" t="n">
        <f aca="false">VLOOKUP(CF94,FPOSCORING,3, 0)</f>
        <v>0</v>
      </c>
      <c r="CH94" s="33"/>
    </row>
    <row r="95" customFormat="false" ht="15" hidden="false" customHeight="false" outlineLevel="0" collapsed="false">
      <c r="A95" s="149" t="str">
        <f aca="false">IFERROR(__xludf.dummyfunction("IMPORTRANGE(A125,""a1"")"),"Emer-mommy (Aleeza)")</f>
        <v>Emer-mommy (Aleeza)</v>
      </c>
      <c r="B95" s="61" t="s">
        <v>181</v>
      </c>
      <c r="C95" s="61"/>
      <c r="D95" s="61"/>
      <c r="E95" s="61"/>
      <c r="F95" s="36" t="s">
        <v>36</v>
      </c>
      <c r="G95" s="87" t="s">
        <v>181</v>
      </c>
      <c r="H95" s="88" t="n">
        <v>60</v>
      </c>
      <c r="I95" s="136" t="n">
        <f aca="false">VLOOKUP(H95,MPOSCORING,2, 0)</f>
        <v>0</v>
      </c>
      <c r="J95" s="39" t="s">
        <v>36</v>
      </c>
      <c r="K95" s="137" t="str">
        <f aca="false">IFERROR(__xludf.dummyfunction("IMPORTRANGE(A125,""o8"")"),"matty O")</f>
        <v>matty O</v>
      </c>
      <c r="L95" s="89" t="n">
        <v>15</v>
      </c>
      <c r="M95" s="136" t="n">
        <f aca="false">VLOOKUP(L95,MPOSCORING,2, 0)</f>
        <v>75</v>
      </c>
      <c r="N95" s="42" t="s">
        <v>36</v>
      </c>
      <c r="O95" s="43" t="str">
        <f aca="false">IFERROR(__xludf.dummyfunction("IMPORTRANGE(A125,""W8"")"),"Matty Orum")</f>
        <v>Matty Orum</v>
      </c>
      <c r="P95" s="38" t="n">
        <v>5</v>
      </c>
      <c r="Q95" s="136" t="n">
        <f aca="false">VLOOKUP(P95,MPOSCORING,2, 0)</f>
        <v>93</v>
      </c>
      <c r="R95" s="34" t="s">
        <v>36</v>
      </c>
      <c r="S95" s="90" t="str">
        <f aca="false">IFERROR(__xludf.dummyfunction("IMPORTRANGE(A125,""AE8"")"),"Matty Orum")</f>
        <v>Matty Orum</v>
      </c>
      <c r="T95" s="47" t="n">
        <v>6</v>
      </c>
      <c r="U95" s="138" t="n">
        <f aca="false">VLOOKUP(T95,MPOSCORING,2, 0)</f>
        <v>91</v>
      </c>
      <c r="V95" s="48" t="s">
        <v>36</v>
      </c>
      <c r="W95" s="91" t="str">
        <f aca="false">IFERROR(__xludf.dummyfunction("IMPORTRANGE(A125,""Am8"")"),"Matty Orum")</f>
        <v>Matty Orum</v>
      </c>
      <c r="X95" s="92" t="s">
        <v>30</v>
      </c>
      <c r="Y95" s="129" t="n">
        <f aca="false">VLOOKUP(X95,MPOSCORING,2, 0)</f>
        <v>0</v>
      </c>
      <c r="Z95" s="51"/>
      <c r="AA95" s="52" t="s">
        <v>36</v>
      </c>
      <c r="AB95" s="93" t="str">
        <f aca="false">IFERROR(__xludf.dummyfunction("IMPORTRANGE(A125,""Au8"")"),"matty O")</f>
        <v>matty O</v>
      </c>
      <c r="AC95" s="94" t="n">
        <v>11</v>
      </c>
      <c r="AD95" s="130" t="n">
        <f aca="false">VLOOKUP(AC95,MPOSCORING,2, 0)</f>
        <v>82</v>
      </c>
      <c r="AE95" s="51"/>
      <c r="AF95" s="55" t="s">
        <v>36</v>
      </c>
      <c r="AG95" s="95" t="str">
        <f aca="false">IFERROR(__xludf.dummyfunction("IMPORTRANGE(A125,""bc8"")"),"Matty Orum")</f>
        <v>Matty Orum</v>
      </c>
      <c r="AH95" s="96" t="s">
        <v>31</v>
      </c>
      <c r="AI95" s="131" t="n">
        <f aca="false">VLOOKUP(AH95,MPOSCORING,2, 0)</f>
        <v>0</v>
      </c>
      <c r="AJ95" s="51"/>
      <c r="AK95" s="58" t="s">
        <v>36</v>
      </c>
      <c r="AL95" s="97" t="str">
        <f aca="false">IFERROR(__xludf.dummyfunction("IMPORTRANGE(A125,""bk8"")"),"Matty Orum")</f>
        <v>Matty Orum</v>
      </c>
      <c r="AM95" s="98" t="s">
        <v>31</v>
      </c>
      <c r="AN95" s="132" t="n">
        <f aca="false">VLOOKUP(AM95,MPOSCORING,2, 0)</f>
        <v>0</v>
      </c>
      <c r="AO95" s="51"/>
      <c r="AP95" s="61" t="s">
        <v>37</v>
      </c>
      <c r="AQ95" s="99" t="str">
        <f aca="false">IFERROR(__xludf.dummyfunction("IMPORTRANGE(A125,""bs8"")"),"")</f>
        <v/>
      </c>
      <c r="AR95" s="100" t="s">
        <v>31</v>
      </c>
      <c r="AS95" s="133" t="n">
        <f aca="false">VLOOKUP(AR95,MPOSCORING,2, 0)</f>
        <v>0</v>
      </c>
      <c r="AT95" s="51"/>
      <c r="AU95" s="64" t="s">
        <v>36</v>
      </c>
      <c r="AV95" s="101" t="str">
        <f aca="false">IFERROR(__xludf.dummyfunction("IMPORTRANGE(A125,""ca8"")"),"Matty Orum")</f>
        <v>Matty Orum</v>
      </c>
      <c r="AW95" s="102" t="n">
        <v>6</v>
      </c>
      <c r="AX95" s="134" t="n">
        <f aca="false">VLOOKUP(AW95,MPOSCORING,2, 0)</f>
        <v>91</v>
      </c>
      <c r="AY95" s="32"/>
      <c r="AZ95" s="36" t="s">
        <v>36</v>
      </c>
      <c r="BA95" s="87" t="str">
        <f aca="false">IFERROR(__xludf.dummyfunction("IMPORTRANGE(A125,""ci8"")"),"Matty Orum")</f>
        <v>Matty Orum</v>
      </c>
      <c r="BB95" s="88" t="s">
        <v>31</v>
      </c>
      <c r="BC95" s="135" t="n">
        <f aca="false">VLOOKUP(BB95,MPOSCORING,2, 0)</f>
        <v>0</v>
      </c>
      <c r="BD95" s="32"/>
      <c r="BE95" s="42" t="s">
        <v>36</v>
      </c>
      <c r="BF95" s="103" t="str">
        <f aca="false">IFERROR(__xludf.dummyfunction("IMPORTRANGE(A125,""cq8"")"),"Matty Orum")</f>
        <v>Matty Orum</v>
      </c>
      <c r="BG95" s="38" t="n">
        <v>5</v>
      </c>
      <c r="BH95" s="136" t="n">
        <f aca="false">VLOOKUP(BG95,MPOSCORING,2, 0)</f>
        <v>93</v>
      </c>
      <c r="BI95" s="32"/>
      <c r="BJ95" s="64" t="s">
        <v>36</v>
      </c>
      <c r="BK95" s="101" t="str">
        <f aca="false">IFERROR(__xludf.dummyfunction("IMPORTRANGE(A125,""cy8"")"),"Matty Orum")</f>
        <v>Matty Orum</v>
      </c>
      <c r="BL95" s="102" t="n">
        <v>7</v>
      </c>
      <c r="BM95" s="134" t="n">
        <f aca="false">VLOOKUP(BL95,MPOSCORING,2, 0)</f>
        <v>89</v>
      </c>
      <c r="BN95" s="32"/>
      <c r="BO95" s="64" t="s">
        <v>36</v>
      </c>
      <c r="BP95" s="101" t="str">
        <f aca="false">IFERROR(__xludf.dummyfunction("IMPORTRANGE(A125,""dg8"")"),"Matty Orum")</f>
        <v>Matty Orum</v>
      </c>
      <c r="BQ95" s="102" t="n">
        <v>3</v>
      </c>
      <c r="BR95" s="134" t="n">
        <f aca="false">VLOOKUP(BQ95,MPOSCORING,3, 0)</f>
        <v>192</v>
      </c>
      <c r="BS95" s="33"/>
      <c r="BT95" s="64" t="s">
        <v>36</v>
      </c>
      <c r="BU95" s="101" t="str">
        <f aca="false">IFERROR(__xludf.dummyfunction("IMPORTRANGE(A125,""do8"")"),"Matty Orum")</f>
        <v>Matty Orum</v>
      </c>
      <c r="BV95" s="102" t="n">
        <v>2</v>
      </c>
      <c r="BW95" s="134" t="n">
        <f aca="false">VLOOKUP(BV95,MPOSCORING,2, 0)</f>
        <v>98</v>
      </c>
      <c r="BX95" s="32"/>
      <c r="BY95" s="64" t="s">
        <v>36</v>
      </c>
      <c r="BZ95" s="101" t="str">
        <f aca="false">IFERROR(__xludf.dummyfunction("IMPORTRANGE(A125,""dw8"")"),"")</f>
        <v/>
      </c>
      <c r="CA95" s="102" t="s">
        <v>31</v>
      </c>
      <c r="CB95" s="134" t="n">
        <f aca="false">VLOOKUP(CA95,MPOSCORING,2, 0)</f>
        <v>0</v>
      </c>
      <c r="CC95" s="32"/>
      <c r="CD95" s="64" t="s">
        <v>36</v>
      </c>
      <c r="CE95" s="101"/>
      <c r="CF95" s="102" t="s">
        <v>31</v>
      </c>
      <c r="CG95" s="134" t="n">
        <f aca="false">VLOOKUP(CF95,MPOSCORING,3, 0)</f>
        <v>0</v>
      </c>
      <c r="CH95" s="33"/>
    </row>
    <row r="96" customFormat="false" ht="15" hidden="false" customHeight="false" outlineLevel="0" collapsed="false">
      <c r="A96" s="149" t="str">
        <f aca="false">IFERROR(__xludf.dummyfunction("IMPORTRANGE(A125,""a1"")"),"Emer-mommy (Aleeza)")</f>
        <v>Emer-mommy (Aleeza)</v>
      </c>
      <c r="B96" s="61" t="s">
        <v>182</v>
      </c>
      <c r="C96" s="61"/>
      <c r="D96" s="61"/>
      <c r="E96" s="61"/>
      <c r="F96" s="36" t="s">
        <v>39</v>
      </c>
      <c r="G96" s="139" t="s">
        <v>183</v>
      </c>
      <c r="H96" s="88" t="n">
        <v>10</v>
      </c>
      <c r="I96" s="136" t="n">
        <f aca="false">VLOOKUP(H96,MPOSCORING,2, 0)</f>
        <v>84</v>
      </c>
      <c r="J96" s="39" t="s">
        <v>39</v>
      </c>
      <c r="K96" s="105" t="str">
        <f aca="false">IFERROR(__xludf.dummyfunction("IMPORTRANGE(A125,""o9"")"),"Nikko Locastro")</f>
        <v>Nikko Locastro</v>
      </c>
      <c r="L96" s="41" t="n">
        <v>13</v>
      </c>
      <c r="M96" s="136" t="n">
        <f aca="false">VLOOKUP(L96,MPOSCORING,2, 0)</f>
        <v>78</v>
      </c>
      <c r="N96" s="42" t="s">
        <v>39</v>
      </c>
      <c r="O96" s="43" t="str">
        <f aca="false">IFERROR(__xludf.dummyfunction("IMPORTRANGE(A125,""w9"")"),"Simon Lizotte")</f>
        <v>Simon Lizotte</v>
      </c>
      <c r="P96" s="44" t="n">
        <v>35</v>
      </c>
      <c r="Q96" s="136" t="n">
        <f aca="false">VLOOKUP(P96,MPOSCORING,2, 0)</f>
        <v>38</v>
      </c>
      <c r="R96" s="34" t="s">
        <v>39</v>
      </c>
      <c r="S96" s="106" t="str">
        <f aca="false">IFERROR(__xludf.dummyfunction("IMPORTRANGE(A125,""AE9"")"),"Simon Lizotte")</f>
        <v>Simon Lizotte</v>
      </c>
      <c r="T96" s="46" t="n">
        <v>6</v>
      </c>
      <c r="U96" s="138" t="n">
        <f aca="false">VLOOKUP(T96,MPOSCORING,2, 0)</f>
        <v>91</v>
      </c>
      <c r="V96" s="48" t="s">
        <v>39</v>
      </c>
      <c r="W96" s="107" t="str">
        <f aca="false">IFERROR(__xludf.dummyfunction("IMPORTRANGE(A125,""Am9"")"),"Simon Lizotte")</f>
        <v>Simon Lizotte</v>
      </c>
      <c r="X96" s="50" t="n">
        <v>2</v>
      </c>
      <c r="Y96" s="129" t="n">
        <f aca="false">VLOOKUP(X96,MPOSCORING,2, 0)</f>
        <v>98</v>
      </c>
      <c r="Z96" s="51"/>
      <c r="AA96" s="52" t="s">
        <v>39</v>
      </c>
      <c r="AB96" s="108" t="str">
        <f aca="false">IFERROR(__xludf.dummyfunction("IMPORTRANGE(A125,""Au9"")"),"Nikko Locastro")</f>
        <v>Nikko Locastro</v>
      </c>
      <c r="AC96" s="54" t="n">
        <v>16</v>
      </c>
      <c r="AD96" s="130" t="n">
        <f aca="false">VLOOKUP(AC96,MPOSCORING,2, 0)</f>
        <v>73</v>
      </c>
      <c r="AE96" s="51"/>
      <c r="AF96" s="55" t="s">
        <v>39</v>
      </c>
      <c r="AG96" s="109" t="str">
        <f aca="false">IFERROR(__xludf.dummyfunction("IMPORTRANGE(A125,""bc9"")"),"Nikko Locastro")</f>
        <v>Nikko Locastro</v>
      </c>
      <c r="AH96" s="57" t="s">
        <v>31</v>
      </c>
      <c r="AI96" s="131" t="n">
        <f aca="false">VLOOKUP(AH96,MPOSCORING,2, 0)</f>
        <v>0</v>
      </c>
      <c r="AJ96" s="51"/>
      <c r="AK96" s="58" t="s">
        <v>39</v>
      </c>
      <c r="AL96" s="110" t="str">
        <f aca="false">IFERROR(__xludf.dummyfunction("IMPORTRANGE(A125,""bk9"")"),"Nikko Locastro")</f>
        <v>Nikko Locastro</v>
      </c>
      <c r="AM96" s="60" t="n">
        <v>22</v>
      </c>
      <c r="AN96" s="132" t="n">
        <f aca="false">VLOOKUP(AM96,MPOSCORING,2, 0)</f>
        <v>62</v>
      </c>
      <c r="AO96" s="51"/>
      <c r="AP96" s="61" t="s">
        <v>40</v>
      </c>
      <c r="AQ96" s="111" t="str">
        <f aca="false">IFERROR(__xludf.dummyfunction("IMPORTRANGE(A125,""bs9"")"),"")</f>
        <v/>
      </c>
      <c r="AR96" s="63" t="s">
        <v>31</v>
      </c>
      <c r="AS96" s="133" t="n">
        <f aca="false">VLOOKUP(AR96,MPOSCORING,2, 0)</f>
        <v>0</v>
      </c>
      <c r="AT96" s="51"/>
      <c r="AU96" s="64" t="s">
        <v>39</v>
      </c>
      <c r="AV96" s="112" t="str">
        <f aca="false">IFERROR(__xludf.dummyfunction("IMPORTRANGE(A125,""ca9"")"),"Nikko Locastro")</f>
        <v>Nikko Locastro</v>
      </c>
      <c r="AW96" s="66" t="n">
        <v>30</v>
      </c>
      <c r="AX96" s="134" t="n">
        <f aca="false">VLOOKUP(AW96,MPOSCORING,2, 0)</f>
        <v>48</v>
      </c>
      <c r="AY96" s="32"/>
      <c r="AZ96" s="36" t="s">
        <v>39</v>
      </c>
      <c r="BA96" s="139" t="str">
        <f aca="false">IFERROR(__xludf.dummyfunction("IMPORTRANGE(A125,""ci9"")"),"emerson keith")</f>
        <v>emerson keith</v>
      </c>
      <c r="BB96" s="37" t="n">
        <v>64</v>
      </c>
      <c r="BC96" s="135" t="n">
        <f aca="false">VLOOKUP(BB96,MPOSCORING,2, 0)</f>
        <v>0</v>
      </c>
      <c r="BD96" s="32"/>
      <c r="BE96" s="42" t="s">
        <v>39</v>
      </c>
      <c r="BF96" s="114" t="str">
        <f aca="false">IFERROR(__xludf.dummyfunction("IMPORTRANGE(A125,""cq9"")"),"emerson keith")</f>
        <v>emerson keith</v>
      </c>
      <c r="BG96" s="44" t="n">
        <v>40</v>
      </c>
      <c r="BH96" s="136" t="n">
        <f aca="false">VLOOKUP(BG96,MPOSCORING,2, 0)</f>
        <v>29</v>
      </c>
      <c r="BI96" s="32"/>
      <c r="BJ96" s="64" t="s">
        <v>39</v>
      </c>
      <c r="BK96" s="112" t="str">
        <f aca="false">IFERROR(__xludf.dummyfunction("IMPORTRANGE(A125,""cy9"")"),"emerson keith")</f>
        <v>emerson keith</v>
      </c>
      <c r="BL96" s="66" t="n">
        <v>3</v>
      </c>
      <c r="BM96" s="134" t="n">
        <f aca="false">VLOOKUP(BL96,MPOSCORING,2, 0)</f>
        <v>96</v>
      </c>
      <c r="BN96" s="32"/>
      <c r="BO96" s="64" t="s">
        <v>39</v>
      </c>
      <c r="BP96" s="112" t="str">
        <f aca="false">IFERROR(__xludf.dummyfunction("IMPORTRANGE(A125,""dg9"")"),"emerson keith")</f>
        <v>emerson keith</v>
      </c>
      <c r="BQ96" s="66" t="n">
        <v>46</v>
      </c>
      <c r="BR96" s="134" t="n">
        <f aca="false">VLOOKUP(BQ96,MPOSCORING,3, 0)</f>
        <v>34</v>
      </c>
      <c r="BS96" s="33"/>
      <c r="BT96" s="64" t="s">
        <v>39</v>
      </c>
      <c r="BU96" s="112" t="str">
        <f aca="false">IFERROR(__xludf.dummyfunction("IMPORTRANGE(A125,""do9"")"),"emerson keith")</f>
        <v>emerson keith</v>
      </c>
      <c r="BV96" s="66" t="n">
        <v>40</v>
      </c>
      <c r="BW96" s="134" t="n">
        <f aca="false">VLOOKUP(BV96,MPOSCORING,2, 0)</f>
        <v>29</v>
      </c>
      <c r="BX96" s="32"/>
      <c r="BY96" s="64" t="s">
        <v>39</v>
      </c>
      <c r="BZ96" s="112" t="str">
        <f aca="false">IFERROR(__xludf.dummyfunction("IMPORTRANGE(A125,""dw9"")"),"")</f>
        <v/>
      </c>
      <c r="CA96" s="66" t="s">
        <v>31</v>
      </c>
      <c r="CB96" s="134" t="n">
        <f aca="false">VLOOKUP(CA96,MPOSCORING,2, 0)</f>
        <v>0</v>
      </c>
      <c r="CC96" s="32"/>
      <c r="CD96" s="64" t="s">
        <v>39</v>
      </c>
      <c r="CE96" s="112"/>
      <c r="CF96" s="66" t="s">
        <v>31</v>
      </c>
      <c r="CG96" s="134" t="n">
        <f aca="false">VLOOKUP(CF96,MPOSCORING,3, 0)</f>
        <v>0</v>
      </c>
      <c r="CH96" s="33"/>
    </row>
    <row r="97" customFormat="false" ht="15" hidden="false" customHeight="false" outlineLevel="0" collapsed="false">
      <c r="A97" s="149" t="str">
        <f aca="false">IFERROR(__xludf.dummyfunction("IMPORTRANGE(A125,""a1"")"),"Emer-mommy (Aleeza)")</f>
        <v>Emer-mommy (Aleeza)</v>
      </c>
      <c r="B97" s="61" t="s">
        <v>184</v>
      </c>
      <c r="C97" s="61"/>
      <c r="D97" s="61"/>
      <c r="E97" s="61"/>
      <c r="F97" s="36" t="s">
        <v>42</v>
      </c>
      <c r="G97" s="139" t="s">
        <v>185</v>
      </c>
      <c r="H97" s="88" t="n">
        <v>39</v>
      </c>
      <c r="I97" s="136" t="n">
        <f aca="false">VLOOKUP(H97,MPOSCORING,2, 0)</f>
        <v>30</v>
      </c>
      <c r="J97" s="39" t="s">
        <v>42</v>
      </c>
      <c r="K97" s="105" t="str">
        <f aca="false">IFERROR(__xludf.dummyfunction("IMPORTRANGE(A125,""o10"")"),"Emerson Keith")</f>
        <v>Emerson Keith</v>
      </c>
      <c r="L97" s="41" t="n">
        <v>8</v>
      </c>
      <c r="M97" s="136" t="n">
        <f aca="false">VLOOKUP(L97,MPOSCORING,2, 0)</f>
        <v>87</v>
      </c>
      <c r="N97" s="42" t="s">
        <v>42</v>
      </c>
      <c r="O97" s="43" t="str">
        <f aca="false">IFERROR(__xludf.dummyfunction("IMPORTRANGE(A125,""w10"")"),"Nikko Locastro ")</f>
        <v>Nikko Locastro</v>
      </c>
      <c r="P97" s="44" t="n">
        <v>30</v>
      </c>
      <c r="Q97" s="136" t="n">
        <f aca="false">VLOOKUP(P97,MPOSCORING,2, 0)</f>
        <v>48</v>
      </c>
      <c r="R97" s="34" t="s">
        <v>42</v>
      </c>
      <c r="S97" s="106" t="str">
        <f aca="false">IFERROR(__xludf.dummyfunction("IMPORTRANGE(A125,""AE10"")"),"Nikko Locastro ")</f>
        <v>Nikko Locastro</v>
      </c>
      <c r="T97" s="46" t="n">
        <v>15</v>
      </c>
      <c r="U97" s="138" t="n">
        <f aca="false">VLOOKUP(T97,MPOSCORING,2, 0)</f>
        <v>75</v>
      </c>
      <c r="V97" s="48" t="s">
        <v>42</v>
      </c>
      <c r="W97" s="107" t="str">
        <f aca="false">IFERROR(__xludf.dummyfunction("IMPORTRANGE(A125,""Am10"")"),"zach melton")</f>
        <v>zach melton</v>
      </c>
      <c r="X97" s="50" t="n">
        <v>68</v>
      </c>
      <c r="Y97" s="129" t="n">
        <f aca="false">VLOOKUP(X97,MPOSCORING,2, 0)</f>
        <v>0</v>
      </c>
      <c r="Z97" s="51"/>
      <c r="AA97" s="52" t="s">
        <v>42</v>
      </c>
      <c r="AB97" s="108" t="str">
        <f aca="false">IFERROR(__xludf.dummyfunction("IMPORTRANGE(A125,""Au10"")"),"Emerson Keith")</f>
        <v>Emerson Keith</v>
      </c>
      <c r="AC97" s="54" t="n">
        <v>26</v>
      </c>
      <c r="AD97" s="130" t="n">
        <f aca="false">VLOOKUP(AC97,MPOSCORING,2, 0)</f>
        <v>55</v>
      </c>
      <c r="AE97" s="51"/>
      <c r="AF97" s="55" t="s">
        <v>42</v>
      </c>
      <c r="AG97" s="109" t="str">
        <f aca="false">IFERROR(__xludf.dummyfunction("IMPORTRANGE(A125,""BC10"")"),"Emerson Keith")</f>
        <v>Emerson Keith</v>
      </c>
      <c r="AH97" s="57" t="s">
        <v>31</v>
      </c>
      <c r="AI97" s="131" t="n">
        <f aca="false">VLOOKUP(AH97,MPOSCORING,2, 0)</f>
        <v>0</v>
      </c>
      <c r="AJ97" s="51"/>
      <c r="AK97" s="58" t="s">
        <v>42</v>
      </c>
      <c r="AL97" s="110" t="str">
        <f aca="false">IFERROR(__xludf.dummyfunction("IMPORTRANGE(A125,""Bk10"")"),"Emerson Keith")</f>
        <v>Emerson Keith</v>
      </c>
      <c r="AM97" s="60" t="s">
        <v>31</v>
      </c>
      <c r="AN97" s="132" t="n">
        <f aca="false">VLOOKUP(AM97,MPOSCORING,2, 0)</f>
        <v>0</v>
      </c>
      <c r="AO97" s="51"/>
      <c r="AP97" s="61" t="s">
        <v>43</v>
      </c>
      <c r="AQ97" s="111" t="str">
        <f aca="false">IFERROR(__xludf.dummyfunction("IMPORTRANGE(A125,""Bs10"")"),"")</f>
        <v/>
      </c>
      <c r="AR97" s="63" t="s">
        <v>31</v>
      </c>
      <c r="AS97" s="133" t="n">
        <f aca="false">VLOOKUP(AR97,MPOSCORING,2, 0)</f>
        <v>0</v>
      </c>
      <c r="AT97" s="51"/>
      <c r="AU97" s="64" t="s">
        <v>42</v>
      </c>
      <c r="AV97" s="112" t="str">
        <f aca="false">IFERROR(__xludf.dummyfunction("IMPORTRANGE(A125,""ca10"")"),"Raven Newsome")</f>
        <v>Raven Newsome</v>
      </c>
      <c r="AW97" s="66" t="n">
        <v>80</v>
      </c>
      <c r="AX97" s="134" t="n">
        <f aca="false">VLOOKUP(AW97,MPOSCORING,2, 0)</f>
        <v>0</v>
      </c>
      <c r="AY97" s="32"/>
      <c r="AZ97" s="36" t="s">
        <v>42</v>
      </c>
      <c r="BA97" s="139" t="str">
        <f aca="false">IFERROR(__xludf.dummyfunction("IMPORTRANGE(A125,""ci10"")"),"Raven Newsome")</f>
        <v>Raven Newsome</v>
      </c>
      <c r="BB97" s="37" t="s">
        <v>31</v>
      </c>
      <c r="BC97" s="135" t="n">
        <f aca="false">VLOOKUP(BB97,MPOSCORING,2, 0)</f>
        <v>0</v>
      </c>
      <c r="BD97" s="32"/>
      <c r="BE97" s="42" t="s">
        <v>42</v>
      </c>
      <c r="BF97" s="114" t="str">
        <f aca="false">IFERROR(__xludf.dummyfunction("IMPORTRANGE(A125,""cq10"")"),"Raven Newsome")</f>
        <v>Raven Newsome</v>
      </c>
      <c r="BG97" s="44" t="s">
        <v>31</v>
      </c>
      <c r="BH97" s="136" t="n">
        <f aca="false">VLOOKUP(BG97,MPOSCORING,2, 0)</f>
        <v>0</v>
      </c>
      <c r="BI97" s="32"/>
      <c r="BJ97" s="64" t="s">
        <v>42</v>
      </c>
      <c r="BK97" s="112" t="str">
        <f aca="false">IFERROR(__xludf.dummyfunction("IMPORTRANGE(A125,""cy10"")"),"Raven Newsome")</f>
        <v>Raven Newsome</v>
      </c>
      <c r="BL97" s="66" t="n">
        <v>57</v>
      </c>
      <c r="BM97" s="134" t="n">
        <f aca="false">VLOOKUP(BL97,MPOSCORING,2, 0)</f>
        <v>0</v>
      </c>
      <c r="BN97" s="32"/>
      <c r="BO97" s="64" t="s">
        <v>42</v>
      </c>
      <c r="BP97" s="112" t="str">
        <f aca="false">IFERROR(__xludf.dummyfunction("IMPORTRANGE(A125,""dg10"")"),"Raven Newsome")</f>
        <v>Raven Newsome</v>
      </c>
      <c r="BQ97" s="66" t="n">
        <v>107</v>
      </c>
      <c r="BR97" s="134" t="n">
        <f aca="false">VLOOKUP(BQ97,MPOSCORING,3, 0)</f>
        <v>0</v>
      </c>
      <c r="BS97" s="33"/>
      <c r="BT97" s="64" t="s">
        <v>42</v>
      </c>
      <c r="BU97" s="112" t="str">
        <f aca="false">IFERROR(__xludf.dummyfunction("IMPORTRANGE(A125,""do10"")"),"Raven Newsome")</f>
        <v>Raven Newsome</v>
      </c>
      <c r="BV97" s="66" t="n">
        <v>40</v>
      </c>
      <c r="BW97" s="134" t="n">
        <f aca="false">VLOOKUP(BV97,MPOSCORING,2, 0)</f>
        <v>29</v>
      </c>
      <c r="BX97" s="32"/>
      <c r="BY97" s="64" t="s">
        <v>42</v>
      </c>
      <c r="BZ97" s="112" t="str">
        <f aca="false">IFERROR(__xludf.dummyfunction("IMPORTRANGE(A125,""dw10"") "),"")</f>
        <v/>
      </c>
      <c r="CA97" s="66" t="s">
        <v>31</v>
      </c>
      <c r="CB97" s="134" t="n">
        <f aca="false">VLOOKUP(CA97,MPOSCORING,2, 0)</f>
        <v>0</v>
      </c>
      <c r="CC97" s="32"/>
      <c r="CD97" s="64" t="s">
        <v>42</v>
      </c>
      <c r="CE97" s="112"/>
      <c r="CF97" s="66" t="s">
        <v>31</v>
      </c>
      <c r="CG97" s="134" t="n">
        <f aca="false">VLOOKUP(CF97,MPOSCORING,3, 0)</f>
        <v>0</v>
      </c>
      <c r="CH97" s="33"/>
    </row>
    <row r="98" customFormat="false" ht="15" hidden="false" customHeight="false" outlineLevel="0" collapsed="false">
      <c r="A98" s="149" t="str">
        <f aca="false">IFERROR(__xludf.dummyfunction("IMPORTRANGE(A125,""a1"")"),"Emer-mommy (Aleeza)")</f>
        <v>Emer-mommy (Aleeza)</v>
      </c>
      <c r="B98" s="61" t="s">
        <v>186</v>
      </c>
      <c r="C98" s="61"/>
      <c r="D98" s="61"/>
      <c r="E98" s="61"/>
      <c r="F98" s="36" t="s">
        <v>45</v>
      </c>
      <c r="G98" s="139" t="s">
        <v>187</v>
      </c>
      <c r="H98" s="88" t="n">
        <v>44</v>
      </c>
      <c r="I98" s="136" t="n">
        <f aca="false">VLOOKUP(H98,MPOSCORING,2, 0)</f>
        <v>21</v>
      </c>
      <c r="J98" s="39" t="s">
        <v>45</v>
      </c>
      <c r="K98" s="105" t="str">
        <f aca="false">IFERROR(__xludf.dummyfunction("IMPORTRANGE(A125,""o11"")"),"Zach Melton")</f>
        <v>Zach Melton</v>
      </c>
      <c r="L98" s="41" t="s">
        <v>31</v>
      </c>
      <c r="M98" s="136" t="n">
        <f aca="false">VLOOKUP(L98,MPOSCORING,2, 0)</f>
        <v>0</v>
      </c>
      <c r="N98" s="42" t="s">
        <v>45</v>
      </c>
      <c r="O98" s="43" t="str">
        <f aca="false">IFERROR(__xludf.dummyfunction("IMPORTRANGE(A125,""W11"")"),"gavin rathbun ")</f>
        <v>gavin rathbun</v>
      </c>
      <c r="P98" s="44" t="s">
        <v>31</v>
      </c>
      <c r="Q98" s="136" t="n">
        <f aca="false">VLOOKUP(P98,MPOSCORING,2, 0)</f>
        <v>0</v>
      </c>
      <c r="R98" s="34" t="s">
        <v>45</v>
      </c>
      <c r="S98" s="106" t="str">
        <f aca="false">IFERROR(__xludf.dummyfunction("IMPORTRANGE(A125,""AE11"")"),"zach melton   HES OVERDUE!")</f>
        <v>zach melton   HES OVERDUE!</v>
      </c>
      <c r="T98" s="46" t="n">
        <v>51</v>
      </c>
      <c r="U98" s="138" t="n">
        <f aca="false">VLOOKUP(T98,MPOSCORING,2, 0)</f>
        <v>9</v>
      </c>
      <c r="V98" s="48" t="s">
        <v>45</v>
      </c>
      <c r="W98" s="107" t="str">
        <f aca="false">IFERROR(__xludf.dummyfunction("IMPORTRANGE(A125,""Am11"")"),"gavin Rathbun")</f>
        <v>gavin Rathbun</v>
      </c>
      <c r="X98" s="50" t="s">
        <v>152</v>
      </c>
      <c r="Y98" s="129" t="n">
        <f aca="false">VLOOKUP(X98,MPOSCORING,2, 0)</f>
        <v>0</v>
      </c>
      <c r="Z98" s="51"/>
      <c r="AA98" s="52" t="s">
        <v>45</v>
      </c>
      <c r="AB98" s="108" t="str">
        <f aca="false">IFERROR(__xludf.dummyfunction("IMPORTRANGE(A125,""Au11"")"),"simon Lizotte ")</f>
        <v>simon Lizotte</v>
      </c>
      <c r="AC98" s="54" t="n">
        <v>1</v>
      </c>
      <c r="AD98" s="130" t="n">
        <f aca="false">VLOOKUP(AC98,MPOSCORING,2, 0)</f>
        <v>100</v>
      </c>
      <c r="AE98" s="51"/>
      <c r="AF98" s="55" t="s">
        <v>45</v>
      </c>
      <c r="AG98" s="109" t="str">
        <f aca="false">IFERROR(__xludf.dummyfunction("IMPORTRANGE(A125,""bc11"")"),"Simon Lizotte ")</f>
        <v>Simon Lizotte</v>
      </c>
      <c r="AH98" s="57" t="n">
        <v>1</v>
      </c>
      <c r="AI98" s="131" t="n">
        <f aca="false">VLOOKUP(AH98,MPOSCORING,2, 0)</f>
        <v>100</v>
      </c>
      <c r="AJ98" s="51"/>
      <c r="AK98" s="58" t="s">
        <v>45</v>
      </c>
      <c r="AL98" s="110" t="str">
        <f aca="false">IFERROR(__xludf.dummyfunction("IMPORTRANGE(A125,""bk11"")"),"Simon Lizotte ")</f>
        <v>Simon Lizotte</v>
      </c>
      <c r="AM98" s="60" t="n">
        <v>3</v>
      </c>
      <c r="AN98" s="132" t="n">
        <f aca="false">VLOOKUP(AM98,MPOSCORING,2, 0)</f>
        <v>96</v>
      </c>
      <c r="AO98" s="51"/>
      <c r="AP98" s="61" t="s">
        <v>46</v>
      </c>
      <c r="AQ98" s="111" t="str">
        <f aca="false">IFERROR(__xludf.dummyfunction("IMPORTRANGE(A125,""bs11"")"),"")</f>
        <v/>
      </c>
      <c r="AR98" s="63" t="s">
        <v>31</v>
      </c>
      <c r="AS98" s="133" t="n">
        <f aca="false">VLOOKUP(AR98,MPOSCORING,2, 0)</f>
        <v>0</v>
      </c>
      <c r="AT98" s="51"/>
      <c r="AU98" s="64" t="s">
        <v>45</v>
      </c>
      <c r="AV98" s="112" t="str">
        <f aca="false">IFERROR(__xludf.dummyfunction("IMPORTRANGE(A125,""ca11"")"),"Simon Lizotte ")</f>
        <v>Simon Lizotte</v>
      </c>
      <c r="AW98" s="66" t="n">
        <v>22</v>
      </c>
      <c r="AX98" s="134" t="n">
        <f aca="false">VLOOKUP(AW98,MPOSCORING,2, 0)</f>
        <v>62</v>
      </c>
      <c r="AY98" s="32"/>
      <c r="AZ98" s="36" t="s">
        <v>45</v>
      </c>
      <c r="BA98" s="139" t="str">
        <f aca="false">IFERROR(__xludf.dummyfunction("IMPORTRANGE(A125,""ci11"")"),"Simon Lizotte ")</f>
        <v>Simon Lizotte</v>
      </c>
      <c r="BB98" s="37" t="n">
        <v>10</v>
      </c>
      <c r="BC98" s="135" t="n">
        <f aca="false">VLOOKUP(BB98,MPOSCORING,2, 0)</f>
        <v>84</v>
      </c>
      <c r="BD98" s="32"/>
      <c r="BE98" s="42" t="s">
        <v>45</v>
      </c>
      <c r="BF98" s="114" t="str">
        <f aca="false">IFERROR(__xludf.dummyfunction("IMPORTRANGE(A125,""cq11"")"),"Simon Lizotte ")</f>
        <v>Simon Lizotte</v>
      </c>
      <c r="BG98" s="44" t="n">
        <v>26</v>
      </c>
      <c r="BH98" s="136" t="n">
        <f aca="false">VLOOKUP(BG98,MPOSCORING,2, 0)</f>
        <v>55</v>
      </c>
      <c r="BI98" s="32"/>
      <c r="BJ98" s="64" t="s">
        <v>45</v>
      </c>
      <c r="BK98" s="112" t="str">
        <f aca="false">IFERROR(__xludf.dummyfunction("IMPORTRANGE(A125,""cy11"")"),"Simon Lizotte ")</f>
        <v>Simon Lizotte</v>
      </c>
      <c r="BL98" s="66" t="n">
        <v>1</v>
      </c>
      <c r="BM98" s="134" t="n">
        <f aca="false">VLOOKUP(BL98,MPOSCORING,2, 0)</f>
        <v>100</v>
      </c>
      <c r="BN98" s="32"/>
      <c r="BO98" s="64" t="s">
        <v>45</v>
      </c>
      <c r="BP98" s="112" t="str">
        <f aca="false">IFERROR(__xludf.dummyfunction("IMPORTRANGE(A125,""dg11"")"),"Simon Lizotte ")</f>
        <v>Simon Lizotte</v>
      </c>
      <c r="BQ98" s="66" t="n">
        <v>25</v>
      </c>
      <c r="BR98" s="134" t="n">
        <f aca="false">VLOOKUP(BQ98,MPOSCORING,3, 0)</f>
        <v>114</v>
      </c>
      <c r="BS98" s="33"/>
      <c r="BT98" s="64" t="s">
        <v>45</v>
      </c>
      <c r="BU98" s="112" t="str">
        <f aca="false">IFERROR(__xludf.dummyfunction("IMPORTRANGE(A125,""do11"")"),"Simon Lizotte ")</f>
        <v>Simon Lizotte</v>
      </c>
      <c r="BV98" s="66" t="n">
        <v>51</v>
      </c>
      <c r="BW98" s="134" t="n">
        <f aca="false">VLOOKUP(BV98,MPOSCORING,2, 0)</f>
        <v>9</v>
      </c>
      <c r="BX98" s="32"/>
      <c r="BY98" s="64" t="s">
        <v>45</v>
      </c>
      <c r="BZ98" s="112" t="str">
        <f aca="false">IFERROR(__xludf.dummyfunction("IMPORTRANGE(A125,""dw11"")"),"")</f>
        <v/>
      </c>
      <c r="CA98" s="66" t="s">
        <v>31</v>
      </c>
      <c r="CB98" s="134" t="n">
        <f aca="false">VLOOKUP(CA98,MPOSCORING,2, 0)</f>
        <v>0</v>
      </c>
      <c r="CC98" s="32"/>
      <c r="CD98" s="64" t="s">
        <v>45</v>
      </c>
      <c r="CE98" s="112"/>
      <c r="CF98" s="66" t="s">
        <v>31</v>
      </c>
      <c r="CG98" s="134" t="n">
        <f aca="false">VLOOKUP(CF98,MPOSCORING,3, 0)</f>
        <v>0</v>
      </c>
      <c r="CH98" s="33"/>
    </row>
    <row r="99" customFormat="false" ht="15" hidden="false" customHeight="false" outlineLevel="0" collapsed="false">
      <c r="A99" s="149" t="str">
        <f aca="false">IFERROR(__xludf.dummyfunction("IMPORTRANGE(A125,""a1"")"),"Emer-mommy (Aleeza)")</f>
        <v>Emer-mommy (Aleeza)</v>
      </c>
      <c r="B99" s="61" t="s">
        <v>188</v>
      </c>
      <c r="C99" s="61"/>
      <c r="D99" s="61"/>
      <c r="E99" s="61"/>
      <c r="F99" s="36" t="s">
        <v>48</v>
      </c>
      <c r="G99" s="139" t="s">
        <v>189</v>
      </c>
      <c r="H99" s="88" t="n">
        <v>29</v>
      </c>
      <c r="I99" s="136" t="n">
        <f aca="false">VLOOKUP(H99,MPOSCORING,2, 0)</f>
        <v>49</v>
      </c>
      <c r="J99" s="39" t="s">
        <v>48</v>
      </c>
      <c r="K99" s="105" t="str">
        <f aca="false">IFERROR(__xludf.dummyfunction("IMPORTRANGE(A125,""o12"")"),"Emily Beach")</f>
        <v>Emily Beach</v>
      </c>
      <c r="L99" s="41" t="n">
        <v>15</v>
      </c>
      <c r="M99" s="136" t="n">
        <f aca="false">VLOOKUP(L99,FPOSCORING,2, 0)</f>
        <v>34</v>
      </c>
      <c r="N99" s="42" t="s">
        <v>48</v>
      </c>
      <c r="O99" s="43" t="str">
        <f aca="false">IFERROR(__xludf.dummyfunction("IMPORTRANGE(A125,""w12"")"),"emerson keith ")</f>
        <v>emerson keith</v>
      </c>
      <c r="P99" s="44" t="n">
        <v>5</v>
      </c>
      <c r="Q99" s="136" t="n">
        <f aca="false">VLOOKUP(P99,MPOSCORING,2, 0)</f>
        <v>93</v>
      </c>
      <c r="R99" s="34" t="s">
        <v>48</v>
      </c>
      <c r="S99" s="106" t="str">
        <f aca="false">IFERROR(__xludf.dummyfunction("IMPORTRANGE(A125,""AE12"")"),"emerson keith ")</f>
        <v>emerson keith</v>
      </c>
      <c r="T99" s="46" t="n">
        <v>18</v>
      </c>
      <c r="U99" s="138" t="n">
        <f aca="false">VLOOKUP(T99,MPOSCORING,2, 0)</f>
        <v>69</v>
      </c>
      <c r="V99" s="48" t="s">
        <v>48</v>
      </c>
      <c r="W99" s="107" t="str">
        <f aca="false">IFERROR(__xludf.dummyfunction("IMPORTRANGE(A125,""Am12"")"),"emerson keith ")</f>
        <v>emerson keith</v>
      </c>
      <c r="X99" s="50" t="n">
        <v>41</v>
      </c>
      <c r="Y99" s="129" t="n">
        <f aca="false">VLOOKUP(X99,MPOSCORING,2, 0)</f>
        <v>27</v>
      </c>
      <c r="Z99" s="51"/>
      <c r="AA99" s="52" t="s">
        <v>48</v>
      </c>
      <c r="AB99" s="108" t="str">
        <f aca="false">IFERROR(__xludf.dummyfunction("IMPORTRANGE(A125,""Au12"")"),"Emily Beach")</f>
        <v>Emily Beach</v>
      </c>
      <c r="AC99" s="54" t="n">
        <v>11</v>
      </c>
      <c r="AD99" s="130" t="n">
        <f aca="false">VLOOKUP(AC99,FPOSCORING,2, 0)</f>
        <v>52</v>
      </c>
      <c r="AE99" s="51"/>
      <c r="AF99" s="55" t="s">
        <v>48</v>
      </c>
      <c r="AG99" s="109" t="str">
        <f aca="false">IFERROR(__xludf.dummyfunction("IMPORTRANGE(A125,""bc12"")"),"Gavin Rathbun")</f>
        <v>Gavin Rathbun</v>
      </c>
      <c r="AH99" s="57" t="s">
        <v>31</v>
      </c>
      <c r="AI99" s="131" t="n">
        <f aca="false">VLOOKUP(AH99,MPOSCORING,2, 0)</f>
        <v>0</v>
      </c>
      <c r="AJ99" s="51"/>
      <c r="AK99" s="58" t="s">
        <v>48</v>
      </c>
      <c r="AL99" s="110" t="str">
        <f aca="false">IFERROR(__xludf.dummyfunction("IMPORTRANGE(A125,""bk12"")"),"Gavin Rathbun")</f>
        <v>Gavin Rathbun</v>
      </c>
      <c r="AM99" s="60" t="n">
        <v>16</v>
      </c>
      <c r="AN99" s="132" t="n">
        <f aca="false">VLOOKUP(AM99,MPOSCORING,2, 0)</f>
        <v>73</v>
      </c>
      <c r="AO99" s="51"/>
      <c r="AP99" s="61" t="s">
        <v>49</v>
      </c>
      <c r="AQ99" s="111" t="str">
        <f aca="false">IFERROR(__xludf.dummyfunction("IMPORTRANGE(A125,""bs12"")"),"Kristin Tattar")</f>
        <v>Kristin Tattar</v>
      </c>
      <c r="AR99" s="63" t="s">
        <v>31</v>
      </c>
      <c r="AS99" s="133" t="n">
        <f aca="false">VLOOKUP(AR99,MPOSCORING,2, 0)</f>
        <v>0</v>
      </c>
      <c r="AT99" s="51"/>
      <c r="AU99" s="64" t="s">
        <v>48</v>
      </c>
      <c r="AV99" s="112" t="str">
        <f aca="false">IFERROR(__xludf.dummyfunction("IMPORTRANGE(A125,""ca12"")"),"Gavin Rathbun")</f>
        <v>Gavin Rathbun</v>
      </c>
      <c r="AW99" s="66" t="n">
        <v>16</v>
      </c>
      <c r="AX99" s="134" t="n">
        <f aca="false">VLOOKUP(AW99,MPOSCORING,2, 0)</f>
        <v>73</v>
      </c>
      <c r="AY99" s="32"/>
      <c r="AZ99" s="36" t="s">
        <v>48</v>
      </c>
      <c r="BA99" s="139" t="str">
        <f aca="false">IFERROR(__xludf.dummyfunction("IMPORTRANGE(A125,""ci12"")"),"Gavin Rathbun")</f>
        <v>Gavin Rathbun</v>
      </c>
      <c r="BB99" s="37" t="n">
        <v>4</v>
      </c>
      <c r="BC99" s="135" t="n">
        <f aca="false">VLOOKUP(BB99,MPOSCORING,2, 0)</f>
        <v>94</v>
      </c>
      <c r="BD99" s="32"/>
      <c r="BE99" s="42" t="s">
        <v>48</v>
      </c>
      <c r="BF99" s="114" t="str">
        <f aca="false">IFERROR(__xludf.dummyfunction("IMPORTRANGE(A125,""cq12"")"),"Gavin Rathbun")</f>
        <v>Gavin Rathbun</v>
      </c>
      <c r="BG99" s="44" t="n">
        <v>40</v>
      </c>
      <c r="BH99" s="136" t="n">
        <f aca="false">VLOOKUP(BG99,MPOSCORING,2, 0)</f>
        <v>29</v>
      </c>
      <c r="BI99" s="32"/>
      <c r="BJ99" s="64" t="s">
        <v>48</v>
      </c>
      <c r="BK99" s="112" t="str">
        <f aca="false">IFERROR(__xludf.dummyfunction("IMPORTRANGE(A125,""cy12"")"),"Gavin Rathbun")</f>
        <v>Gavin Rathbun</v>
      </c>
      <c r="BL99" s="66" t="n">
        <v>57</v>
      </c>
      <c r="BM99" s="134" t="n">
        <f aca="false">VLOOKUP(BL99,MPOSCORING,2, 0)</f>
        <v>0</v>
      </c>
      <c r="BN99" s="32"/>
      <c r="BO99" s="64" t="s">
        <v>48</v>
      </c>
      <c r="BP99" s="112" t="str">
        <f aca="false">IFERROR(__xludf.dummyfunction("IMPORTRANGE(A125,""dg12"")"),"Gavin Rathbun")</f>
        <v>Gavin Rathbun</v>
      </c>
      <c r="BQ99" s="66" t="n">
        <v>14</v>
      </c>
      <c r="BR99" s="134" t="n">
        <f aca="false">VLOOKUP(BQ99,MPOSCORING,3, 0)</f>
        <v>152</v>
      </c>
      <c r="BS99" s="33"/>
      <c r="BT99" s="64" t="s">
        <v>48</v>
      </c>
      <c r="BU99" s="112" t="str">
        <f aca="false">IFERROR(__xludf.dummyfunction("IMPORTRANGE(A125,""do12"")"),"Gavin Rathbun")</f>
        <v>Gavin Rathbun</v>
      </c>
      <c r="BV99" s="66" t="n">
        <v>76</v>
      </c>
      <c r="BW99" s="134" t="n">
        <f aca="false">VLOOKUP(BV99,MPOSCORING,2, 0)</f>
        <v>0</v>
      </c>
      <c r="BX99" s="32"/>
      <c r="BY99" s="64" t="s">
        <v>48</v>
      </c>
      <c r="BZ99" s="112" t="str">
        <f aca="false">IFERROR(__xludf.dummyfunction("IMPORTRANGE(A125,""dw12"")"),"")</f>
        <v/>
      </c>
      <c r="CA99" s="66" t="s">
        <v>31</v>
      </c>
      <c r="CB99" s="134" t="n">
        <f aca="false">VLOOKUP(CA99,MPOSCORING,2, 0)</f>
        <v>0</v>
      </c>
      <c r="CC99" s="32"/>
      <c r="CD99" s="64" t="s">
        <v>48</v>
      </c>
      <c r="CE99" s="112"/>
      <c r="CF99" s="66" t="s">
        <v>31</v>
      </c>
      <c r="CG99" s="134" t="n">
        <f aca="false">VLOOKUP(CF99,FPOSCORING,3, 0)</f>
        <v>0</v>
      </c>
      <c r="CH99" s="33"/>
    </row>
    <row r="100" customFormat="false" ht="15" hidden="false" customHeight="false" outlineLevel="0" collapsed="false">
      <c r="A100" s="149" t="str">
        <f aca="false">IFERROR(__xludf.dummyfunction("IMPORTRANGE(A125,""a1"")"),"Emer-mommy (Aleeza)")</f>
        <v>Emer-mommy (Aleeza)</v>
      </c>
      <c r="B100" s="61" t="s">
        <v>185</v>
      </c>
      <c r="C100" s="61"/>
      <c r="D100" s="61"/>
      <c r="E100" s="61"/>
      <c r="F100" s="36" t="s">
        <v>40</v>
      </c>
      <c r="G100" s="139" t="s">
        <v>179</v>
      </c>
      <c r="H100" s="88" t="s">
        <v>31</v>
      </c>
      <c r="I100" s="115" t="n">
        <f aca="false">VLOOKUP(H100,MPOSCORING,2, 0)</f>
        <v>0</v>
      </c>
      <c r="J100" s="39" t="s">
        <v>40</v>
      </c>
      <c r="K100" s="105" t="str">
        <f aca="false">IFERROR(__xludf.dummyfunction("IMPORTRANGE(A125,""o13"")"),"")</f>
        <v/>
      </c>
      <c r="L100" s="41" t="s">
        <v>31</v>
      </c>
      <c r="M100" s="115" t="n">
        <f aca="false">VLOOKUP(L100,MPOSCORING,2, 0)</f>
        <v>0</v>
      </c>
      <c r="N100" s="42" t="s">
        <v>40</v>
      </c>
      <c r="O100" s="43" t="str">
        <f aca="false">IFERROR(__xludf.dummyfunction("IMPORTRANGE(A125,""w13"")"),"")</f>
        <v/>
      </c>
      <c r="P100" s="44" t="s">
        <v>31</v>
      </c>
      <c r="Q100" s="115" t="n">
        <f aca="false">VLOOKUP(P100,MPOSCORING,2, 0)</f>
        <v>0</v>
      </c>
      <c r="R100" s="34" t="s">
        <v>40</v>
      </c>
      <c r="S100" s="106" t="str">
        <f aca="false">IFERROR(__xludf.dummyfunction("IMPORTRANGE(A125,""AE13"")"),"Gavin Rathbun")</f>
        <v>Gavin Rathbun</v>
      </c>
      <c r="T100" s="46" t="s">
        <v>31</v>
      </c>
      <c r="U100" s="116" t="n">
        <f aca="false">VLOOKUP(T100,MPOSCORING,2, 0)</f>
        <v>0</v>
      </c>
      <c r="V100" s="48" t="s">
        <v>40</v>
      </c>
      <c r="W100" s="107" t="str">
        <f aca="false">IFERROR(__xludf.dummyfunction("IMPORTRANGE(A125,""Am13"")"),"nikko locastro ")</f>
        <v>nikko locastro</v>
      </c>
      <c r="X100" s="50" t="s">
        <v>31</v>
      </c>
      <c r="Y100" s="117" t="n">
        <f aca="false">VLOOKUP(X100,MPOSCORING,2, 0)</f>
        <v>0</v>
      </c>
      <c r="Z100" s="51"/>
      <c r="AA100" s="52" t="s">
        <v>40</v>
      </c>
      <c r="AB100" s="108" t="str">
        <f aca="false">IFERROR(__xludf.dummyfunction("IMPORTRANGE(A125,""Au13"")"),"Gavin Rathbun ")</f>
        <v>Gavin Rathbun</v>
      </c>
      <c r="AC100" s="54" t="s">
        <v>31</v>
      </c>
      <c r="AD100" s="130" t="n">
        <f aca="false">VLOOKUP(AC100,MPOSCORING,2, 0)</f>
        <v>0</v>
      </c>
      <c r="AE100" s="51"/>
      <c r="AF100" s="55" t="s">
        <v>40</v>
      </c>
      <c r="AG100" s="109" t="str">
        <f aca="false">IFERROR(__xludf.dummyfunction("IMPORTRANGE(A125,""bc13"")"),"Kristin Tattar")</f>
        <v>Kristin Tattar</v>
      </c>
      <c r="AH100" s="57" t="s">
        <v>31</v>
      </c>
      <c r="AI100" s="118" t="n">
        <f aca="false">VLOOKUP(AH100,FPOSCORING,2, 0)</f>
        <v>0</v>
      </c>
      <c r="AJ100" s="51"/>
      <c r="AK100" s="58" t="s">
        <v>40</v>
      </c>
      <c r="AL100" s="110" t="str">
        <f aca="false">IFERROR(__xludf.dummyfunction("IMPORTRANGE(A125,""bk13"")"),"Kristin Tattar")</f>
        <v>Kristin Tattar</v>
      </c>
      <c r="AM100" s="60" t="s">
        <v>31</v>
      </c>
      <c r="AN100" s="119" t="n">
        <f aca="false">VLOOKUP(AM100,MPOSCORING,2, 0)</f>
        <v>0</v>
      </c>
      <c r="AO100" s="51"/>
      <c r="AP100" s="61" t="s">
        <v>51</v>
      </c>
      <c r="AQ100" s="111" t="str">
        <f aca="false">IFERROR(__xludf.dummyfunction("IMPORTRANGE(A125,""bs13"")"),"")</f>
        <v/>
      </c>
      <c r="AR100" s="63" t="s">
        <v>31</v>
      </c>
      <c r="AS100" s="61"/>
      <c r="AT100" s="51"/>
      <c r="AU100" s="64" t="s">
        <v>40</v>
      </c>
      <c r="AV100" s="123" t="str">
        <f aca="false">IFERROR(__xludf.dummyfunction("IMPORTRANGE(A125,""ca13"")"),"Kristin Tattar")</f>
        <v>Kristin Tattar</v>
      </c>
      <c r="AW100" s="66" t="s">
        <v>31</v>
      </c>
      <c r="AX100" s="120" t="n">
        <f aca="false">VLOOKUP(AW100,MPOSCORING,2, 0)</f>
        <v>0</v>
      </c>
      <c r="AY100" s="121"/>
      <c r="AZ100" s="36" t="s">
        <v>40</v>
      </c>
      <c r="BA100" s="140" t="str">
        <f aca="false">IFERROR(__xludf.dummyfunction("IMPORTRANGE(A125,""ci13"")"),"Kristin Tattar")</f>
        <v>Kristin Tattar</v>
      </c>
      <c r="BB100" s="37" t="s">
        <v>31</v>
      </c>
      <c r="BC100" s="122" t="n">
        <f aca="false">VLOOKUP(BB100,MPOSCORING,2, 0)</f>
        <v>0</v>
      </c>
      <c r="BD100" s="121"/>
      <c r="BE100" s="42" t="s">
        <v>40</v>
      </c>
      <c r="BF100" s="114" t="str">
        <f aca="false">IFERROR(__xludf.dummyfunction("IMPORTRANGE(A125,""cq13"")"),"Kristin Tattar")</f>
        <v>Kristin Tattar</v>
      </c>
      <c r="BG100" s="44" t="s">
        <v>31</v>
      </c>
      <c r="BH100" s="115" t="n">
        <f aca="false">VLOOKUP(BG100,MPOSCORING,2, 0)</f>
        <v>0</v>
      </c>
      <c r="BI100" s="121"/>
      <c r="BJ100" s="64" t="s">
        <v>40</v>
      </c>
      <c r="BK100" s="123" t="str">
        <f aca="false">IFERROR(__xludf.dummyfunction("IMPORTRANGE(A125,""cy13"")"),"Holly Finley")</f>
        <v>Holly Finley</v>
      </c>
      <c r="BL100" s="66" t="n">
        <v>22</v>
      </c>
      <c r="BM100" s="120" t="n">
        <f aca="false">VLOOKUP(BL100,FPOSCORING,2, 0)</f>
        <v>8</v>
      </c>
      <c r="BN100" s="121"/>
      <c r="BO100" s="64" t="s">
        <v>40</v>
      </c>
      <c r="BP100" s="123" t="str">
        <f aca="false">IFERROR(__xludf.dummyfunction("IMPORTRANGE(A125,""dg13"")"),"Holly Finley")</f>
        <v>Holly Finley</v>
      </c>
      <c r="BQ100" s="66" t="s">
        <v>31</v>
      </c>
      <c r="BR100" s="120" t="n">
        <f aca="false">VLOOKUP(BQ100,MPOSCORING,2, 0)*2</f>
        <v>0</v>
      </c>
      <c r="BS100" s="124"/>
      <c r="BT100" s="64" t="s">
        <v>40</v>
      </c>
      <c r="BU100" s="123" t="str">
        <f aca="false">IFERROR(__xludf.dummyfunction("IMPORTRANGE(A125,""do13"")"),"Holly Finley")</f>
        <v>Holly Finley</v>
      </c>
      <c r="BV100" s="66" t="s">
        <v>31</v>
      </c>
      <c r="BW100" s="120" t="n">
        <f aca="false">VLOOKUP(BV100,MPOSCORING,2, 0)</f>
        <v>0</v>
      </c>
      <c r="BX100" s="121"/>
      <c r="BY100" s="64" t="s">
        <v>40</v>
      </c>
      <c r="BZ100" s="112" t="str">
        <f aca="false">IFERROR(__xludf.dummyfunction("IMPORTRANGE(A125,""dw13"")"),"")</f>
        <v/>
      </c>
      <c r="CA100" s="66" t="s">
        <v>31</v>
      </c>
      <c r="CB100" s="120" t="n">
        <f aca="false">VLOOKUP(CA100,MPOSCORING,2, 0)</f>
        <v>0</v>
      </c>
      <c r="CC100" s="121"/>
      <c r="CD100" s="64" t="s">
        <v>40</v>
      </c>
      <c r="CE100" s="123"/>
      <c r="CF100" s="66" t="s">
        <v>31</v>
      </c>
      <c r="CG100" s="120" t="n">
        <f aca="false">VLOOKUP(CF100,MPOSCORING,3, 0)</f>
        <v>0</v>
      </c>
      <c r="CH100" s="124"/>
    </row>
    <row r="101" customFormat="false" ht="15" hidden="false" customHeight="false" outlineLevel="0" collapsed="false">
      <c r="A101" s="149" t="str">
        <f aca="false">IFERROR(__xludf.dummyfunction("IMPORTRANGE(A125,""a1"")"),"Emer-mommy (Aleeza)")</f>
        <v>Emer-mommy (Aleeza)</v>
      </c>
      <c r="B101" s="61" t="s">
        <v>189</v>
      </c>
      <c r="C101" s="61"/>
      <c r="D101" s="61"/>
      <c r="E101" s="61"/>
      <c r="F101" s="36" t="s">
        <v>43</v>
      </c>
      <c r="G101" s="139" t="s">
        <v>186</v>
      </c>
      <c r="H101" s="37" t="s">
        <v>31</v>
      </c>
      <c r="I101" s="125" t="n">
        <f aca="false">VLOOKUP(H101,FPOSCORING,2, 0)</f>
        <v>0</v>
      </c>
      <c r="J101" s="39" t="s">
        <v>43</v>
      </c>
      <c r="K101" s="105" t="str">
        <f aca="false">IFERROR(__xludf.dummyfunction("IMPORTRANGE(A125,""o14"")"),"")</f>
        <v/>
      </c>
      <c r="L101" s="41" t="s">
        <v>31</v>
      </c>
      <c r="M101" s="125" t="n">
        <f aca="false">VLOOKUP(L101,FPOSCORING,2, 0)</f>
        <v>0</v>
      </c>
      <c r="N101" s="42" t="s">
        <v>43</v>
      </c>
      <c r="O101" s="43" t="str">
        <f aca="false">IFERROR(__xludf.dummyfunction("IMPORTRANGE(A125,""w14"")"),"")</f>
        <v/>
      </c>
      <c r="P101" s="44" t="s">
        <v>31</v>
      </c>
      <c r="Q101" s="125" t="n">
        <f aca="false">VLOOKUP(P101,FPOSCORING,2, 0)</f>
        <v>0</v>
      </c>
      <c r="R101" s="34" t="s">
        <v>43</v>
      </c>
      <c r="S101" s="106" t="str">
        <f aca="false">IFERROR(__xludf.dummyfunction("IMPORTRANGE(A125,""AE14"")"),"Raven Newsome ")</f>
        <v>Raven Newsome</v>
      </c>
      <c r="T101" s="46" t="s">
        <v>31</v>
      </c>
      <c r="U101" s="126" t="n">
        <f aca="false">VLOOKUP(T101,FPOSCORING,2, 0)</f>
        <v>0</v>
      </c>
      <c r="V101" s="48" t="s">
        <v>43</v>
      </c>
      <c r="W101" s="107" t="str">
        <f aca="false">IFERROR(__xludf.dummyfunction("IMPORTRANGE(A125,""Am14"")"),"Raven Newsome ")</f>
        <v>Raven Newsome</v>
      </c>
      <c r="X101" s="50" t="s">
        <v>31</v>
      </c>
      <c r="Y101" s="117" t="n">
        <f aca="false">VLOOKUP(X101,MPOSCORING,2, 0)</f>
        <v>0</v>
      </c>
      <c r="Z101" s="51"/>
      <c r="AA101" s="52" t="s">
        <v>43</v>
      </c>
      <c r="AB101" s="108" t="str">
        <f aca="false">IFERROR(__xludf.dummyfunction("IMPORTRANGE(A125,""Au14"")"),"Raven Newsome ")</f>
        <v>Raven Newsome</v>
      </c>
      <c r="AC101" s="54" t="s">
        <v>31</v>
      </c>
      <c r="AD101" s="130" t="n">
        <f aca="false">VLOOKUP(AC101,MPOSCORING,2, 0)</f>
        <v>0</v>
      </c>
      <c r="AE101" s="51"/>
      <c r="AF101" s="55" t="s">
        <v>43</v>
      </c>
      <c r="AG101" s="109" t="str">
        <f aca="false">IFERROR(__xludf.dummyfunction("IMPORTRANGE(A125,""bc14"")"),"Raven Newsome ")</f>
        <v>Raven Newsome</v>
      </c>
      <c r="AH101" s="57" t="s">
        <v>31</v>
      </c>
      <c r="AI101" s="118" t="n">
        <f aca="false">VLOOKUP(AH101,MPOSCORING,2, 0)</f>
        <v>0</v>
      </c>
      <c r="AJ101" s="51"/>
      <c r="AK101" s="58" t="s">
        <v>43</v>
      </c>
      <c r="AL101" s="110" t="str">
        <f aca="false">IFERROR(__xludf.dummyfunction("IMPORTRANGE(A125,""bk14"")"),"Raven Newsome ")</f>
        <v>Raven Newsome</v>
      </c>
      <c r="AM101" s="60" t="s">
        <v>31</v>
      </c>
      <c r="AN101" s="119" t="n">
        <f aca="false">VLOOKUP(AM101,FPOSCORING,2, 0)</f>
        <v>0</v>
      </c>
      <c r="AO101" s="51"/>
      <c r="AP101" s="61" t="s">
        <v>53</v>
      </c>
      <c r="AQ101" s="111" t="str">
        <f aca="false">IFERROR(__xludf.dummyfunction("IMPORTRANGE(A125,""bs14"")"),"")</f>
        <v/>
      </c>
      <c r="AR101" s="63" t="s">
        <v>31</v>
      </c>
      <c r="AS101" s="61"/>
      <c r="AT101" s="51"/>
      <c r="AU101" s="64" t="s">
        <v>43</v>
      </c>
      <c r="AV101" s="112" t="str">
        <f aca="false">IFERROR(__xludf.dummyfunction("IMPORTRANGE(A125,""ca14"")"),"Emerson Keith")</f>
        <v>Emerson Keith</v>
      </c>
      <c r="AW101" s="66" t="s">
        <v>31</v>
      </c>
      <c r="AX101" s="120" t="n">
        <f aca="false">VLOOKUP(AW101,FPOSCORING,2, 0)</f>
        <v>0</v>
      </c>
      <c r="AY101" s="121"/>
      <c r="AZ101" s="36" t="s">
        <v>43</v>
      </c>
      <c r="BA101" s="139" t="str">
        <f aca="false">IFERROR(__xludf.dummyfunction("IMPORTRANGE(A125,""ci14"")"),"courtesy violation Locastro ")</f>
        <v>courtesy violation Locastro</v>
      </c>
      <c r="BB101" s="37" t="s">
        <v>31</v>
      </c>
      <c r="BC101" s="122" t="n">
        <f aca="false">VLOOKUP(BB101,FPOSCORING,2, 0)</f>
        <v>0</v>
      </c>
      <c r="BD101" s="121"/>
      <c r="BE101" s="42" t="s">
        <v>43</v>
      </c>
      <c r="BF101" s="114" t="str">
        <f aca="false">IFERROR(__xludf.dummyfunction("IMPORTRANGE(A125,""cq14"")"),"Nikko Locastro ")</f>
        <v>Nikko Locastro</v>
      </c>
      <c r="BG101" s="44" t="s">
        <v>31</v>
      </c>
      <c r="BH101" s="115" t="n">
        <f aca="false">VLOOKUP(BG101,FPOSCORING,2, 0)</f>
        <v>0</v>
      </c>
      <c r="BI101" s="121"/>
      <c r="BJ101" s="64" t="s">
        <v>43</v>
      </c>
      <c r="BK101" s="112" t="str">
        <f aca="false">IFERROR(__xludf.dummyfunction("IMPORTRANGE(A125,""cy14"")"),"Nikko Locastro ")</f>
        <v>Nikko Locastro</v>
      </c>
      <c r="BL101" s="66" t="s">
        <v>31</v>
      </c>
      <c r="BM101" s="120" t="n">
        <f aca="false">VLOOKUP(BL101,FPOSCORING,2, 0)</f>
        <v>0</v>
      </c>
      <c r="BN101" s="121"/>
      <c r="BO101" s="64" t="s">
        <v>43</v>
      </c>
      <c r="BP101" s="112" t="str">
        <f aca="false">IFERROR(__xludf.dummyfunction("IMPORTRANGE(A125,""dg14"")"),"Nikko Locastro ")</f>
        <v>Nikko Locastro</v>
      </c>
      <c r="BQ101" s="66" t="s">
        <v>31</v>
      </c>
      <c r="BR101" s="120" t="n">
        <f aca="false">VLOOKUP(BQ101,FPOSCORING,2, 0)*2</f>
        <v>0</v>
      </c>
      <c r="BS101" s="124"/>
      <c r="BT101" s="64" t="s">
        <v>43</v>
      </c>
      <c r="BU101" s="112" t="str">
        <f aca="false">IFERROR(__xludf.dummyfunction("IMPORTRANGE(A125,""do14"")"),"Nikko Locastro ")</f>
        <v>Nikko Locastro</v>
      </c>
      <c r="BV101" s="66" t="s">
        <v>31</v>
      </c>
      <c r="BW101" s="120" t="n">
        <f aca="false">VLOOKUP(BV101,FPOSCORING,2, 0)</f>
        <v>0</v>
      </c>
      <c r="BX101" s="121"/>
      <c r="BY101" s="64" t="s">
        <v>43</v>
      </c>
      <c r="BZ101" s="112" t="str">
        <f aca="false">IFERROR(__xludf.dummyfunction("IMPORTRANGE(A125,""dw14"")"),"")</f>
        <v/>
      </c>
      <c r="CA101" s="66" t="s">
        <v>31</v>
      </c>
      <c r="CB101" s="120" t="n">
        <f aca="false">VLOOKUP(CA101,FPOSCORING,2, 0)</f>
        <v>0</v>
      </c>
      <c r="CC101" s="121"/>
      <c r="CD101" s="64" t="s">
        <v>43</v>
      </c>
      <c r="CE101" s="112"/>
      <c r="CF101" s="66" t="s">
        <v>31</v>
      </c>
      <c r="CG101" s="120" t="n">
        <f aca="false">VLOOKUP(CF101,FPOSCORING,3, 0)</f>
        <v>0</v>
      </c>
      <c r="CH101" s="124"/>
    </row>
    <row r="102" customFormat="false" ht="15" hidden="false" customHeight="false" outlineLevel="0" collapsed="false">
      <c r="A102" s="149" t="str">
        <f aca="false">IFERROR(__xludf.dummyfunction("IMPORTRANGE(A125,""a1"")"),"Emer-mommy (Aleeza)")</f>
        <v>Emer-mommy (Aleeza)</v>
      </c>
      <c r="B102" s="61" t="s">
        <v>187</v>
      </c>
      <c r="C102" s="61"/>
      <c r="D102" s="61"/>
      <c r="E102" s="61"/>
      <c r="F102" s="36" t="s">
        <v>46</v>
      </c>
      <c r="G102" s="139" t="s">
        <v>190</v>
      </c>
      <c r="H102" s="37" t="s">
        <v>31</v>
      </c>
      <c r="I102" s="115" t="n">
        <f aca="false">VLOOKUP(H102,MPOSCORING,2, 0)</f>
        <v>0</v>
      </c>
      <c r="J102" s="39" t="s">
        <v>46</v>
      </c>
      <c r="K102" s="105" t="str">
        <f aca="false">IFERROR(__xludf.dummyfunction("IMPORTRANGE(A125,""o15"")"),"")</f>
        <v/>
      </c>
      <c r="L102" s="41" t="s">
        <v>31</v>
      </c>
      <c r="M102" s="115" t="n">
        <f aca="false">VLOOKUP(L102,MPOSCORING,2, 0)</f>
        <v>0</v>
      </c>
      <c r="N102" s="42" t="s">
        <v>46</v>
      </c>
      <c r="O102" s="43" t="str">
        <f aca="false">IFERROR(__xludf.dummyfunction("IMPORTRANGE(A125,""w15"")"),"")</f>
        <v/>
      </c>
      <c r="P102" s="44" t="s">
        <v>31</v>
      </c>
      <c r="Q102" s="115" t="n">
        <f aca="false">VLOOKUP(P102,MPOSCORING,2, 0)</f>
        <v>0</v>
      </c>
      <c r="R102" s="34" t="s">
        <v>46</v>
      </c>
      <c r="S102" s="106" t="str">
        <f aca="false">IFERROR(__xludf.dummyfunction("IMPORTRANGE(A125,""AE15"")"),"Emily beach")</f>
        <v>Emily beach</v>
      </c>
      <c r="T102" s="46" t="n">
        <v>20</v>
      </c>
      <c r="U102" s="116" t="n">
        <f aca="false">VLOOKUP(T102,FPOSCORING,2, 0)</f>
        <v>12</v>
      </c>
      <c r="V102" s="48" t="s">
        <v>46</v>
      </c>
      <c r="W102" s="107" t="str">
        <f aca="false">IFERROR(__xludf.dummyfunction("IMPORTRANGE(A125,""Am15"")"),"Emily beach")</f>
        <v>Emily beach</v>
      </c>
      <c r="X102" s="50" t="s">
        <v>31</v>
      </c>
      <c r="Y102" s="117" t="n">
        <f aca="false">VLOOKUP(X102,MPOSCORING,2, 0)</f>
        <v>0</v>
      </c>
      <c r="Z102" s="51"/>
      <c r="AA102" s="52" t="s">
        <v>46</v>
      </c>
      <c r="AB102" s="108" t="str">
        <f aca="false">IFERROR(__xludf.dummyfunction("IMPORTRANGE(A125,""Au15"")"),"Cupcake ")</f>
        <v>Cupcake</v>
      </c>
      <c r="AC102" s="54" t="s">
        <v>31</v>
      </c>
      <c r="AD102" s="130" t="n">
        <f aca="false">VLOOKUP(AC102,MPOSCORING,2, 0)</f>
        <v>0</v>
      </c>
      <c r="AE102" s="51"/>
      <c r="AF102" s="55" t="s">
        <v>46</v>
      </c>
      <c r="AG102" s="109" t="str">
        <f aca="false">IFERROR(__xludf.dummyfunction("IMPORTRANGE(A125,""bc15"")"),"Cupcake ")</f>
        <v>Cupcake</v>
      </c>
      <c r="AH102" s="57" t="s">
        <v>31</v>
      </c>
      <c r="AI102" s="118" t="n">
        <f aca="false">VLOOKUP(AH102,MPOSCORING,2, 0)</f>
        <v>0</v>
      </c>
      <c r="AJ102" s="51"/>
      <c r="AK102" s="58" t="s">
        <v>46</v>
      </c>
      <c r="AL102" s="110" t="str">
        <f aca="false">IFERROR(__xludf.dummyfunction("IMPORTRANGE(A125,""bk15"")"),"Cupcake ")</f>
        <v>Cupcake</v>
      </c>
      <c r="AM102" s="60" t="s">
        <v>31</v>
      </c>
      <c r="AN102" s="119" t="n">
        <f aca="false">VLOOKUP(AM102,MPOSCORING,2, 0)</f>
        <v>0</v>
      </c>
      <c r="AO102" s="51"/>
      <c r="AP102" s="61" t="s">
        <v>55</v>
      </c>
      <c r="AQ102" s="111" t="str">
        <f aca="false">IFERROR(__xludf.dummyfunction("IMPORTRANGE(A125,""bs15"")"),"")</f>
        <v/>
      </c>
      <c r="AR102" s="63" t="s">
        <v>31</v>
      </c>
      <c r="AS102" s="61"/>
      <c r="AT102" s="51"/>
      <c r="AU102" s="64" t="s">
        <v>46</v>
      </c>
      <c r="AV102" s="112" t="str">
        <f aca="false">IFERROR(__xludf.dummyfunction("IMPORTRANGE(A125,""ca15"")"),"Cupcake ")</f>
        <v>Cupcake</v>
      </c>
      <c r="AW102" s="66" t="s">
        <v>31</v>
      </c>
      <c r="AX102" s="120" t="n">
        <f aca="false">VLOOKUP(AW102,MPOSCORING,2, 0)</f>
        <v>0</v>
      </c>
      <c r="AY102" s="121"/>
      <c r="AZ102" s="36" t="s">
        <v>46</v>
      </c>
      <c r="BA102" s="139" t="str">
        <f aca="false">IFERROR(__xludf.dummyfunction("IMPORTRANGE(A125,""ci15"")"),"Cupcake ")</f>
        <v>Cupcake</v>
      </c>
      <c r="BB102" s="37" t="s">
        <v>31</v>
      </c>
      <c r="BC102" s="122" t="n">
        <f aca="false">VLOOKUP(BB102,MPOSCORING,2, 0)</f>
        <v>0</v>
      </c>
      <c r="BD102" s="121"/>
      <c r="BE102" s="42" t="s">
        <v>46</v>
      </c>
      <c r="BF102" s="114" t="str">
        <f aca="false">IFERROR(__xludf.dummyfunction("IMPORTRANGE(A125,""cq15"")"),"Cupcake ")</f>
        <v>Cupcake</v>
      </c>
      <c r="BG102" s="44" t="s">
        <v>31</v>
      </c>
      <c r="BH102" s="115" t="n">
        <f aca="false">VLOOKUP(BG102,MPOSCORING,2, 0)</f>
        <v>0</v>
      </c>
      <c r="BI102" s="121"/>
      <c r="BJ102" s="64" t="s">
        <v>46</v>
      </c>
      <c r="BK102" s="112" t="str">
        <f aca="false">IFERROR(__xludf.dummyfunction("IMPORTRANGE(A125,""cy15"")"),"Cupcake ")</f>
        <v>Cupcake</v>
      </c>
      <c r="BL102" s="66" t="s">
        <v>31</v>
      </c>
      <c r="BM102" s="120" t="n">
        <f aca="false">VLOOKUP(BL102,MPOSCORING,2, 0)</f>
        <v>0</v>
      </c>
      <c r="BN102" s="121"/>
      <c r="BO102" s="64" t="s">
        <v>46</v>
      </c>
      <c r="BP102" s="112" t="str">
        <f aca="false">IFERROR(__xludf.dummyfunction("IMPORTRANGE(A125,""dg15"")"),"Cupcake ")</f>
        <v>Cupcake</v>
      </c>
      <c r="BQ102" s="66" t="s">
        <v>31</v>
      </c>
      <c r="BR102" s="120" t="n">
        <f aca="false">VLOOKUP(BQ102,MPOSCORING,2, 0)*2</f>
        <v>0</v>
      </c>
      <c r="BS102" s="124"/>
      <c r="BT102" s="64" t="s">
        <v>46</v>
      </c>
      <c r="BU102" s="112" t="str">
        <f aca="false">IFERROR(__xludf.dummyfunction("IMPORTRANGE(A125,""do15"")"),"Cupcake ")</f>
        <v>Cupcake</v>
      </c>
      <c r="BV102" s="66" t="s">
        <v>31</v>
      </c>
      <c r="BW102" s="120" t="n">
        <f aca="false">VLOOKUP(BV102,MPOSCORING,2, 0)</f>
        <v>0</v>
      </c>
      <c r="BX102" s="121"/>
      <c r="BY102" s="64" t="s">
        <v>46</v>
      </c>
      <c r="BZ102" s="112" t="str">
        <f aca="false">IFERROR(__xludf.dummyfunction("IMPORTRANGE(A125,""dw15"")"),"")</f>
        <v/>
      </c>
      <c r="CA102" s="66" t="s">
        <v>31</v>
      </c>
      <c r="CB102" s="120" t="n">
        <f aca="false">VLOOKUP(CA102,MPOSCORING,2, 0)</f>
        <v>0</v>
      </c>
      <c r="CC102" s="121"/>
      <c r="CD102" s="64" t="s">
        <v>46</v>
      </c>
      <c r="CE102" s="112"/>
      <c r="CF102" s="66" t="s">
        <v>31</v>
      </c>
      <c r="CG102" s="120" t="n">
        <f aca="false">VLOOKUP(CF102,MPOSCORING,3, 0)</f>
        <v>0</v>
      </c>
      <c r="CH102" s="124"/>
    </row>
    <row r="103" customFormat="false" ht="13.85" hidden="true" customHeight="false" outlineLevel="0" collapsed="false">
      <c r="A103" s="16" t="s">
        <v>191</v>
      </c>
      <c r="BS103" s="18"/>
      <c r="CH103" s="18"/>
    </row>
    <row r="104" customFormat="false" ht="15" hidden="false" customHeight="false" outlineLevel="0" collapsed="false">
      <c r="A104" s="150" t="str">
        <f aca="false">IFERROR(__xludf.dummyfunction("IMPORTRANGE(A140,""a1"")"),"Team Backhanded Compliments (Tyler)")</f>
        <v>Team Backhanded Compliments (Tyler)</v>
      </c>
      <c r="B104" s="64" t="s">
        <v>192</v>
      </c>
      <c r="C104" s="64"/>
      <c r="D104" s="64"/>
      <c r="E104" s="64"/>
      <c r="F104" s="36" t="s">
        <v>29</v>
      </c>
      <c r="G104" s="35" t="s">
        <v>193</v>
      </c>
      <c r="H104" s="88" t="n">
        <v>12</v>
      </c>
      <c r="I104" s="38" t="n">
        <f aca="false">VLOOKUP(H104,FPOSCORING,2, 0)</f>
        <v>47</v>
      </c>
      <c r="J104" s="39" t="s">
        <v>29</v>
      </c>
      <c r="K104" s="40" t="str">
        <f aca="false">IFERROR(__xludf.dummyfunction("IMPORTRANGE(A140,""o6"")"),"Missy Gannon")</f>
        <v>Missy Gannon</v>
      </c>
      <c r="L104" s="41" t="n">
        <v>5</v>
      </c>
      <c r="M104" s="38" t="n">
        <f aca="false">VLOOKUP(L104,FPOSCORING,2, 0)</f>
        <v>82</v>
      </c>
      <c r="N104" s="42" t="s">
        <v>29</v>
      </c>
      <c r="O104" s="43" t="str">
        <f aca="false">IFERROR(__xludf.dummyfunction("IMPORTRANGE(A140,""W6"")"),"Missy Gannon")</f>
        <v>Missy Gannon</v>
      </c>
      <c r="P104" s="44" t="n">
        <v>8</v>
      </c>
      <c r="Q104" s="38" t="n">
        <f aca="false">VLOOKUP(P104,FPOSCORING,2, 0)</f>
        <v>67</v>
      </c>
      <c r="R104" s="34" t="s">
        <v>29</v>
      </c>
      <c r="S104" s="45" t="str">
        <f aca="false">IFERROR(__xludf.dummyfunction("IMPORTRANGE(A140,""AE6"")"),"Missy Gannon")</f>
        <v>Missy Gannon</v>
      </c>
      <c r="T104" s="46" t="n">
        <v>2</v>
      </c>
      <c r="U104" s="47" t="n">
        <f aca="false">VLOOKUP(T104,FPOSCORING,2, 0)</f>
        <v>96</v>
      </c>
      <c r="V104" s="48" t="s">
        <v>29</v>
      </c>
      <c r="W104" s="49" t="str">
        <f aca="false">IFERROR(__xludf.dummyfunction("IMPORTRANGE(A140,""Am6"")"),"Missy Gannon")</f>
        <v>Missy Gannon</v>
      </c>
      <c r="X104" s="50" t="n">
        <v>16</v>
      </c>
      <c r="Y104" s="129" t="n">
        <f aca="false">VLOOKUP(X104,FPOSCORING,2, 0)</f>
        <v>29</v>
      </c>
      <c r="Z104" s="51"/>
      <c r="AA104" s="52" t="s">
        <v>29</v>
      </c>
      <c r="AB104" s="53" t="str">
        <f aca="false">IFERROR(__xludf.dummyfunction("IMPORTRANGE(A140,""Au6"")"),"Missy Gannon")</f>
        <v>Missy Gannon</v>
      </c>
      <c r="AC104" s="54" t="n">
        <v>6</v>
      </c>
      <c r="AD104" s="130" t="n">
        <f aca="false">VLOOKUP(AC104,FPOSCORING,2, 0)</f>
        <v>76</v>
      </c>
      <c r="AE104" s="51"/>
      <c r="AF104" s="55" t="s">
        <v>29</v>
      </c>
      <c r="AG104" s="56" t="str">
        <f aca="false">IFERROR(__xludf.dummyfunction("IMPORTRANGE(A140,""bc6"")"),"Missy Gannon")</f>
        <v>Missy Gannon</v>
      </c>
      <c r="AH104" s="57" t="n">
        <v>4</v>
      </c>
      <c r="AI104" s="131" t="n">
        <f aca="false">VLOOKUP(AH104,FPOSCORING,2, 0)</f>
        <v>86</v>
      </c>
      <c r="AJ104" s="51"/>
      <c r="AK104" s="58" t="s">
        <v>29</v>
      </c>
      <c r="AL104" s="59" t="str">
        <f aca="false">IFERROR(__xludf.dummyfunction("IMPORTRANGE(A140,""bk6"")"),"Missy Gannon")</f>
        <v>Missy Gannon</v>
      </c>
      <c r="AM104" s="60" t="n">
        <v>2</v>
      </c>
      <c r="AN104" s="132" t="n">
        <f aca="false">VLOOKUP(AM104,FPOSCORING,2, 0)</f>
        <v>96</v>
      </c>
      <c r="AO104" s="51"/>
      <c r="AP104" s="61" t="s">
        <v>29</v>
      </c>
      <c r="AQ104" s="62" t="str">
        <f aca="false">IFERROR(__xludf.dummyfunction("IMPORTRANGE(A140,""bs6"")"),"Missy Gannon")</f>
        <v>Missy Gannon</v>
      </c>
      <c r="AR104" s="63" t="n">
        <v>10</v>
      </c>
      <c r="AS104" s="133" t="n">
        <f aca="false">VLOOKUP(AR104,MPOSCORING,2, 0)</f>
        <v>84</v>
      </c>
      <c r="AT104" s="51"/>
      <c r="AU104" s="64" t="s">
        <v>29</v>
      </c>
      <c r="AV104" s="65" t="str">
        <f aca="false">IFERROR(__xludf.dummyfunction("IMPORTRANGE(A140,""ca6"")"),"Missy Gannon")</f>
        <v>Missy Gannon</v>
      </c>
      <c r="AW104" s="66" t="n">
        <v>2</v>
      </c>
      <c r="AX104" s="134" t="n">
        <f aca="false">VLOOKUP(AW104,FPOSCORING,2, 0)</f>
        <v>96</v>
      </c>
      <c r="AY104" s="32"/>
      <c r="AZ104" s="36" t="s">
        <v>29</v>
      </c>
      <c r="BA104" s="67" t="str">
        <f aca="false">IFERROR(__xludf.dummyfunction("IMPORTRANGE(A140,""ci6"")"),"Missy Gannon")</f>
        <v>Missy Gannon</v>
      </c>
      <c r="BB104" s="37" t="n">
        <v>12</v>
      </c>
      <c r="BC104" s="135" t="n">
        <f aca="false">VLOOKUP(BB104,FPOSCORING,2, 0)</f>
        <v>47</v>
      </c>
      <c r="BD104" s="32"/>
      <c r="BE104" s="42" t="s">
        <v>29</v>
      </c>
      <c r="BF104" s="68" t="str">
        <f aca="false">IFERROR(__xludf.dummyfunction("IMPORTRANGE(A140,""cq6"")"),"Missy Gannon")</f>
        <v>Missy Gannon</v>
      </c>
      <c r="BG104" s="44" t="n">
        <v>1</v>
      </c>
      <c r="BH104" s="136" t="n">
        <f aca="false">VLOOKUP(BG104,FPOSCORING,2, 0)</f>
        <v>100</v>
      </c>
      <c r="BI104" s="32"/>
      <c r="BJ104" s="64" t="s">
        <v>29</v>
      </c>
      <c r="BK104" s="65" t="str">
        <f aca="false">IFERROR(__xludf.dummyfunction("IMPORTRANGE(A140,""cy6"")"),"Missy Gannon")</f>
        <v>Missy Gannon</v>
      </c>
      <c r="BL104" s="66" t="n">
        <v>13</v>
      </c>
      <c r="BM104" s="134" t="n">
        <f aca="false">VLOOKUP(BL104,FPOSCORING,2, 0)</f>
        <v>42</v>
      </c>
      <c r="BN104" s="32"/>
      <c r="BO104" s="64" t="s">
        <v>29</v>
      </c>
      <c r="BP104" s="65" t="str">
        <f aca="false">IFERROR(__xludf.dummyfunction("IMPORTRANGE(A140,""dg6"")"),"Missy Gannon")</f>
        <v>Missy Gannon</v>
      </c>
      <c r="BQ104" s="66" t="n">
        <v>4</v>
      </c>
      <c r="BR104" s="134" t="n">
        <f aca="false">VLOOKUP(BQ104,FPOSCORING,3, 0)</f>
        <v>172</v>
      </c>
      <c r="BS104" s="33"/>
      <c r="BT104" s="64" t="s">
        <v>29</v>
      </c>
      <c r="BU104" s="65" t="str">
        <f aca="false">IFERROR(__xludf.dummyfunction("IMPORTRANGE(A140,""do6"")"),"Missy Gannon")</f>
        <v>Missy Gannon</v>
      </c>
      <c r="BV104" s="66" t="n">
        <v>4</v>
      </c>
      <c r="BW104" s="134" t="n">
        <f aca="false">VLOOKUP(BV104,FPOSCORING,2, 0)</f>
        <v>86</v>
      </c>
      <c r="BX104" s="32"/>
      <c r="BY104" s="64" t="s">
        <v>29</v>
      </c>
      <c r="BZ104" s="65" t="str">
        <f aca="false">IFERROR(__xludf.dummyfunction("IMPORTRANGE(A140,""dw6"")"),"Missy Gannon")</f>
        <v>Missy Gannon</v>
      </c>
      <c r="CA104" s="66" t="n">
        <v>15</v>
      </c>
      <c r="CB104" s="134" t="n">
        <f aca="false">VLOOKUP(CA104,FPOSCORING,2, 0)</f>
        <v>34</v>
      </c>
      <c r="CC104" s="32"/>
      <c r="CD104" s="64" t="s">
        <v>29</v>
      </c>
      <c r="CE104" s="65"/>
      <c r="CF104" s="66" t="s">
        <v>31</v>
      </c>
      <c r="CG104" s="134" t="n">
        <f aca="false">VLOOKUP(CF104,FPOSCORING,3, 0)</f>
        <v>0</v>
      </c>
      <c r="CH104" s="33"/>
    </row>
    <row r="105" customFormat="false" ht="15" hidden="false" customHeight="false" outlineLevel="0" collapsed="false">
      <c r="A105" s="150" t="str">
        <f aca="false">IFERROR(__xludf.dummyfunction("IMPORTRANGE(A140,""a1"")"),"Team Backhanded Compliments (Tyler)")</f>
        <v>Team Backhanded Compliments (Tyler)</v>
      </c>
      <c r="B105" s="64" t="s">
        <v>193</v>
      </c>
      <c r="C105" s="64"/>
      <c r="D105" s="64"/>
      <c r="E105" s="64"/>
      <c r="F105" s="36" t="s">
        <v>34</v>
      </c>
      <c r="G105" s="67" t="s">
        <v>194</v>
      </c>
      <c r="H105" s="69" t="n">
        <v>14</v>
      </c>
      <c r="I105" s="38" t="n">
        <f aca="false">VLOOKUP(H105,FPOSCORING,2, 0)</f>
        <v>38</v>
      </c>
      <c r="J105" s="39" t="s">
        <v>34</v>
      </c>
      <c r="K105" s="70" t="str">
        <f aca="false">IFERROR(__xludf.dummyfunction("IMPORTRANGE(A140,""o7"")"),"Alexis Mandujano")</f>
        <v>Alexis Mandujano</v>
      </c>
      <c r="L105" s="71" t="n">
        <v>21</v>
      </c>
      <c r="M105" s="38" t="n">
        <f aca="false">VLOOKUP(L105,FPOSCORING,2, 0)</f>
        <v>9</v>
      </c>
      <c r="N105" s="42" t="s">
        <v>34</v>
      </c>
      <c r="O105" s="43" t="str">
        <f aca="false">IFERROR(__xludf.dummyfunction("IMPORTRANGE(A140,""W7"")"),"Alexis Mandujano")</f>
        <v>Alexis Mandujano</v>
      </c>
      <c r="P105" s="72" t="n">
        <v>7</v>
      </c>
      <c r="Q105" s="38" t="n">
        <f aca="false">VLOOKUP(P105,FPOSCORING,2, 0)</f>
        <v>71</v>
      </c>
      <c r="R105" s="34" t="s">
        <v>34</v>
      </c>
      <c r="S105" s="73" t="str">
        <f aca="false">IFERROR(__xludf.dummyfunction("IMPORTRANGE(A140,""AE7"")"),"Alexis Mandujano")</f>
        <v>Alexis Mandujano</v>
      </c>
      <c r="T105" s="74" t="n">
        <v>10</v>
      </c>
      <c r="U105" s="47" t="n">
        <f aca="false">VLOOKUP(T105,FPOSCORING,2, 0)</f>
        <v>58</v>
      </c>
      <c r="V105" s="48" t="s">
        <v>34</v>
      </c>
      <c r="W105" s="75" t="str">
        <f aca="false">IFERROR(__xludf.dummyfunction("IMPORTRANGE(A140,""Am7"")"),"Alexis Mandujano")</f>
        <v>Alexis Mandujano</v>
      </c>
      <c r="X105" s="76" t="n">
        <v>11</v>
      </c>
      <c r="Y105" s="129" t="n">
        <f aca="false">VLOOKUP(X105,FPOSCORING,2, 0)</f>
        <v>52</v>
      </c>
      <c r="Z105" s="51"/>
      <c r="AA105" s="52" t="s">
        <v>34</v>
      </c>
      <c r="AB105" s="77" t="str">
        <f aca="false">IFERROR(__xludf.dummyfunction("IMPORTRANGE(A140,""Au7"")"),"Alexis Mandujano")</f>
        <v>Alexis Mandujano</v>
      </c>
      <c r="AC105" s="78" t="n">
        <v>4</v>
      </c>
      <c r="AD105" s="130" t="n">
        <f aca="false">VLOOKUP(AC105,FPOSCORING,2, 0)</f>
        <v>86</v>
      </c>
      <c r="AE105" s="51"/>
      <c r="AF105" s="55" t="s">
        <v>34</v>
      </c>
      <c r="AG105" s="79" t="str">
        <f aca="false">IFERROR(__xludf.dummyfunction("IMPORTRANGE(A140,""bc7"")"),"Alexis Mandujano")</f>
        <v>Alexis Mandujano</v>
      </c>
      <c r="AH105" s="80" t="n">
        <v>24</v>
      </c>
      <c r="AI105" s="131" t="n">
        <f aca="false">VLOOKUP(AH105,FPOSCORING,2, 0)</f>
        <v>6</v>
      </c>
      <c r="AJ105" s="51"/>
      <c r="AK105" s="58" t="s">
        <v>34</v>
      </c>
      <c r="AL105" s="81" t="str">
        <f aca="false">IFERROR(__xludf.dummyfunction("IMPORTRANGE(A140,""bk7"")"),"Alexis Mandujano")</f>
        <v>Alexis Mandujano</v>
      </c>
      <c r="AM105" s="82" t="n">
        <v>19</v>
      </c>
      <c r="AN105" s="132" t="n">
        <f aca="false">VLOOKUP(AM105,FPOSCORING,2, 0)</f>
        <v>15</v>
      </c>
      <c r="AO105" s="51"/>
      <c r="AP105" s="61" t="s">
        <v>34</v>
      </c>
      <c r="AQ105" s="83" t="str">
        <f aca="false">IFERROR(__xludf.dummyfunction("IMPORTRANGE(A140,""bs7"")"),"Alexis Mandujano")</f>
        <v>Alexis Mandujano</v>
      </c>
      <c r="AR105" s="84" t="n">
        <v>14</v>
      </c>
      <c r="AS105" s="133" t="n">
        <f aca="false">VLOOKUP(AR105,MPOSCORING,2, 0)</f>
        <v>76</v>
      </c>
      <c r="AT105" s="51"/>
      <c r="AU105" s="64" t="s">
        <v>34</v>
      </c>
      <c r="AV105" s="85" t="str">
        <f aca="false">IFERROR(__xludf.dummyfunction("IMPORTRANGE(A140,""ca7"")"),"Alexis Mandujano")</f>
        <v>Alexis Mandujano</v>
      </c>
      <c r="AW105" s="86" t="n">
        <v>4</v>
      </c>
      <c r="AX105" s="134" t="n">
        <f aca="false">VLOOKUP(AW105,FPOSCORING,2, 0)</f>
        <v>86</v>
      </c>
      <c r="AY105" s="32"/>
      <c r="AZ105" s="36" t="s">
        <v>34</v>
      </c>
      <c r="BA105" s="35" t="str">
        <f aca="false">IFERROR(__xludf.dummyfunction("IMPORTRANGE(A140,""ci7"")"),"Alexis Mandujano")</f>
        <v>Alexis Mandujano</v>
      </c>
      <c r="BB105" s="69" t="n">
        <v>33</v>
      </c>
      <c r="BC105" s="135" t="n">
        <f aca="false">VLOOKUP(BB105,FPOSCORING,2, 0)</f>
        <v>0</v>
      </c>
      <c r="BD105" s="32"/>
      <c r="BE105" s="42" t="s">
        <v>34</v>
      </c>
      <c r="BF105" s="43" t="str">
        <f aca="false">IFERROR(__xludf.dummyfunction("IMPORTRANGE(A140,""cq7"")"),"Alexis Mandujano")</f>
        <v>Alexis Mandujano</v>
      </c>
      <c r="BG105" s="72" t="n">
        <v>6</v>
      </c>
      <c r="BH105" s="136" t="n">
        <f aca="false">VLOOKUP(BG105,FPOSCORING,2, 0)</f>
        <v>76</v>
      </c>
      <c r="BI105" s="32"/>
      <c r="BJ105" s="64" t="s">
        <v>34</v>
      </c>
      <c r="BK105" s="85" t="str">
        <f aca="false">IFERROR(__xludf.dummyfunction("IMPORTRANGE(A140,""cy7"")"),"Alexis Mandujano")</f>
        <v>Alexis Mandujano</v>
      </c>
      <c r="BL105" s="86" t="n">
        <v>26</v>
      </c>
      <c r="BM105" s="134" t="n">
        <f aca="false">VLOOKUP(BL105,FPOSCORING,2, 0)</f>
        <v>0</v>
      </c>
      <c r="BN105" s="32"/>
      <c r="BO105" s="64" t="s">
        <v>34</v>
      </c>
      <c r="BP105" s="85" t="str">
        <f aca="false">IFERROR(__xludf.dummyfunction("IMPORTRANGE(A140,""dg7"")"),"Alexis Mandujano")</f>
        <v>Alexis Mandujano</v>
      </c>
      <c r="BQ105" s="86" t="n">
        <v>23</v>
      </c>
      <c r="BR105" s="134" t="n">
        <f aca="false">VLOOKUP(BQ105,FPOSCORING,3, 0)</f>
        <v>18</v>
      </c>
      <c r="BS105" s="33"/>
      <c r="BT105" s="64" t="s">
        <v>34</v>
      </c>
      <c r="BU105" s="85" t="str">
        <f aca="false">IFERROR(__xludf.dummyfunction("IMPORTRANGE(A140,""do7"")"),"Alexis Mandujano")</f>
        <v>Alexis Mandujano</v>
      </c>
      <c r="BV105" s="86" t="n">
        <v>31</v>
      </c>
      <c r="BW105" s="134" t="n">
        <f aca="false">VLOOKUP(BV105,FPOSCORING,2, 0)</f>
        <v>0</v>
      </c>
      <c r="BX105" s="32"/>
      <c r="BY105" s="64" t="s">
        <v>34</v>
      </c>
      <c r="BZ105" s="85" t="str">
        <f aca="false">IFERROR(__xludf.dummyfunction("IMPORTRANGE(A140,""dw7"")"),"Alexis Mandujano")</f>
        <v>Alexis Mandujano</v>
      </c>
      <c r="CA105" s="86" t="n">
        <v>32</v>
      </c>
      <c r="CB105" s="134" t="n">
        <f aca="false">VLOOKUP(CA105,FPOSCORING,2, 0)</f>
        <v>0</v>
      </c>
      <c r="CC105" s="32"/>
      <c r="CD105" s="64" t="s">
        <v>34</v>
      </c>
      <c r="CE105" s="85"/>
      <c r="CF105" s="86" t="s">
        <v>31</v>
      </c>
      <c r="CG105" s="134" t="n">
        <f aca="false">VLOOKUP(CF105,FPOSCORING,3, 0)</f>
        <v>0</v>
      </c>
      <c r="CH105" s="33"/>
    </row>
    <row r="106" customFormat="false" ht="15" hidden="false" customHeight="false" outlineLevel="0" collapsed="false">
      <c r="A106" s="150" t="str">
        <f aca="false">IFERROR(__xludf.dummyfunction("IMPORTRANGE(A140,""a1"")"),"Team Backhanded Compliments (Tyler)")</f>
        <v>Team Backhanded Compliments (Tyler)</v>
      </c>
      <c r="B106" s="64" t="s">
        <v>195</v>
      </c>
      <c r="C106" s="64"/>
      <c r="D106" s="64"/>
      <c r="E106" s="64"/>
      <c r="F106" s="36" t="s">
        <v>36</v>
      </c>
      <c r="G106" s="87" t="s">
        <v>196</v>
      </c>
      <c r="H106" s="88" t="n">
        <v>1</v>
      </c>
      <c r="I106" s="136" t="n">
        <f aca="false">VLOOKUP(H106,MPOSCORING,2, 0)</f>
        <v>100</v>
      </c>
      <c r="J106" s="39" t="s">
        <v>36</v>
      </c>
      <c r="K106" s="137" t="str">
        <f aca="false">IFERROR(__xludf.dummyfunction("IMPORTRANGE(A140,""o8"")"),"Paul Mcbeth")</f>
        <v>Paul Mcbeth</v>
      </c>
      <c r="L106" s="89" t="n">
        <v>8</v>
      </c>
      <c r="M106" s="136" t="n">
        <f aca="false">VLOOKUP(L106,MPOSCORING,2, 0)</f>
        <v>87</v>
      </c>
      <c r="N106" s="42" t="s">
        <v>36</v>
      </c>
      <c r="O106" s="43" t="str">
        <f aca="false">IFERROR(__xludf.dummyfunction("IMPORTRANGE(A140,""W8"")"),"Paul Mcbeth")</f>
        <v>Paul Mcbeth</v>
      </c>
      <c r="P106" s="38" t="n">
        <v>9</v>
      </c>
      <c r="Q106" s="136" t="n">
        <f aca="false">VLOOKUP(P106,MPOSCORING,2, 0)</f>
        <v>85</v>
      </c>
      <c r="R106" s="34" t="s">
        <v>36</v>
      </c>
      <c r="S106" s="90" t="str">
        <f aca="false">IFERROR(__xludf.dummyfunction("IMPORTRANGE(A140,""AE8"")"),"Paul Mcbeth")</f>
        <v>Paul Mcbeth</v>
      </c>
      <c r="T106" s="47" t="n">
        <v>2</v>
      </c>
      <c r="U106" s="138" t="n">
        <f aca="false">VLOOKUP(T106,MPOSCORING,2, 0)</f>
        <v>98</v>
      </c>
      <c r="V106" s="48" t="s">
        <v>36</v>
      </c>
      <c r="W106" s="91" t="str">
        <f aca="false">IFERROR(__xludf.dummyfunction("IMPORTRANGE(A140,""Am8"")"),"Paul Mcbeth")</f>
        <v>Paul Mcbeth</v>
      </c>
      <c r="X106" s="92" t="n">
        <v>51</v>
      </c>
      <c r="Y106" s="129" t="n">
        <f aca="false">VLOOKUP(X106,MPOSCORING,2, 0)</f>
        <v>9</v>
      </c>
      <c r="Z106" s="51"/>
      <c r="AA106" s="52" t="s">
        <v>36</v>
      </c>
      <c r="AB106" s="93" t="str">
        <f aca="false">IFERROR(__xludf.dummyfunction("IMPORTRANGE(A140,""Au8"")"),"Paul Mcbeth")</f>
        <v>Paul Mcbeth</v>
      </c>
      <c r="AC106" s="94" t="n">
        <v>19</v>
      </c>
      <c r="AD106" s="130" t="n">
        <f aca="false">VLOOKUP(AC106,MPOSCORING,2, 0)</f>
        <v>67</v>
      </c>
      <c r="AE106" s="51"/>
      <c r="AF106" s="55" t="s">
        <v>36</v>
      </c>
      <c r="AG106" s="95" t="str">
        <f aca="false">IFERROR(__xludf.dummyfunction("IMPORTRANGE(A140,""bc8"")"),"Paul Mcbeth")</f>
        <v>Paul Mcbeth</v>
      </c>
      <c r="AH106" s="96" t="n">
        <v>5</v>
      </c>
      <c r="AI106" s="131" t="n">
        <f aca="false">VLOOKUP(AH106,MPOSCORING,2, 0)</f>
        <v>93</v>
      </c>
      <c r="AJ106" s="51"/>
      <c r="AK106" s="58" t="s">
        <v>36</v>
      </c>
      <c r="AL106" s="97" t="str">
        <f aca="false">IFERROR(__xludf.dummyfunction("IMPORTRANGE(A140,""bk8"")"),"Paul Mcbeth")</f>
        <v>Paul Mcbeth</v>
      </c>
      <c r="AM106" s="98" t="n">
        <v>9</v>
      </c>
      <c r="AN106" s="132" t="n">
        <f aca="false">VLOOKUP(AM106,MPOSCORING,2, 0)</f>
        <v>85</v>
      </c>
      <c r="AO106" s="51"/>
      <c r="AP106" s="61" t="s">
        <v>37</v>
      </c>
      <c r="AQ106" s="99" t="str">
        <f aca="false">IFERROR(__xludf.dummyfunction("IMPORTRANGE(A140,""bs8"")"),"")</f>
        <v/>
      </c>
      <c r="AR106" s="100" t="s">
        <v>31</v>
      </c>
      <c r="AS106" s="133" t="n">
        <f aca="false">VLOOKUP(AR106,MPOSCORING,2, 0)</f>
        <v>0</v>
      </c>
      <c r="AT106" s="51"/>
      <c r="AU106" s="64" t="s">
        <v>36</v>
      </c>
      <c r="AV106" s="101" t="str">
        <f aca="false">IFERROR(__xludf.dummyfunction("IMPORTRANGE(A140,""ca8"")"),"Paul Mcbeth")</f>
        <v>Paul Mcbeth</v>
      </c>
      <c r="AW106" s="102" t="n">
        <v>6</v>
      </c>
      <c r="AX106" s="134" t="n">
        <f aca="false">VLOOKUP(AW106,MPOSCORING,2, 0)</f>
        <v>91</v>
      </c>
      <c r="AY106" s="32"/>
      <c r="AZ106" s="36" t="s">
        <v>36</v>
      </c>
      <c r="BA106" s="87" t="str">
        <f aca="false">IFERROR(__xludf.dummyfunction("IMPORTRANGE(A140,""ci8"")"),"Paul Mcbeth")</f>
        <v>Paul Mcbeth</v>
      </c>
      <c r="BB106" s="88" t="n">
        <v>7</v>
      </c>
      <c r="BC106" s="135" t="n">
        <f aca="false">VLOOKUP(BB106,MPOSCORING,2, 0)</f>
        <v>89</v>
      </c>
      <c r="BD106" s="32"/>
      <c r="BE106" s="42" t="s">
        <v>36</v>
      </c>
      <c r="BF106" s="103" t="str">
        <f aca="false">IFERROR(__xludf.dummyfunction("IMPORTRANGE(A140,""cq8"")"),"Paul Mcbeth")</f>
        <v>Paul Mcbeth</v>
      </c>
      <c r="BG106" s="38" t="n">
        <v>2</v>
      </c>
      <c r="BH106" s="136" t="n">
        <f aca="false">VLOOKUP(BG106,MPOSCORING,2, 0)</f>
        <v>98</v>
      </c>
      <c r="BI106" s="32"/>
      <c r="BJ106" s="64" t="s">
        <v>36</v>
      </c>
      <c r="BK106" s="101" t="str">
        <f aca="false">IFERROR(__xludf.dummyfunction("IMPORTRANGE(A140,""cy8"")"),"Paul Mcbeth")</f>
        <v>Paul Mcbeth</v>
      </c>
      <c r="BL106" s="102" t="n">
        <v>16</v>
      </c>
      <c r="BM106" s="134" t="n">
        <f aca="false">VLOOKUP(BL106,MPOSCORING,2, 0)</f>
        <v>73</v>
      </c>
      <c r="BN106" s="32"/>
      <c r="BO106" s="64" t="s">
        <v>36</v>
      </c>
      <c r="BP106" s="101" t="str">
        <f aca="false">IFERROR(__xludf.dummyfunction("IMPORTRANGE(A140,""dg8"")"),"Paul Mcbeth")</f>
        <v>Paul Mcbeth</v>
      </c>
      <c r="BQ106" s="102" t="n">
        <v>1</v>
      </c>
      <c r="BR106" s="134" t="n">
        <f aca="false">VLOOKUP(BQ106,MPOSCORING,3, 0)</f>
        <v>200</v>
      </c>
      <c r="BS106" s="33"/>
      <c r="BT106" s="64" t="s">
        <v>36</v>
      </c>
      <c r="BU106" s="101" t="str">
        <f aca="false">IFERROR(__xludf.dummyfunction("IMPORTRANGE(A140,""do8"")"),"Paul Mcbeth")</f>
        <v>Paul Mcbeth</v>
      </c>
      <c r="BV106" s="102" t="n">
        <v>5</v>
      </c>
      <c r="BW106" s="134" t="n">
        <f aca="false">VLOOKUP(BV106,MPOSCORING,2, 0)</f>
        <v>93</v>
      </c>
      <c r="BX106" s="32"/>
      <c r="BY106" s="64" t="s">
        <v>36</v>
      </c>
      <c r="BZ106" s="101" t="str">
        <f aca="false">IFERROR(__xludf.dummyfunction("IMPORTRANGE(A140,""dw8"")"),"Paul Mcbeth")</f>
        <v>Paul Mcbeth</v>
      </c>
      <c r="CA106" s="102" t="n">
        <v>3</v>
      </c>
      <c r="CB106" s="134" t="n">
        <f aca="false">VLOOKUP(CA106,MPOSCORING,2, 0)</f>
        <v>96</v>
      </c>
      <c r="CC106" s="32"/>
      <c r="CD106" s="64" t="s">
        <v>36</v>
      </c>
      <c r="CE106" s="101"/>
      <c r="CF106" s="102" t="s">
        <v>31</v>
      </c>
      <c r="CG106" s="134" t="n">
        <f aca="false">VLOOKUP(CF106,MPOSCORING,3, 0)</f>
        <v>0</v>
      </c>
      <c r="CH106" s="33"/>
    </row>
    <row r="107" customFormat="false" ht="15" hidden="false" customHeight="false" outlineLevel="0" collapsed="false">
      <c r="A107" s="150" t="str">
        <f aca="false">IFERROR(__xludf.dummyfunction("IMPORTRANGE(A140,""a1"")"),"Team Backhanded Compliments (Tyler)")</f>
        <v>Team Backhanded Compliments (Tyler)</v>
      </c>
      <c r="B107" s="64" t="s">
        <v>197</v>
      </c>
      <c r="C107" s="64"/>
      <c r="D107" s="64"/>
      <c r="E107" s="64"/>
      <c r="F107" s="36" t="s">
        <v>39</v>
      </c>
      <c r="G107" s="139" t="s">
        <v>198</v>
      </c>
      <c r="H107" s="88" t="n">
        <v>5</v>
      </c>
      <c r="I107" s="136" t="n">
        <f aca="false">VLOOKUP(H107,MPOSCORING,2, 0)</f>
        <v>93</v>
      </c>
      <c r="J107" s="39" t="s">
        <v>39</v>
      </c>
      <c r="K107" s="105" t="str">
        <f aca="false">IFERROR(__xludf.dummyfunction("IMPORTRANGE(A140,""o9"")"),"Cale Leiviska")</f>
        <v>Cale Leiviska</v>
      </c>
      <c r="L107" s="41" t="n">
        <v>25</v>
      </c>
      <c r="M107" s="136" t="n">
        <f aca="false">VLOOKUP(L107,MPOSCORING,2, 0)</f>
        <v>57</v>
      </c>
      <c r="N107" s="42" t="s">
        <v>39</v>
      </c>
      <c r="O107" s="43" t="str">
        <f aca="false">IFERROR(__xludf.dummyfunction("IMPORTRANGE(A140,""w9"")"),"Cale Leiviska")</f>
        <v>Cale Leiviska</v>
      </c>
      <c r="P107" s="44" t="n">
        <v>19</v>
      </c>
      <c r="Q107" s="136" t="n">
        <f aca="false">VLOOKUP(P107,MPOSCORING,2, 0)</f>
        <v>67</v>
      </c>
      <c r="R107" s="34" t="s">
        <v>39</v>
      </c>
      <c r="S107" s="106" t="str">
        <f aca="false">IFERROR(__xludf.dummyfunction("IMPORTRANGE(A140,""AE9"")"),"Anthony Barela")</f>
        <v>Anthony Barela</v>
      </c>
      <c r="T107" s="46" t="n">
        <v>20</v>
      </c>
      <c r="U107" s="138" t="n">
        <f aca="false">VLOOKUP(T107,MPOSCORING,2, 0)</f>
        <v>66</v>
      </c>
      <c r="V107" s="48" t="s">
        <v>39</v>
      </c>
      <c r="W107" s="107" t="str">
        <f aca="false">IFERROR(__xludf.dummyfunction("IMPORTRANGE(A140,""Am9"")"),"Anthony Barela")</f>
        <v>Anthony Barela</v>
      </c>
      <c r="X107" s="50" t="n">
        <v>24</v>
      </c>
      <c r="Y107" s="129" t="n">
        <f aca="false">VLOOKUP(X107,MPOSCORING,2, 0)</f>
        <v>58</v>
      </c>
      <c r="Z107" s="51"/>
      <c r="AA107" s="52" t="s">
        <v>39</v>
      </c>
      <c r="AB107" s="108" t="str">
        <f aca="false">IFERROR(__xludf.dummyfunction("IMPORTRANGE(A140,""Au9"")"),"Anthony Barela")</f>
        <v>Anthony Barela</v>
      </c>
      <c r="AC107" s="54" t="n">
        <v>4</v>
      </c>
      <c r="AD107" s="130" t="n">
        <f aca="false">VLOOKUP(AC107,MPOSCORING,2, 0)</f>
        <v>94</v>
      </c>
      <c r="AE107" s="51"/>
      <c r="AF107" s="55" t="s">
        <v>39</v>
      </c>
      <c r="AG107" s="109" t="str">
        <f aca="false">IFERROR(__xludf.dummyfunction("IMPORTRANGE(A140,""bc9"")"),"Anthony Barela")</f>
        <v>Anthony Barela</v>
      </c>
      <c r="AH107" s="57" t="n">
        <v>29</v>
      </c>
      <c r="AI107" s="131" t="n">
        <f aca="false">VLOOKUP(AH107,MPOSCORING,2, 0)</f>
        <v>49</v>
      </c>
      <c r="AJ107" s="51"/>
      <c r="AK107" s="58" t="s">
        <v>39</v>
      </c>
      <c r="AL107" s="110" t="str">
        <f aca="false">IFERROR(__xludf.dummyfunction("IMPORTRANGE(A140,""bk9"")"),"Jordan Castro")</f>
        <v>Jordan Castro</v>
      </c>
      <c r="AM107" s="60" t="n">
        <v>51</v>
      </c>
      <c r="AN107" s="132" t="n">
        <f aca="false">VLOOKUP(AM107,MPOSCORING,2, 0)</f>
        <v>9</v>
      </c>
      <c r="AO107" s="51"/>
      <c r="AP107" s="61" t="s">
        <v>40</v>
      </c>
      <c r="AQ107" s="111" t="str">
        <f aca="false">IFERROR(__xludf.dummyfunction("IMPORTRANGE(A140,""bs9"")"),"")</f>
        <v/>
      </c>
      <c r="AR107" s="63" t="s">
        <v>31</v>
      </c>
      <c r="AS107" s="133" t="n">
        <f aca="false">VLOOKUP(AR107,MPOSCORING,2, 0)</f>
        <v>0</v>
      </c>
      <c r="AT107" s="51"/>
      <c r="AU107" s="64" t="s">
        <v>39</v>
      </c>
      <c r="AV107" s="112" t="str">
        <f aca="false">IFERROR(__xludf.dummyfunction("IMPORTRANGE(A140,""ca9"")"),"Ezra Robinson")</f>
        <v>Ezra Robinson</v>
      </c>
      <c r="AW107" s="66" t="n">
        <v>34</v>
      </c>
      <c r="AX107" s="134" t="n">
        <f aca="false">VLOOKUP(AW107,MPOSCORING,2, 0)</f>
        <v>40</v>
      </c>
      <c r="AY107" s="32"/>
      <c r="AZ107" s="36" t="s">
        <v>39</v>
      </c>
      <c r="BA107" s="139" t="str">
        <f aca="false">IFERROR(__xludf.dummyfunction("IMPORTRANGE(A140,""ci9"")"),"Jordan Castro")</f>
        <v>Jordan Castro</v>
      </c>
      <c r="BB107" s="37" t="n">
        <v>92</v>
      </c>
      <c r="BC107" s="135" t="n">
        <f aca="false">VLOOKUP(BB107,MPOSCORING,2, 0)</f>
        <v>0</v>
      </c>
      <c r="BD107" s="32"/>
      <c r="BE107" s="42" t="s">
        <v>39</v>
      </c>
      <c r="BF107" s="114" t="str">
        <f aca="false">IFERROR(__xludf.dummyfunction("IMPORTRANGE(A140,""cq9"")"),"Ezra Robinson")</f>
        <v>Ezra Robinson</v>
      </c>
      <c r="BG107" s="44" t="n">
        <v>47</v>
      </c>
      <c r="BH107" s="136" t="n">
        <f aca="false">VLOOKUP(BG107,MPOSCORING,2, 0)</f>
        <v>15</v>
      </c>
      <c r="BI107" s="32"/>
      <c r="BJ107" s="64" t="s">
        <v>39</v>
      </c>
      <c r="BK107" s="112" t="str">
        <f aca="false">IFERROR(__xludf.dummyfunction("IMPORTRANGE(A140,""cy9"")"),"Cale Leiviska")</f>
        <v>Cale Leiviska</v>
      </c>
      <c r="BL107" s="66" t="n">
        <v>26</v>
      </c>
      <c r="BM107" s="134" t="n">
        <f aca="false">VLOOKUP(BL107,MPOSCORING,2, 0)</f>
        <v>55</v>
      </c>
      <c r="BN107" s="32"/>
      <c r="BO107" s="64" t="s">
        <v>39</v>
      </c>
      <c r="BP107" s="112" t="str">
        <f aca="false">IFERROR(__xludf.dummyfunction("IMPORTRANGE(A140,""dg9"")"),"Cale Leiviska")</f>
        <v>Cale Leiviska</v>
      </c>
      <c r="BQ107" s="66" t="n">
        <v>46</v>
      </c>
      <c r="BR107" s="134" t="n">
        <f aca="false">VLOOKUP(BQ107,MPOSCORING,3, 0)</f>
        <v>34</v>
      </c>
      <c r="BS107" s="33"/>
      <c r="BT107" s="64" t="s">
        <v>39</v>
      </c>
      <c r="BU107" s="112" t="str">
        <f aca="false">IFERROR(__xludf.dummyfunction("IMPORTRANGE(A140,""do9"")"),"Cale Leiviska")</f>
        <v>Cale Leiviska</v>
      </c>
      <c r="BV107" s="66" t="s">
        <v>31</v>
      </c>
      <c r="BW107" s="134" t="n">
        <f aca="false">VLOOKUP(BV107,MPOSCORING,2, 0)</f>
        <v>0</v>
      </c>
      <c r="BX107" s="32"/>
      <c r="BY107" s="64" t="s">
        <v>39</v>
      </c>
      <c r="BZ107" s="112" t="str">
        <f aca="false">IFERROR(__xludf.dummyfunction("IMPORTRANGE(A140,""dw9"")"),"Chandler Kramer")</f>
        <v>Chandler Kramer</v>
      </c>
      <c r="CA107" s="66" t="n">
        <v>48</v>
      </c>
      <c r="CB107" s="134" t="n">
        <f aca="false">VLOOKUP(CA107,MPOSCORING,2, 0)</f>
        <v>13</v>
      </c>
      <c r="CC107" s="32"/>
      <c r="CD107" s="64" t="s">
        <v>39</v>
      </c>
      <c r="CE107" s="112"/>
      <c r="CF107" s="66" t="s">
        <v>31</v>
      </c>
      <c r="CG107" s="134" t="n">
        <f aca="false">VLOOKUP(CF107,MPOSCORING,3, 0)</f>
        <v>0</v>
      </c>
      <c r="CH107" s="33"/>
    </row>
    <row r="108" customFormat="false" ht="15" hidden="false" customHeight="false" outlineLevel="0" collapsed="false">
      <c r="A108" s="150" t="str">
        <f aca="false">IFERROR(__xludf.dummyfunction("IMPORTRANGE(A140,""a1"")"),"Team Backhanded Compliments (Tyler)")</f>
        <v>Team Backhanded Compliments (Tyler)</v>
      </c>
      <c r="B108" s="64" t="s">
        <v>199</v>
      </c>
      <c r="C108" s="64"/>
      <c r="D108" s="64"/>
      <c r="E108" s="64"/>
      <c r="F108" s="36" t="s">
        <v>42</v>
      </c>
      <c r="G108" s="139" t="s">
        <v>200</v>
      </c>
      <c r="H108" s="88" t="n">
        <v>5</v>
      </c>
      <c r="I108" s="136" t="n">
        <f aca="false">VLOOKUP(H108,MPOSCORING,2, 0)</f>
        <v>93</v>
      </c>
      <c r="J108" s="39" t="s">
        <v>42</v>
      </c>
      <c r="K108" s="105" t="str">
        <f aca="false">IFERROR(__xludf.dummyfunction("IMPORTRANGE(A140,""o10"")"),"Aaron Gossage")</f>
        <v>Aaron Gossage</v>
      </c>
      <c r="L108" s="41" t="n">
        <v>50</v>
      </c>
      <c r="M108" s="136" t="n">
        <f aca="false">VLOOKUP(L108,MPOSCORING,2, 0)</f>
        <v>11</v>
      </c>
      <c r="N108" s="42" t="s">
        <v>42</v>
      </c>
      <c r="O108" s="43" t="str">
        <f aca="false">IFERROR(__xludf.dummyfunction("IMPORTRANGE(A140,""w10"")"),"Aaron Gossage")</f>
        <v>Aaron Gossage</v>
      </c>
      <c r="P108" s="44" t="n">
        <v>38</v>
      </c>
      <c r="Q108" s="136" t="n">
        <f aca="false">VLOOKUP(P108,MPOSCORING,2, 0)</f>
        <v>32</v>
      </c>
      <c r="R108" s="34" t="s">
        <v>42</v>
      </c>
      <c r="S108" s="106" t="str">
        <f aca="false">IFERROR(__xludf.dummyfunction("IMPORTRANGE(A140,""AE10"")"),"Aaron Gossage")</f>
        <v>Aaron Gossage</v>
      </c>
      <c r="T108" s="46" t="n">
        <v>43</v>
      </c>
      <c r="U108" s="138" t="n">
        <f aca="false">VLOOKUP(T108,MPOSCORING,2, 0)</f>
        <v>23</v>
      </c>
      <c r="V108" s="48" t="s">
        <v>42</v>
      </c>
      <c r="W108" s="107" t="str">
        <f aca="false">IFERROR(__xludf.dummyfunction("IMPORTRANGE(A140,""Am10"")"),"Aaron Gossage")</f>
        <v>Aaron Gossage</v>
      </c>
      <c r="X108" s="50" t="n">
        <v>3</v>
      </c>
      <c r="Y108" s="129" t="n">
        <f aca="false">VLOOKUP(X108,MPOSCORING,2, 0)</f>
        <v>96</v>
      </c>
      <c r="Z108" s="51"/>
      <c r="AA108" s="52" t="s">
        <v>42</v>
      </c>
      <c r="AB108" s="108" t="str">
        <f aca="false">IFERROR(__xludf.dummyfunction("IMPORTRANGE(A140,""Au10"")"),"Aaron Gossage")</f>
        <v>Aaron Gossage</v>
      </c>
      <c r="AC108" s="54" t="n">
        <v>3</v>
      </c>
      <c r="AD108" s="130" t="n">
        <f aca="false">VLOOKUP(AC108,MPOSCORING,2, 0)</f>
        <v>96</v>
      </c>
      <c r="AE108" s="51"/>
      <c r="AF108" s="55" t="s">
        <v>42</v>
      </c>
      <c r="AG108" s="109" t="str">
        <f aca="false">IFERROR(__xludf.dummyfunction("IMPORTRANGE(A140,""BC10"")"),"Aaron Gossage")</f>
        <v>Aaron Gossage</v>
      </c>
      <c r="AH108" s="57" t="n">
        <v>12</v>
      </c>
      <c r="AI108" s="131" t="n">
        <f aca="false">VLOOKUP(AH108,MPOSCORING,2, 0)</f>
        <v>80</v>
      </c>
      <c r="AJ108" s="51"/>
      <c r="AK108" s="58" t="s">
        <v>42</v>
      </c>
      <c r="AL108" s="110" t="str">
        <f aca="false">IFERROR(__xludf.dummyfunction("IMPORTRANGE(A140,""Bk10"")"),"Aaron Gossage")</f>
        <v>Aaron Gossage</v>
      </c>
      <c r="AM108" s="60" t="n">
        <v>16</v>
      </c>
      <c r="AN108" s="132" t="n">
        <f aca="false">VLOOKUP(AM108,MPOSCORING,2, 0)</f>
        <v>73</v>
      </c>
      <c r="AO108" s="51"/>
      <c r="AP108" s="61" t="s">
        <v>43</v>
      </c>
      <c r="AQ108" s="111" t="str">
        <f aca="false">IFERROR(__xludf.dummyfunction("IMPORTRANGE(A140,""Bs10"")"),"")</f>
        <v/>
      </c>
      <c r="AR108" s="63" t="s">
        <v>31</v>
      </c>
      <c r="AS108" s="133" t="n">
        <f aca="false">VLOOKUP(AR108,MPOSCORING,2, 0)</f>
        <v>0</v>
      </c>
      <c r="AT108" s="51"/>
      <c r="AU108" s="64" t="s">
        <v>42</v>
      </c>
      <c r="AV108" s="112" t="str">
        <f aca="false">IFERROR(__xludf.dummyfunction("IMPORTRANGE(A140,""ca10"")"),"Aaron Gossage")</f>
        <v>Aaron Gossage</v>
      </c>
      <c r="AW108" s="66" t="n">
        <v>87</v>
      </c>
      <c r="AX108" s="134" t="n">
        <f aca="false">VLOOKUP(AW108,MPOSCORING,2, 0)</f>
        <v>0</v>
      </c>
      <c r="AY108" s="32"/>
      <c r="AZ108" s="36" t="s">
        <v>42</v>
      </c>
      <c r="BA108" s="139" t="str">
        <f aca="false">IFERROR(__xludf.dummyfunction("IMPORTRANGE(A140,""ci10"")"),"Aaron Gossage")</f>
        <v>Aaron Gossage</v>
      </c>
      <c r="BB108" s="37" t="n">
        <v>38</v>
      </c>
      <c r="BC108" s="135" t="n">
        <f aca="false">VLOOKUP(BB108,MPOSCORING,2, 0)</f>
        <v>32</v>
      </c>
      <c r="BD108" s="32"/>
      <c r="BE108" s="42" t="s">
        <v>42</v>
      </c>
      <c r="BF108" s="114" t="str">
        <f aca="false">IFERROR(__xludf.dummyfunction("IMPORTRANGE(A140,""cq10"")"),"Aaron Gossage")</f>
        <v>Aaron Gossage</v>
      </c>
      <c r="BG108" s="44" t="n">
        <v>32</v>
      </c>
      <c r="BH108" s="136" t="n">
        <f aca="false">VLOOKUP(BG108,MPOSCORING,2, 0)</f>
        <v>44</v>
      </c>
      <c r="BI108" s="32"/>
      <c r="BJ108" s="64" t="s">
        <v>42</v>
      </c>
      <c r="BK108" s="112" t="str">
        <f aca="false">IFERROR(__xludf.dummyfunction("IMPORTRANGE(A140,""cy10"")"),"Aaron Gossage")</f>
        <v>Aaron Gossage</v>
      </c>
      <c r="BL108" s="66" t="n">
        <v>64</v>
      </c>
      <c r="BM108" s="134" t="n">
        <f aca="false">VLOOKUP(BL108,MPOSCORING,2, 0)</f>
        <v>0</v>
      </c>
      <c r="BN108" s="32"/>
      <c r="BO108" s="64" t="s">
        <v>42</v>
      </c>
      <c r="BP108" s="112" t="str">
        <f aca="false">IFERROR(__xludf.dummyfunction("IMPORTRANGE(A140,""dg10"")"),"Aaron Gossage")</f>
        <v>Aaron Gossage</v>
      </c>
      <c r="BQ108" s="66" t="n">
        <v>2</v>
      </c>
      <c r="BR108" s="134" t="n">
        <f aca="false">VLOOKUP(BQ108,MPOSCORING,3, 0)</f>
        <v>196</v>
      </c>
      <c r="BS108" s="33"/>
      <c r="BT108" s="64" t="s">
        <v>42</v>
      </c>
      <c r="BU108" s="112" t="str">
        <f aca="false">IFERROR(__xludf.dummyfunction("IMPORTRANGE(A140,""do10"")"),"Aaron Gossage")</f>
        <v>Aaron Gossage</v>
      </c>
      <c r="BV108" s="66" t="n">
        <v>28</v>
      </c>
      <c r="BW108" s="134" t="n">
        <f aca="false">VLOOKUP(BV108,MPOSCORING,2, 0)</f>
        <v>51</v>
      </c>
      <c r="BX108" s="32"/>
      <c r="BY108" s="64" t="s">
        <v>42</v>
      </c>
      <c r="BZ108" s="112" t="str">
        <f aca="false">IFERROR(__xludf.dummyfunction("IMPORTRANGE(A140,""dw10"") "),"Aaron Gossage")</f>
        <v>Aaron Gossage</v>
      </c>
      <c r="CA108" s="66" t="n">
        <v>42</v>
      </c>
      <c r="CB108" s="134" t="n">
        <f aca="false">VLOOKUP(CA108,MPOSCORING,2, 0)</f>
        <v>25</v>
      </c>
      <c r="CC108" s="32"/>
      <c r="CD108" s="64" t="s">
        <v>42</v>
      </c>
      <c r="CE108" s="112"/>
      <c r="CF108" s="66" t="s">
        <v>31</v>
      </c>
      <c r="CG108" s="134" t="n">
        <f aca="false">VLOOKUP(CF108,MPOSCORING,3, 0)</f>
        <v>0</v>
      </c>
      <c r="CH108" s="33"/>
    </row>
    <row r="109" customFormat="false" ht="15" hidden="false" customHeight="false" outlineLevel="0" collapsed="false">
      <c r="A109" s="150" t="str">
        <f aca="false">IFERROR(__xludf.dummyfunction("IMPORTRANGE(A140,""a1"")"),"Team Backhanded Compliments (Tyler)")</f>
        <v>Team Backhanded Compliments (Tyler)</v>
      </c>
      <c r="B109" s="64" t="s">
        <v>201</v>
      </c>
      <c r="C109" s="64"/>
      <c r="D109" s="64"/>
      <c r="E109" s="64"/>
      <c r="F109" s="36" t="s">
        <v>45</v>
      </c>
      <c r="G109" s="139" t="s">
        <v>202</v>
      </c>
      <c r="H109" s="88" t="n">
        <v>60</v>
      </c>
      <c r="I109" s="136" t="n">
        <f aca="false">VLOOKUP(H109,MPOSCORING,2, 0)</f>
        <v>0</v>
      </c>
      <c r="J109" s="39" t="s">
        <v>45</v>
      </c>
      <c r="K109" s="105" t="str">
        <f aca="false">IFERROR(__xludf.dummyfunction("IMPORTRANGE(A140,""o11"")"),"Ben Callaway")</f>
        <v>Ben Callaway</v>
      </c>
      <c r="L109" s="41" t="n">
        <v>66</v>
      </c>
      <c r="M109" s="136" t="n">
        <f aca="false">VLOOKUP(L109,MPOSCORING,2, 0)</f>
        <v>0</v>
      </c>
      <c r="N109" s="42" t="s">
        <v>45</v>
      </c>
      <c r="O109" s="43" t="str">
        <f aca="false">IFERROR(__xludf.dummyfunction("IMPORTRANGE(A140,""W11"")"),"Issac Robinson")</f>
        <v>Issac Robinson</v>
      </c>
      <c r="P109" s="44" t="n">
        <v>19</v>
      </c>
      <c r="Q109" s="136" t="n">
        <f aca="false">VLOOKUP(P109,MPOSCORING,2, 0)</f>
        <v>67</v>
      </c>
      <c r="R109" s="34" t="s">
        <v>45</v>
      </c>
      <c r="S109" s="106" t="str">
        <f aca="false">IFERROR(__xludf.dummyfunction("IMPORTRANGE(A140,""AE11"")"),"Niklas Anttila 👍🏻")</f>
        <v>Niklas Anttila 👍🏻</v>
      </c>
      <c r="T109" s="46" t="n">
        <v>92</v>
      </c>
      <c r="U109" s="138" t="n">
        <f aca="false">VLOOKUP(T109,MPOSCORING,2, 0)</f>
        <v>0</v>
      </c>
      <c r="V109" s="48" t="s">
        <v>45</v>
      </c>
      <c r="W109" s="107" t="str">
        <f aca="false">IFERROR(__xludf.dummyfunction("IMPORTRANGE(A140,""Am11"")"),"Niklas Anttila 👍🏻")</f>
        <v>Niklas Anttila 👍🏻</v>
      </c>
      <c r="X109" s="50" t="n">
        <v>49</v>
      </c>
      <c r="Y109" s="129" t="n">
        <f aca="false">VLOOKUP(X109,MPOSCORING,2, 0)</f>
        <v>12</v>
      </c>
      <c r="Z109" s="51"/>
      <c r="AA109" s="52" t="s">
        <v>45</v>
      </c>
      <c r="AB109" s="108" t="str">
        <f aca="false">IFERROR(__xludf.dummyfunction("IMPORTRANGE(A140,""Au11"")"),"Jordan Castro")</f>
        <v>Jordan Castro</v>
      </c>
      <c r="AC109" s="54" t="n">
        <v>49</v>
      </c>
      <c r="AD109" s="130" t="n">
        <f aca="false">VLOOKUP(AC109,MPOSCORING,2, 0)</f>
        <v>12</v>
      </c>
      <c r="AE109" s="51"/>
      <c r="AF109" s="55" t="s">
        <v>45</v>
      </c>
      <c r="AG109" s="109" t="str">
        <f aca="false">IFERROR(__xludf.dummyfunction("IMPORTRANGE(A140,""bc11"")"),"Chris Nelson")</f>
        <v>Chris Nelson</v>
      </c>
      <c r="AH109" s="57" t="n">
        <v>32</v>
      </c>
      <c r="AI109" s="131" t="n">
        <f aca="false">VLOOKUP(AH109,MPOSCORING,2, 0)</f>
        <v>44</v>
      </c>
      <c r="AJ109" s="51"/>
      <c r="AK109" s="58" t="s">
        <v>45</v>
      </c>
      <c r="AL109" s="110" t="str">
        <f aca="false">IFERROR(__xludf.dummyfunction("IMPORTRANGE(A140,""bk11"")"),"Cale Leiviska")</f>
        <v>Cale Leiviska</v>
      </c>
      <c r="AM109" s="60" t="n">
        <v>35</v>
      </c>
      <c r="AN109" s="132" t="n">
        <f aca="false">VLOOKUP(AM109,MPOSCORING,2, 0)</f>
        <v>38</v>
      </c>
      <c r="AO109" s="51"/>
      <c r="AP109" s="61" t="s">
        <v>46</v>
      </c>
      <c r="AQ109" s="111" t="str">
        <f aca="false">IFERROR(__xludf.dummyfunction("IMPORTRANGE(A140,""bs11"")"),"")</f>
        <v/>
      </c>
      <c r="AR109" s="63" t="s">
        <v>31</v>
      </c>
      <c r="AS109" s="133" t="n">
        <f aca="false">VLOOKUP(AR109,MPOSCORING,2, 0)</f>
        <v>0</v>
      </c>
      <c r="AT109" s="51"/>
      <c r="AU109" s="64" t="s">
        <v>45</v>
      </c>
      <c r="AV109" s="112" t="str">
        <f aca="false">IFERROR(__xludf.dummyfunction("IMPORTRANGE(A140,""ca11"")"),"Anthony Barela")</f>
        <v>Anthony Barela</v>
      </c>
      <c r="AW109" s="66" t="s">
        <v>30</v>
      </c>
      <c r="AX109" s="134" t="n">
        <f aca="false">VLOOKUP(AW109,MPOSCORING,2, 0)</f>
        <v>0</v>
      </c>
      <c r="AY109" s="32"/>
      <c r="AZ109" s="36" t="s">
        <v>45</v>
      </c>
      <c r="BA109" s="139" t="str">
        <f aca="false">IFERROR(__xludf.dummyfunction("IMPORTRANGE(A140,""ci11"")"),"Anthony Barela")</f>
        <v>Anthony Barela</v>
      </c>
      <c r="BB109" s="37" t="n">
        <v>48</v>
      </c>
      <c r="BC109" s="135" t="n">
        <f aca="false">VLOOKUP(BB109,MPOSCORING,2, 0)</f>
        <v>13</v>
      </c>
      <c r="BD109" s="32"/>
      <c r="BE109" s="42" t="s">
        <v>45</v>
      </c>
      <c r="BF109" s="114" t="str">
        <f aca="false">IFERROR(__xludf.dummyfunction("IMPORTRANGE(A140,""cq11"")"),"Anthony Barela")</f>
        <v>Anthony Barela</v>
      </c>
      <c r="BG109" s="44" t="n">
        <v>4</v>
      </c>
      <c r="BH109" s="136" t="n">
        <f aca="false">VLOOKUP(BG109,MPOSCORING,2, 0)</f>
        <v>94</v>
      </c>
      <c r="BI109" s="32"/>
      <c r="BJ109" s="64" t="s">
        <v>45</v>
      </c>
      <c r="BK109" s="112" t="str">
        <f aca="false">IFERROR(__xludf.dummyfunction("IMPORTRANGE(A140,""cy11"")"),"Anthony Barela")</f>
        <v>Anthony Barela</v>
      </c>
      <c r="BL109" s="66" t="n">
        <v>12</v>
      </c>
      <c r="BM109" s="134" t="n">
        <f aca="false">VLOOKUP(BL109,MPOSCORING,2, 0)</f>
        <v>80</v>
      </c>
      <c r="BN109" s="32"/>
      <c r="BO109" s="64" t="s">
        <v>45</v>
      </c>
      <c r="BP109" s="112" t="str">
        <f aca="false">IFERROR(__xludf.dummyfunction("IMPORTRANGE(A140,""dg11"")"),"Anthony Barela")</f>
        <v>Anthony Barela</v>
      </c>
      <c r="BQ109" s="66" t="n">
        <v>7</v>
      </c>
      <c r="BR109" s="134" t="n">
        <f aca="false">VLOOKUP(BQ109,MPOSCORING,3, 0)</f>
        <v>178</v>
      </c>
      <c r="BS109" s="33"/>
      <c r="BT109" s="64" t="s">
        <v>45</v>
      </c>
      <c r="BU109" s="112" t="str">
        <f aca="false">IFERROR(__xludf.dummyfunction("IMPORTRANGE(A140,""do11"")"),"Anthony Barela")</f>
        <v>Anthony Barela</v>
      </c>
      <c r="BV109" s="66" t="n">
        <v>28</v>
      </c>
      <c r="BW109" s="134" t="n">
        <f aca="false">VLOOKUP(BV109,MPOSCORING,2, 0)</f>
        <v>51</v>
      </c>
      <c r="BX109" s="32"/>
      <c r="BY109" s="64" t="s">
        <v>45</v>
      </c>
      <c r="BZ109" s="112" t="str">
        <f aca="false">IFERROR(__xludf.dummyfunction("IMPORTRANGE(A140,""dw11"")"),"Anthony Barela")</f>
        <v>Anthony Barela</v>
      </c>
      <c r="CA109" s="66" t="n">
        <v>30</v>
      </c>
      <c r="CB109" s="134" t="n">
        <f aca="false">VLOOKUP(CA109,MPOSCORING,2, 0)</f>
        <v>48</v>
      </c>
      <c r="CC109" s="32"/>
      <c r="CD109" s="64" t="s">
        <v>45</v>
      </c>
      <c r="CE109" s="112"/>
      <c r="CF109" s="66" t="s">
        <v>31</v>
      </c>
      <c r="CG109" s="134" t="n">
        <f aca="false">VLOOKUP(CF109,MPOSCORING,3, 0)</f>
        <v>0</v>
      </c>
      <c r="CH109" s="33"/>
    </row>
    <row r="110" customFormat="false" ht="15" hidden="false" customHeight="false" outlineLevel="0" collapsed="false">
      <c r="A110" s="150" t="str">
        <f aca="false">IFERROR(__xludf.dummyfunction("IMPORTRANGE(A140,""a1"")"),"Team Backhanded Compliments (Tyler)")</f>
        <v>Team Backhanded Compliments (Tyler)</v>
      </c>
      <c r="B110" s="64" t="s">
        <v>203</v>
      </c>
      <c r="C110" s="64"/>
      <c r="D110" s="64"/>
      <c r="E110" s="64"/>
      <c r="F110" s="36" t="s">
        <v>48</v>
      </c>
      <c r="G110" s="139" t="s">
        <v>203</v>
      </c>
      <c r="H110" s="88" t="n">
        <v>6</v>
      </c>
      <c r="I110" s="136" t="n">
        <f aca="false">VLOOKUP(H110,FPOSCORING,2, 0)</f>
        <v>76</v>
      </c>
      <c r="J110" s="39" t="s">
        <v>48</v>
      </c>
      <c r="K110" s="105" t="str">
        <f aca="false">IFERROR(__xludf.dummyfunction("IMPORTRANGE(A140,""o12"")"),"Terry Rothlesberger")</f>
        <v>Terry Rothlesberger</v>
      </c>
      <c r="L110" s="41" t="n">
        <v>23</v>
      </c>
      <c r="M110" s="136" t="n">
        <f aca="false">VLOOKUP(L110,MPOSCORING,2, 0)</f>
        <v>60</v>
      </c>
      <c r="N110" s="42" t="s">
        <v>48</v>
      </c>
      <c r="O110" s="43" t="str">
        <f aca="false">IFERROR(__xludf.dummyfunction("IMPORTRANGE(A140,""w12"")"),"Macie Velediaz")</f>
        <v>Macie Velediaz</v>
      </c>
      <c r="P110" s="44" t="n">
        <v>21</v>
      </c>
      <c r="Q110" s="136" t="n">
        <f aca="false">VLOOKUP(P110,FPOSCORING,2, 0)</f>
        <v>9</v>
      </c>
      <c r="R110" s="34" t="s">
        <v>48</v>
      </c>
      <c r="S110" s="106" t="str">
        <f aca="false">IFERROR(__xludf.dummyfunction("IMPORTRANGE(A140,""AE12"")"),"Macie Velediaz")</f>
        <v>Macie Velediaz</v>
      </c>
      <c r="T110" s="46" t="n">
        <v>19</v>
      </c>
      <c r="U110" s="138" t="n">
        <f aca="false">VLOOKUP(T110,FPOSCORING,2, 0)</f>
        <v>15</v>
      </c>
      <c r="V110" s="48" t="s">
        <v>48</v>
      </c>
      <c r="W110" s="107" t="str">
        <f aca="false">IFERROR(__xludf.dummyfunction("IMPORTRANGE(A140,""Am12"")"),"Macie Velediaz")</f>
        <v>Macie Velediaz</v>
      </c>
      <c r="X110" s="50" t="n">
        <v>8</v>
      </c>
      <c r="Y110" s="129" t="n">
        <f aca="false">VLOOKUP(X110,FPOSCORING,2, 0)</f>
        <v>67</v>
      </c>
      <c r="Z110" s="51"/>
      <c r="AA110" s="52" t="s">
        <v>48</v>
      </c>
      <c r="AB110" s="108" t="str">
        <f aca="false">IFERROR(__xludf.dummyfunction("IMPORTRANGE(A140,""Au12"")"),"Cody Kirkland")</f>
        <v>Cody Kirkland</v>
      </c>
      <c r="AC110" s="54" t="n">
        <v>47</v>
      </c>
      <c r="AD110" s="130" t="n">
        <f aca="false">VLOOKUP(AC110,MPOSCORING,2, 0)</f>
        <v>15</v>
      </c>
      <c r="AE110" s="51"/>
      <c r="AF110" s="55" t="s">
        <v>48</v>
      </c>
      <c r="AG110" s="109" t="str">
        <f aca="false">IFERROR(__xludf.dummyfunction("IMPORTRANGE(A140,""bc12"")"),"Ty Love")</f>
        <v>Ty Love</v>
      </c>
      <c r="AH110" s="57" t="n">
        <v>29</v>
      </c>
      <c r="AI110" s="131" t="n">
        <f aca="false">VLOOKUP(AH110,MPOSCORING,2, 0)</f>
        <v>49</v>
      </c>
      <c r="AJ110" s="51"/>
      <c r="AK110" s="58" t="s">
        <v>48</v>
      </c>
      <c r="AL110" s="110" t="str">
        <f aca="false">IFERROR(__xludf.dummyfunction("IMPORTRANGE(A140,""bk12"")"),"Macie Velediaz")</f>
        <v>Macie Velediaz</v>
      </c>
      <c r="AM110" s="60" t="n">
        <v>13</v>
      </c>
      <c r="AN110" s="132" t="n">
        <f aca="false">VLOOKUP(AM110,FPOSCORING,2, 0)</f>
        <v>42</v>
      </c>
      <c r="AO110" s="51"/>
      <c r="AP110" s="61" t="s">
        <v>49</v>
      </c>
      <c r="AQ110" s="111" t="str">
        <f aca="false">IFERROR(__xludf.dummyfunction("IMPORTRANGE(A140,""bs12"")"),"Macie Velediaz")</f>
        <v>Macie Velediaz</v>
      </c>
      <c r="AR110" s="63" t="n">
        <v>27</v>
      </c>
      <c r="AS110" s="133" t="n">
        <f aca="false">VLOOKUP(AR110,MPOSCORING,2, 0)</f>
        <v>53</v>
      </c>
      <c r="AT110" s="51"/>
      <c r="AU110" s="64" t="s">
        <v>48</v>
      </c>
      <c r="AV110" s="112" t="str">
        <f aca="false">IFERROR(__xludf.dummyfunction("IMPORTRANGE(A140,""ca12"")"),"Macie Velediaz")</f>
        <v>Macie Velediaz</v>
      </c>
      <c r="AW110" s="66" t="n">
        <v>6</v>
      </c>
      <c r="AX110" s="134" t="n">
        <f aca="false">VLOOKUP(AW110,FPOSCORING,2, 0)</f>
        <v>76</v>
      </c>
      <c r="AY110" s="32"/>
      <c r="AZ110" s="36" t="s">
        <v>48</v>
      </c>
      <c r="BA110" s="139" t="str">
        <f aca="false">IFERROR(__xludf.dummyfunction("IMPORTRANGE(A140,""ci12"")"),"Macie Velediaz")</f>
        <v>Macie Velediaz</v>
      </c>
      <c r="BB110" s="37" t="n">
        <v>6</v>
      </c>
      <c r="BC110" s="135" t="n">
        <f aca="false">VLOOKUP(BB110,FPOSCORING,2, 0)</f>
        <v>76</v>
      </c>
      <c r="BD110" s="32"/>
      <c r="BE110" s="42" t="s">
        <v>48</v>
      </c>
      <c r="BF110" s="114" t="str">
        <f aca="false">IFERROR(__xludf.dummyfunction("IMPORTRANGE(A140,""cq12"")"),"Macie Velediaz")</f>
        <v>Macie Velediaz</v>
      </c>
      <c r="BG110" s="44" t="n">
        <v>34</v>
      </c>
      <c r="BH110" s="136" t="n">
        <f aca="false">VLOOKUP(BG110,FPOSCORING,2, 0)</f>
        <v>0</v>
      </c>
      <c r="BI110" s="32"/>
      <c r="BJ110" s="64" t="s">
        <v>48</v>
      </c>
      <c r="BK110" s="112" t="str">
        <f aca="false">IFERROR(__xludf.dummyfunction("IMPORTRANGE(A140,""cy12"")"),"Macie Velediaz")</f>
        <v>Macie Velediaz</v>
      </c>
      <c r="BL110" s="66" t="n">
        <v>3</v>
      </c>
      <c r="BM110" s="134" t="n">
        <f aca="false">VLOOKUP(BL110,MPOSCORING,2, 0)</f>
        <v>96</v>
      </c>
      <c r="BN110" s="32"/>
      <c r="BO110" s="64" t="s">
        <v>48</v>
      </c>
      <c r="BP110" s="112" t="str">
        <f aca="false">IFERROR(__xludf.dummyfunction("IMPORTRANGE(A140,""dg12"")"),"Macie Velediaz")</f>
        <v>Macie Velediaz</v>
      </c>
      <c r="BQ110" s="66" t="n">
        <v>17</v>
      </c>
      <c r="BR110" s="134" t="n">
        <f aca="false">VLOOKUP(BQ110,FPOSCORING,3, 0)</f>
        <v>48</v>
      </c>
      <c r="BS110" s="33"/>
      <c r="BT110" s="64" t="s">
        <v>48</v>
      </c>
      <c r="BU110" s="112" t="str">
        <f aca="false">IFERROR(__xludf.dummyfunction("IMPORTRANGE(A140,""do12"")"),"Macie Velediaz")</f>
        <v>Macie Velediaz</v>
      </c>
      <c r="BV110" s="66" t="s">
        <v>31</v>
      </c>
      <c r="BW110" s="134" t="n">
        <f aca="false">VLOOKUP(BV110,MPOSCORING,2, 0)</f>
        <v>0</v>
      </c>
      <c r="BX110" s="32"/>
      <c r="BY110" s="64" t="s">
        <v>48</v>
      </c>
      <c r="BZ110" s="112" t="str">
        <f aca="false">IFERROR(__xludf.dummyfunction("IMPORTRANGE(A140,""dw12"")"),"Macie Velediaz")</f>
        <v>Macie Velediaz</v>
      </c>
      <c r="CA110" s="66" t="n">
        <v>9</v>
      </c>
      <c r="CB110" s="134" t="n">
        <f aca="false">VLOOKUP(CA110,FPOSCORING,2, 0)</f>
        <v>62</v>
      </c>
      <c r="CC110" s="32"/>
      <c r="CD110" s="64" t="s">
        <v>48</v>
      </c>
      <c r="CE110" s="112"/>
      <c r="CF110" s="66" t="s">
        <v>31</v>
      </c>
      <c r="CG110" s="134" t="n">
        <f aca="false">VLOOKUP(CF110,FPOSCORING,3, 0)</f>
        <v>0</v>
      </c>
      <c r="CH110" s="33"/>
    </row>
    <row r="111" customFormat="false" ht="15" hidden="false" customHeight="false" outlineLevel="0" collapsed="false">
      <c r="A111" s="150" t="str">
        <f aca="false">IFERROR(__xludf.dummyfunction("IMPORTRANGE(A140,""a1"")"),"Team Backhanded Compliments (Tyler)")</f>
        <v>Team Backhanded Compliments (Tyler)</v>
      </c>
      <c r="B111" s="64" t="s">
        <v>200</v>
      </c>
      <c r="C111" s="64"/>
      <c r="D111" s="64"/>
      <c r="E111" s="64"/>
      <c r="F111" s="36" t="s">
        <v>40</v>
      </c>
      <c r="G111" s="139" t="s">
        <v>204</v>
      </c>
      <c r="H111" s="88" t="s">
        <v>31</v>
      </c>
      <c r="I111" s="115" t="n">
        <f aca="false">VLOOKUP(H111,MPOSCORING,2, 0)</f>
        <v>0</v>
      </c>
      <c r="J111" s="39" t="s">
        <v>40</v>
      </c>
      <c r="K111" s="105" t="str">
        <f aca="false">IFERROR(__xludf.dummyfunction("IMPORTRANGE(A140,""o13"")"),"Ellen Widboom")</f>
        <v>Ellen Widboom</v>
      </c>
      <c r="L111" s="41" t="s">
        <v>31</v>
      </c>
      <c r="M111" s="115" t="n">
        <f aca="false">VLOOKUP(L111,MPOSCORING,2, 0)</f>
        <v>0</v>
      </c>
      <c r="N111" s="42" t="s">
        <v>40</v>
      </c>
      <c r="O111" s="43" t="str">
        <f aca="false">IFERROR(__xludf.dummyfunction("IMPORTRANGE(A140,""w13"")"),"Stacie Hass")</f>
        <v>Stacie Hass</v>
      </c>
      <c r="P111" s="44" t="n">
        <v>30</v>
      </c>
      <c r="Q111" s="115" t="n">
        <f aca="false">VLOOKUP(P111,FPOSCORING,2, 0)</f>
        <v>0</v>
      </c>
      <c r="R111" s="34" t="s">
        <v>40</v>
      </c>
      <c r="S111" s="106" t="str">
        <f aca="false">IFERROR(__xludf.dummyfunction("IMPORTRANGE(A140,""AE13"")"),"Stacie Hass")</f>
        <v>Stacie Hass</v>
      </c>
      <c r="T111" s="46" t="n">
        <v>23</v>
      </c>
      <c r="U111" s="116" t="n">
        <f aca="false">VLOOKUP(T111,FPOSCORING,2, 0)</f>
        <v>7</v>
      </c>
      <c r="V111" s="48" t="s">
        <v>40</v>
      </c>
      <c r="W111" s="107" t="str">
        <f aca="false">IFERROR(__xludf.dummyfunction("IMPORTRANGE(A140,""Am13"")"),"Stacie Hass")</f>
        <v>Stacie Hass</v>
      </c>
      <c r="X111" s="50" t="s">
        <v>31</v>
      </c>
      <c r="Y111" s="117" t="n">
        <f aca="false">VLOOKUP(X111,MPOSCORING,2, 0)</f>
        <v>0</v>
      </c>
      <c r="Z111" s="51"/>
      <c r="AA111" s="52" t="s">
        <v>40</v>
      </c>
      <c r="AB111" s="108" t="str">
        <f aca="false">IFERROR(__xludf.dummyfunction("IMPORTRANGE(A140,""Au13"")"),"Macie Velediaz")</f>
        <v>Macie Velediaz</v>
      </c>
      <c r="AC111" s="54" t="s">
        <v>31</v>
      </c>
      <c r="AD111" s="130" t="n">
        <f aca="false">VLOOKUP(AC111,MPOSCORING,2, 0)</f>
        <v>0</v>
      </c>
      <c r="AE111" s="51"/>
      <c r="AF111" s="55" t="s">
        <v>40</v>
      </c>
      <c r="AG111" s="109" t="str">
        <f aca="false">IFERROR(__xludf.dummyfunction("IMPORTRANGE(A140,""bc13"")"),"Macie Velediaz")</f>
        <v>Macie Velediaz</v>
      </c>
      <c r="AH111" s="57" t="s">
        <v>31</v>
      </c>
      <c r="AI111" s="118" t="n">
        <f aca="false">VLOOKUP(AH111,FPOSCORING,2, 0)</f>
        <v>0</v>
      </c>
      <c r="AJ111" s="51"/>
      <c r="AK111" s="58" t="s">
        <v>40</v>
      </c>
      <c r="AL111" s="110" t="str">
        <f aca="false">IFERROR(__xludf.dummyfunction("IMPORTRANGE(A140,""bk13"")"),"Anthony Barela")</f>
        <v>Anthony Barela</v>
      </c>
      <c r="AM111" s="60" t="s">
        <v>31</v>
      </c>
      <c r="AN111" s="119" t="n">
        <f aca="false">VLOOKUP(AM111,MPOSCORING,2, 0)</f>
        <v>0</v>
      </c>
      <c r="AO111" s="51"/>
      <c r="AP111" s="61" t="s">
        <v>51</v>
      </c>
      <c r="AQ111" s="111" t="str">
        <f aca="false">IFERROR(__xludf.dummyfunction("IMPORTRANGE(A140,""bs13"")"),"")</f>
        <v/>
      </c>
      <c r="AR111" s="63" t="s">
        <v>31</v>
      </c>
      <c r="AS111" s="61"/>
      <c r="AT111" s="51"/>
      <c r="AU111" s="64" t="s">
        <v>40</v>
      </c>
      <c r="AV111" s="123" t="str">
        <f aca="false">IFERROR(__xludf.dummyfunction("IMPORTRANGE(A140,""ca13"")"),"Cale Leiviska")</f>
        <v>Cale Leiviska</v>
      </c>
      <c r="AW111" s="66" t="s">
        <v>31</v>
      </c>
      <c r="AX111" s="120" t="n">
        <f aca="false">VLOOKUP(AW111,MPOSCORING,2, 0)</f>
        <v>0</v>
      </c>
      <c r="AY111" s="121"/>
      <c r="AZ111" s="36" t="s">
        <v>40</v>
      </c>
      <c r="BA111" s="140" t="str">
        <f aca="false">IFERROR(__xludf.dummyfunction("IMPORTRANGE(A140,""ci13"")"),"Cale Leiviska")</f>
        <v>Cale Leiviska</v>
      </c>
      <c r="BB111" s="37" t="s">
        <v>31</v>
      </c>
      <c r="BC111" s="122" t="n">
        <f aca="false">VLOOKUP(BB111,MPOSCORING,2, 0)</f>
        <v>0</v>
      </c>
      <c r="BD111" s="121"/>
      <c r="BE111" s="42" t="s">
        <v>40</v>
      </c>
      <c r="BF111" s="114" t="str">
        <f aca="false">IFERROR(__xludf.dummyfunction("IMPORTRANGE(A140,""cq13"")"),"Cale Leiviska")</f>
        <v>Cale Leiviska</v>
      </c>
      <c r="BG111" s="44" t="s">
        <v>31</v>
      </c>
      <c r="BH111" s="115" t="n">
        <f aca="false">VLOOKUP(BG111,MPOSCORING,2, 0)</f>
        <v>0</v>
      </c>
      <c r="BI111" s="121"/>
      <c r="BJ111" s="64" t="s">
        <v>40</v>
      </c>
      <c r="BK111" s="123" t="str">
        <f aca="false">IFERROR(__xludf.dummyfunction("IMPORTRANGE(A140,""cy13"")"),"Ezra Robinson")</f>
        <v>Ezra Robinson</v>
      </c>
      <c r="BL111" s="66" t="s">
        <v>31</v>
      </c>
      <c r="BM111" s="120" t="n">
        <f aca="false">VLOOKUP(BL111,MPOSCORING,2, 0)</f>
        <v>0</v>
      </c>
      <c r="BN111" s="121"/>
      <c r="BO111" s="64" t="s">
        <v>40</v>
      </c>
      <c r="BP111" s="123" t="str">
        <f aca="false">IFERROR(__xludf.dummyfunction("IMPORTRANGE(A140,""dg13"")"),"Ezra Robinson")</f>
        <v>Ezra Robinson</v>
      </c>
      <c r="BQ111" s="66" t="s">
        <v>31</v>
      </c>
      <c r="BR111" s="120" t="n">
        <f aca="false">VLOOKUP(BQ111,MPOSCORING,2, 0)*2</f>
        <v>0</v>
      </c>
      <c r="BS111" s="124"/>
      <c r="BT111" s="64" t="s">
        <v>40</v>
      </c>
      <c r="BU111" s="123" t="str">
        <f aca="false">IFERROR(__xludf.dummyfunction("IMPORTRANGE(A140,""do13"")"),"Ezra Robinson")</f>
        <v>Ezra Robinson</v>
      </c>
      <c r="BV111" s="66" t="s">
        <v>31</v>
      </c>
      <c r="BW111" s="120" t="n">
        <f aca="false">VLOOKUP(BV111,MPOSCORING,2, 0)</f>
        <v>0</v>
      </c>
      <c r="BX111" s="121"/>
      <c r="BY111" s="64" t="s">
        <v>40</v>
      </c>
      <c r="BZ111" s="112" t="str">
        <f aca="false">IFERROR(__xludf.dummyfunction("IMPORTRANGE(A140,""dw13"")"),"Ezra Robinson")</f>
        <v>Ezra Robinson</v>
      </c>
      <c r="CA111" s="66" t="s">
        <v>31</v>
      </c>
      <c r="CB111" s="120" t="n">
        <f aca="false">VLOOKUP(CA111,MPOSCORING,2, 0)</f>
        <v>0</v>
      </c>
      <c r="CC111" s="121"/>
      <c r="CD111" s="64" t="s">
        <v>40</v>
      </c>
      <c r="CE111" s="123"/>
      <c r="CF111" s="66" t="s">
        <v>31</v>
      </c>
      <c r="CG111" s="120" t="n">
        <f aca="false">VLOOKUP(CF111,MPOSCORING,3, 0)</f>
        <v>0</v>
      </c>
      <c r="CH111" s="124"/>
    </row>
    <row r="112" customFormat="false" ht="15" hidden="false" customHeight="false" outlineLevel="0" collapsed="false">
      <c r="A112" s="150" t="str">
        <f aca="false">IFERROR(__xludf.dummyfunction("IMPORTRANGE(A140,""a1"")"),"Team Backhanded Compliments (Tyler)")</f>
        <v>Team Backhanded Compliments (Tyler)</v>
      </c>
      <c r="B112" s="64" t="s">
        <v>205</v>
      </c>
      <c r="C112" s="64"/>
      <c r="D112" s="64"/>
      <c r="E112" s="64"/>
      <c r="F112" s="36" t="s">
        <v>43</v>
      </c>
      <c r="G112" s="139" t="s">
        <v>206</v>
      </c>
      <c r="H112" s="37" t="n">
        <v>44</v>
      </c>
      <c r="I112" s="125" t="n">
        <f aca="false">VLOOKUP(H112,MPOSCORING,2, 0)</f>
        <v>21</v>
      </c>
      <c r="J112" s="39" t="s">
        <v>43</v>
      </c>
      <c r="K112" s="105" t="str">
        <f aca="false">IFERROR(__xludf.dummyfunction("IMPORTRANGE(A140,""o14"")"),"Macie Velediaz")</f>
        <v>Macie Velediaz</v>
      </c>
      <c r="L112" s="41" t="s">
        <v>31</v>
      </c>
      <c r="M112" s="125" t="n">
        <f aca="false">VLOOKUP(L112,FPOSCORING,2, 0)</f>
        <v>0</v>
      </c>
      <c r="N112" s="42" t="s">
        <v>43</v>
      </c>
      <c r="O112" s="43" t="str">
        <f aca="false">IFERROR(__xludf.dummyfunction("IMPORTRANGE(A140,""w14"")"),"Anthony Barela")</f>
        <v>Anthony Barela</v>
      </c>
      <c r="P112" s="44" t="s">
        <v>31</v>
      </c>
      <c r="Q112" s="125" t="n">
        <f aca="false">VLOOKUP(P112,FPOSCORING,2, 0)</f>
        <v>0</v>
      </c>
      <c r="R112" s="34" t="s">
        <v>43</v>
      </c>
      <c r="S112" s="106" t="str">
        <f aca="false">IFERROR(__xludf.dummyfunction("IMPORTRANGE(A140,""AE14"")"),"Cale Leiviska")</f>
        <v>Cale Leiviska</v>
      </c>
      <c r="T112" s="46" t="s">
        <v>31</v>
      </c>
      <c r="U112" s="126" t="n">
        <f aca="false">VLOOKUP(T112,FPOSCORING,2, 0)</f>
        <v>0</v>
      </c>
      <c r="V112" s="48" t="s">
        <v>43</v>
      </c>
      <c r="W112" s="107" t="str">
        <f aca="false">IFERROR(__xludf.dummyfunction("IMPORTRANGE(A140,""Am14"")"),"Cale Leiviska")</f>
        <v>Cale Leiviska</v>
      </c>
      <c r="X112" s="50" t="s">
        <v>31</v>
      </c>
      <c r="Y112" s="117" t="n">
        <f aca="false">VLOOKUP(X112,MPOSCORING,2, 0)</f>
        <v>0</v>
      </c>
      <c r="Z112" s="51"/>
      <c r="AA112" s="52" t="s">
        <v>43</v>
      </c>
      <c r="AB112" s="108" t="str">
        <f aca="false">IFERROR(__xludf.dummyfunction("IMPORTRANGE(A140,""Au14"")"),"Cale Leiviska")</f>
        <v>Cale Leiviska</v>
      </c>
      <c r="AC112" s="54" t="s">
        <v>31</v>
      </c>
      <c r="AD112" s="130" t="n">
        <f aca="false">VLOOKUP(AC112,MPOSCORING,2, 0)</f>
        <v>0</v>
      </c>
      <c r="AE112" s="51"/>
      <c r="AF112" s="55" t="s">
        <v>43</v>
      </c>
      <c r="AG112" s="109" t="str">
        <f aca="false">IFERROR(__xludf.dummyfunction("IMPORTRANGE(A140,""bc14"")"),"Cale Leiviska")</f>
        <v>Cale Leiviska</v>
      </c>
      <c r="AH112" s="57" t="s">
        <v>31</v>
      </c>
      <c r="AI112" s="118" t="n">
        <f aca="false">VLOOKUP(AH112,MPOSCORING,2, 0)</f>
        <v>0</v>
      </c>
      <c r="AJ112" s="51"/>
      <c r="AK112" s="58" t="s">
        <v>43</v>
      </c>
      <c r="AL112" s="110" t="str">
        <f aca="false">IFERROR(__xludf.dummyfunction("IMPORTRANGE(A140,""bk14"")"),"Chris Nelson")</f>
        <v>Chris Nelson</v>
      </c>
      <c r="AM112" s="60" t="s">
        <v>31</v>
      </c>
      <c r="AN112" s="119" t="n">
        <f aca="false">VLOOKUP(AM112,FPOSCORING,2, 0)</f>
        <v>0</v>
      </c>
      <c r="AO112" s="51"/>
      <c r="AP112" s="61" t="s">
        <v>53</v>
      </c>
      <c r="AQ112" s="111" t="str">
        <f aca="false">IFERROR(__xludf.dummyfunction("IMPORTRANGE(A140,""bs14"")"),"")</f>
        <v/>
      </c>
      <c r="AR112" s="63" t="s">
        <v>31</v>
      </c>
      <c r="AS112" s="61"/>
      <c r="AT112" s="51"/>
      <c r="AU112" s="64" t="s">
        <v>43</v>
      </c>
      <c r="AV112" s="112" t="str">
        <f aca="false">IFERROR(__xludf.dummyfunction("IMPORTRANGE(A140,""ca14"")"),"Jordan Castro")</f>
        <v>Jordan Castro</v>
      </c>
      <c r="AW112" s="66" t="n">
        <v>70</v>
      </c>
      <c r="AX112" s="120" t="n">
        <f aca="false">VLOOKUP(AW112,MPOSCORING,2, 0)</f>
        <v>0</v>
      </c>
      <c r="AY112" s="121"/>
      <c r="AZ112" s="36" t="s">
        <v>43</v>
      </c>
      <c r="BA112" s="139" t="str">
        <f aca="false">IFERROR(__xludf.dummyfunction("IMPORTRANGE(A140,""ci14"")"),"Ezra Robinson")</f>
        <v>Ezra Robinson</v>
      </c>
      <c r="BB112" s="37" t="s">
        <v>31</v>
      </c>
      <c r="BC112" s="122" t="n">
        <f aca="false">VLOOKUP(BB112,FPOSCORING,2, 0)</f>
        <v>0</v>
      </c>
      <c r="BD112" s="121"/>
      <c r="BE112" s="42" t="s">
        <v>43</v>
      </c>
      <c r="BF112" s="114" t="str">
        <f aca="false">IFERROR(__xludf.dummyfunction("IMPORTRANGE(A140,""cq14"")"),"Jordan Castro ")</f>
        <v>Jordan Castro</v>
      </c>
      <c r="BG112" s="44" t="s">
        <v>31</v>
      </c>
      <c r="BH112" s="115" t="n">
        <f aca="false">VLOOKUP(BG112,FPOSCORING,2, 0)</f>
        <v>0</v>
      </c>
      <c r="BI112" s="121"/>
      <c r="BJ112" s="64" t="s">
        <v>43</v>
      </c>
      <c r="BK112" s="112" t="str">
        <f aca="false">IFERROR(__xludf.dummyfunction("IMPORTRANGE(A140,""cy14"")"),"Jordan Castro ")</f>
        <v>Jordan Castro</v>
      </c>
      <c r="BL112" s="66" t="n">
        <v>57</v>
      </c>
      <c r="BM112" s="120" t="n">
        <f aca="false">VLOOKUP(BL112,MPOSCORING,2, 0)</f>
        <v>0</v>
      </c>
      <c r="BN112" s="121"/>
      <c r="BO112" s="64" t="s">
        <v>43</v>
      </c>
      <c r="BP112" s="112" t="str">
        <f aca="false">IFERROR(__xludf.dummyfunction("IMPORTRANGE(A140,""dg14"")"),"Jordan Castro ")</f>
        <v>Jordan Castro</v>
      </c>
      <c r="BQ112" s="66" t="s">
        <v>31</v>
      </c>
      <c r="BR112" s="120" t="n">
        <f aca="false">VLOOKUP(BQ112,FPOSCORING,2, 0)*2</f>
        <v>0</v>
      </c>
      <c r="BS112" s="124"/>
      <c r="BT112" s="64" t="s">
        <v>43</v>
      </c>
      <c r="BU112" s="112" t="str">
        <f aca="false">IFERROR(__xludf.dummyfunction("IMPORTRANGE(A140,""do14"")"),"Chandler Kramer")</f>
        <v>Chandler Kramer</v>
      </c>
      <c r="BV112" s="66" t="s">
        <v>31</v>
      </c>
      <c r="BW112" s="120" t="n">
        <f aca="false">VLOOKUP(BV112,FPOSCORING,2, 0)</f>
        <v>0</v>
      </c>
      <c r="BX112" s="121"/>
      <c r="BY112" s="64" t="s">
        <v>43</v>
      </c>
      <c r="BZ112" s="112" t="str">
        <f aca="false">IFERROR(__xludf.dummyfunction("IMPORTRANGE(A140,""dw14"")"),"Cale Leiviska")</f>
        <v>Cale Leiviska</v>
      </c>
      <c r="CA112" s="66" t="s">
        <v>31</v>
      </c>
      <c r="CB112" s="120" t="n">
        <f aca="false">VLOOKUP(CA112,FPOSCORING,2, 0)</f>
        <v>0</v>
      </c>
      <c r="CC112" s="121"/>
      <c r="CD112" s="64" t="s">
        <v>43</v>
      </c>
      <c r="CE112" s="112"/>
      <c r="CF112" s="66" t="s">
        <v>31</v>
      </c>
      <c r="CG112" s="120" t="n">
        <f aca="false">VLOOKUP(CF112,FPOSCORING,3, 0)</f>
        <v>0</v>
      </c>
      <c r="CH112" s="124"/>
    </row>
    <row r="113" customFormat="false" ht="15" hidden="false" customHeight="false" outlineLevel="0" collapsed="false">
      <c r="A113" s="150" t="str">
        <f aca="false">IFERROR(__xludf.dummyfunction("IMPORTRANGE(A140,""a1"")"),"Team Backhanded Compliments (Tyler)")</f>
        <v>Team Backhanded Compliments (Tyler)</v>
      </c>
      <c r="B113" s="64" t="s">
        <v>207</v>
      </c>
      <c r="C113" s="64"/>
      <c r="D113" s="64"/>
      <c r="E113" s="64"/>
      <c r="F113" s="36" t="s">
        <v>46</v>
      </c>
      <c r="G113" s="139" t="s">
        <v>208</v>
      </c>
      <c r="H113" s="37" t="s">
        <v>31</v>
      </c>
      <c r="I113" s="115" t="n">
        <f aca="false">VLOOKUP(H113,MPOSCORING,2, 0)</f>
        <v>0</v>
      </c>
      <c r="J113" s="39" t="s">
        <v>46</v>
      </c>
      <c r="K113" s="105" t="str">
        <f aca="false">IFERROR(__xludf.dummyfunction("IMPORTRANGE(A140,""o15"")"),"Anthony Barela ")</f>
        <v>Anthony Barela</v>
      </c>
      <c r="L113" s="41" t="s">
        <v>31</v>
      </c>
      <c r="M113" s="115" t="n">
        <f aca="false">VLOOKUP(L113,MPOSCORING,2, 0)</f>
        <v>0</v>
      </c>
      <c r="N113" s="42" t="s">
        <v>46</v>
      </c>
      <c r="O113" s="43" t="str">
        <f aca="false">IFERROR(__xludf.dummyfunction("IMPORTRANGE(A140,""w15"")"),"Terry Rothlesburger")</f>
        <v>Terry Rothlesburger</v>
      </c>
      <c r="P113" s="44" t="s">
        <v>31</v>
      </c>
      <c r="Q113" s="115" t="n">
        <f aca="false">VLOOKUP(P113,MPOSCORING,2, 0)</f>
        <v>0</v>
      </c>
      <c r="R113" s="34" t="s">
        <v>46</v>
      </c>
      <c r="S113" s="106" t="str">
        <f aca="false">IFERROR(__xludf.dummyfunction("IMPORTRANGE(A140,""AE15"")"),"Terry Rothlesburger")</f>
        <v>Terry Rothlesburger</v>
      </c>
      <c r="T113" s="46" t="s">
        <v>31</v>
      </c>
      <c r="U113" s="116" t="n">
        <f aca="false">VLOOKUP(T113,MPOSCORING,2, 0)</f>
        <v>0</v>
      </c>
      <c r="V113" s="48" t="s">
        <v>46</v>
      </c>
      <c r="W113" s="107" t="str">
        <f aca="false">IFERROR(__xludf.dummyfunction("IMPORTRANGE(A140,""Am15"")"),"Terry Rothlesburger")</f>
        <v>Terry Rothlesburger</v>
      </c>
      <c r="X113" s="50" t="s">
        <v>31</v>
      </c>
      <c r="Y113" s="117" t="n">
        <f aca="false">VLOOKUP(X113,MPOSCORING,2, 0)</f>
        <v>0</v>
      </c>
      <c r="Z113" s="51"/>
      <c r="AA113" s="52" t="s">
        <v>46</v>
      </c>
      <c r="AB113" s="108" t="str">
        <f aca="false">IFERROR(__xludf.dummyfunction("IMPORTRANGE(A140,""Au15"")"),"Niklas Antilla ")</f>
        <v>Niklas Antilla</v>
      </c>
      <c r="AC113" s="54" t="s">
        <v>31</v>
      </c>
      <c r="AD113" s="130" t="n">
        <f aca="false">VLOOKUP(AC113,MPOSCORING,2, 0)</f>
        <v>0</v>
      </c>
      <c r="AE113" s="51"/>
      <c r="AF113" s="55" t="s">
        <v>46</v>
      </c>
      <c r="AG113" s="109" t="str">
        <f aca="false">IFERROR(__xludf.dummyfunction("IMPORTRANGE(A140,""bc15"")"),"Jordan Castro")</f>
        <v>Jordan Castro</v>
      </c>
      <c r="AH113" s="57" t="s">
        <v>31</v>
      </c>
      <c r="AI113" s="118" t="n">
        <f aca="false">VLOOKUP(AH113,MPOSCORING,2, 0)</f>
        <v>0</v>
      </c>
      <c r="AJ113" s="51"/>
      <c r="AK113" s="58" t="s">
        <v>46</v>
      </c>
      <c r="AL113" s="110" t="str">
        <f aca="false">IFERROR(__xludf.dummyfunction("IMPORTRANGE(A140,""bk15"")"),"Ty Love")</f>
        <v>Ty Love</v>
      </c>
      <c r="AM113" s="60" t="s">
        <v>31</v>
      </c>
      <c r="AN113" s="119" t="n">
        <f aca="false">VLOOKUP(AM113,MPOSCORING,2, 0)</f>
        <v>0</v>
      </c>
      <c r="AO113" s="51"/>
      <c r="AP113" s="61" t="s">
        <v>55</v>
      </c>
      <c r="AQ113" s="111" t="str">
        <f aca="false">IFERROR(__xludf.dummyfunction("IMPORTRANGE(A140,""bs15"")"),"")</f>
        <v/>
      </c>
      <c r="AR113" s="63" t="s">
        <v>31</v>
      </c>
      <c r="AS113" s="61"/>
      <c r="AT113" s="51"/>
      <c r="AU113" s="64" t="s">
        <v>46</v>
      </c>
      <c r="AV113" s="112" t="str">
        <f aca="false">IFERROR(__xludf.dummyfunction("IMPORTRANGE(A140,""ca15"")"),"Ty Love")</f>
        <v>Ty Love</v>
      </c>
      <c r="AW113" s="66" t="n">
        <v>53</v>
      </c>
      <c r="AX113" s="120" t="n">
        <f aca="false">VLOOKUP(AW113,MPOSCORING,2, 0)</f>
        <v>7</v>
      </c>
      <c r="AY113" s="121"/>
      <c r="AZ113" s="36" t="s">
        <v>46</v>
      </c>
      <c r="BA113" s="139" t="str">
        <f aca="false">IFERROR(__xludf.dummyfunction("IMPORTRANGE(A140,""ci15"")"),"Ty Love")</f>
        <v>Ty Love</v>
      </c>
      <c r="BB113" s="37" t="s">
        <v>31</v>
      </c>
      <c r="BC113" s="122" t="n">
        <f aca="false">VLOOKUP(BB113,MPOSCORING,2, 0)</f>
        <v>0</v>
      </c>
      <c r="BD113" s="121"/>
      <c r="BE113" s="42" t="s">
        <v>46</v>
      </c>
      <c r="BF113" s="114" t="str">
        <f aca="false">IFERROR(__xludf.dummyfunction("IMPORTRANGE(A140,""cq15"")"),"Ty Love")</f>
        <v>Ty Love</v>
      </c>
      <c r="BG113" s="44" t="s">
        <v>31</v>
      </c>
      <c r="BH113" s="115" t="n">
        <f aca="false">VLOOKUP(BG113,MPOSCORING,2, 0)</f>
        <v>0</v>
      </c>
      <c r="BI113" s="121"/>
      <c r="BJ113" s="64" t="s">
        <v>46</v>
      </c>
      <c r="BK113" s="112" t="str">
        <f aca="false">IFERROR(__xludf.dummyfunction("IMPORTRANGE(A140,""cy15"")"),"Ty Love")</f>
        <v>Ty Love</v>
      </c>
      <c r="BL113" s="66" t="s">
        <v>31</v>
      </c>
      <c r="BM113" s="120" t="n">
        <f aca="false">VLOOKUP(BL113,MPOSCORING,2, 0)</f>
        <v>0</v>
      </c>
      <c r="BN113" s="121"/>
      <c r="BO113" s="64" t="s">
        <v>46</v>
      </c>
      <c r="BP113" s="112" t="str">
        <f aca="false">IFERROR(__xludf.dummyfunction("IMPORTRANGE(A140,""dg15"")"),"Ty Love")</f>
        <v>Ty Love</v>
      </c>
      <c r="BQ113" s="66" t="s">
        <v>31</v>
      </c>
      <c r="BR113" s="120" t="n">
        <f aca="false">VLOOKUP(BQ113,MPOSCORING,2, 0)*2</f>
        <v>0</v>
      </c>
      <c r="BS113" s="124"/>
      <c r="BT113" s="64" t="s">
        <v>46</v>
      </c>
      <c r="BU113" s="112" t="str">
        <f aca="false">IFERROR(__xludf.dummyfunction("IMPORTRANGE(A140,""do15"")"),"Ty Love")</f>
        <v>Ty Love</v>
      </c>
      <c r="BV113" s="66" t="s">
        <v>31</v>
      </c>
      <c r="BW113" s="120" t="n">
        <f aca="false">VLOOKUP(BV113,MPOSCORING,2, 0)</f>
        <v>0</v>
      </c>
      <c r="BX113" s="121"/>
      <c r="BY113" s="64" t="s">
        <v>46</v>
      </c>
      <c r="BZ113" s="112" t="str">
        <f aca="false">IFERROR(__xludf.dummyfunction("IMPORTRANGE(A140,""dw15"")"),"Ty Love")</f>
        <v>Ty Love</v>
      </c>
      <c r="CA113" s="66" t="s">
        <v>31</v>
      </c>
      <c r="CB113" s="120" t="n">
        <f aca="false">VLOOKUP(CA113,MPOSCORING,2, 0)</f>
        <v>0</v>
      </c>
      <c r="CC113" s="121"/>
      <c r="CD113" s="64" t="s">
        <v>46</v>
      </c>
      <c r="CE113" s="112"/>
      <c r="CF113" s="66" t="s">
        <v>31</v>
      </c>
      <c r="CG113" s="120" t="n">
        <f aca="false">VLOOKUP(CF113,MPOSCORING,3, 0)</f>
        <v>0</v>
      </c>
      <c r="CH113" s="124"/>
    </row>
    <row r="114" customFormat="false" ht="13.8" hidden="false" customHeight="false" outlineLevel="0" collapsed="false">
      <c r="BS114" s="18"/>
      <c r="CH114" s="18"/>
    </row>
    <row r="115" customFormat="false" ht="13.8" hidden="false" customHeight="false" outlineLevel="0" collapsed="false">
      <c r="BS115" s="18"/>
      <c r="CH115" s="18"/>
    </row>
    <row r="116" customFormat="false" ht="13.8" hidden="false" customHeight="false" outlineLevel="0" collapsed="false">
      <c r="BS116" s="18"/>
      <c r="CH116" s="18"/>
    </row>
    <row r="117" customFormat="false" ht="13.8" hidden="false" customHeight="false" outlineLevel="0" collapsed="false">
      <c r="BS117" s="18"/>
      <c r="CH117" s="18"/>
    </row>
    <row r="1048576" customFormat="false" ht="12.8" hidden="false" customHeight="true" outlineLevel="0" collapsed="false"/>
  </sheetData>
  <mergeCells count="33">
    <mergeCell ref="F1:I2"/>
    <mergeCell ref="J1:M2"/>
    <mergeCell ref="N1:Q2"/>
    <mergeCell ref="R1:U2"/>
    <mergeCell ref="V1:Y2"/>
    <mergeCell ref="AA1:AD2"/>
    <mergeCell ref="AF1:AI2"/>
    <mergeCell ref="AK1:AN2"/>
    <mergeCell ref="AP1:AS2"/>
    <mergeCell ref="AU1:AX2"/>
    <mergeCell ref="AZ1:BC2"/>
    <mergeCell ref="BE1:BH2"/>
    <mergeCell ref="BJ1:BM2"/>
    <mergeCell ref="BO1:BR2"/>
    <mergeCell ref="BT1:BW2"/>
    <mergeCell ref="BY1:CB2"/>
    <mergeCell ref="CD1:CG2"/>
    <mergeCell ref="J4:K4"/>
    <mergeCell ref="N4:O4"/>
    <mergeCell ref="R4:S4"/>
    <mergeCell ref="V4:W4"/>
    <mergeCell ref="AA4:AB4"/>
    <mergeCell ref="AF4:AG4"/>
    <mergeCell ref="AK4:AL4"/>
    <mergeCell ref="AP4:AQ4"/>
    <mergeCell ref="AU4:AV4"/>
    <mergeCell ref="AZ4:BA4"/>
    <mergeCell ref="BE4:BF4"/>
    <mergeCell ref="BJ4:BK4"/>
    <mergeCell ref="BO4:BP4"/>
    <mergeCell ref="BT4:BU4"/>
    <mergeCell ref="BY4:BZ4"/>
    <mergeCell ref="CD4:CE4"/>
  </mergeCells>
  <hyperlinks>
    <hyperlink ref="A3" r:id="rId1" location="gid=0" display="https://docs.google.com/spreadsheets/d/1-a24YGWwXiO1LNvO4rbrFI-vMhe6ongd4-Cu-5XeUP4/edit#gid=0"/>
    <hyperlink ref="A15" r:id="rId2" display="https://docs.google.com/spreadsheets/d/1jXZuJHYOevnaN2YrhCADV8Ck548ax-RAWaOVUhea8rs/edit"/>
    <hyperlink ref="A26" r:id="rId3" location="gid=0" display="https://docs.google.com/spreadsheets/d/1IpsvYdjk1s3ZbeL6GiXJbh08BoLuq6j8_oGFQd8nQyA/edit#gid=0"/>
    <hyperlink ref="A37" r:id="rId4" location="gid=0" display="https://docs.google.com/spreadsheets/d/1bDX00tTYCxy1N3XK2riRgoNSSwoPIlxTfvXctcv3ROQ/edit#gid=0"/>
    <hyperlink ref="A48" r:id="rId5" location="gid=0" display="https://docs.google.com/spreadsheets/d/1SdVLr45zNEd0DqNAWPXiiWQGErCHuSk5TY5tZZHEzUw/edit#gid=0"/>
    <hyperlink ref="A59" r:id="rId6" location="gid=0" display="https://docs.google.com/spreadsheets/d/1sti2ILBzkVQ8KvxRjtToQy2VIhiBgrMKWTWNFyx4YQE/edit#gid=0"/>
    <hyperlink ref="A70" r:id="rId7" location="gid=0" display="https://docs.google.com/spreadsheets/d/1Jb5IqEEPIrN_sW63kLfRYK0S2Q8jt2Nl3M3vC9Ml67M/edit#gid=0"/>
    <hyperlink ref="A81" r:id="rId8" location="gid=0" display="https://docs.google.com/spreadsheets/d/1mJjwNZbuAJvJEygKBUHpVAZNicuytfEabfbA_nK9hIw/edit#gid=0"/>
    <hyperlink ref="A92" r:id="rId9" location="gid=0" display="https://docs.google.com/spreadsheets/d/1yMAZE7QNd9R_63XrvxnrQBYybKAct1lY33YxvXnf1rs/edit#gid=0"/>
    <hyperlink ref="A103" r:id="rId10" location="gid=0" display="https://docs.google.com/spreadsheets/d/1umSi3peeJoOWT8gq3hzQbuetm8OOOSt3jowfpgduwA8/edit#gid=0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12.64"/>
    <col collapsed="false" customWidth="true" hidden="false" outlineLevel="0" max="2" min="2" style="1" width="3.15"/>
    <col collapsed="false" customWidth="true" hidden="false" outlineLevel="0" max="3" min="3" style="1" width="10.51"/>
    <col collapsed="false" customWidth="true" hidden="false" outlineLevel="0" max="6" min="5" style="1" width="3.5"/>
    <col collapsed="false" customWidth="true" hidden="false" outlineLevel="0" max="7" min="7" style="1" width="9.52"/>
    <col collapsed="false" customWidth="true" hidden="false" outlineLevel="0" max="8" min="8" style="1" width="11.89"/>
    <col collapsed="false" customWidth="true" hidden="false" outlineLevel="0" max="10" min="9" style="1" width="10.01"/>
    <col collapsed="false" customWidth="true" hidden="false" outlineLevel="0" max="11" min="11" style="1" width="32.91"/>
    <col collapsed="false" customWidth="true" hidden="false" outlineLevel="0" max="12" min="12" style="1" width="12.26"/>
    <col collapsed="false" customWidth="true" hidden="false" outlineLevel="0" max="13" min="13" style="1" width="7.64"/>
    <col collapsed="false" customWidth="true" hidden="false" outlineLevel="0" max="14" min="14" style="1" width="10.01"/>
    <col collapsed="false" customWidth="true" hidden="false" outlineLevel="0" max="15" min="15" style="1" width="12.15"/>
    <col collapsed="false" customWidth="true" hidden="false" outlineLevel="0" max="16" min="16" style="1" width="12.76"/>
    <col collapsed="false" customWidth="true" hidden="false" outlineLevel="0" max="17" min="17" style="1" width="10.13"/>
    <col collapsed="false" customWidth="true" hidden="false" outlineLevel="0" max="19" min="18" style="1" width="9.76"/>
    <col collapsed="false" customWidth="true" hidden="false" outlineLevel="0" max="20" min="20" style="1" width="10.26"/>
    <col collapsed="false" customWidth="true" hidden="false" outlineLevel="0" max="21" min="21" style="1" width="9.76"/>
    <col collapsed="false" customWidth="true" hidden="false" outlineLevel="0" max="22" min="22" style="1" width="10.77"/>
    <col collapsed="false" customWidth="true" hidden="false" outlineLevel="0" max="23" min="23" style="1" width="9.76"/>
    <col collapsed="false" customWidth="true" hidden="false" outlineLevel="0" max="26" min="24" style="1" width="12.15"/>
    <col collapsed="false" customWidth="true" hidden="false" outlineLevel="0" max="30" min="27" style="1" width="11.01"/>
    <col collapsed="false" customWidth="true" hidden="false" outlineLevel="0" max="31" min="31" style="1" width="9.26"/>
    <col collapsed="false" customWidth="true" hidden="false" outlineLevel="0" max="32" min="32" style="1" width="8.76"/>
    <col collapsed="false" customWidth="true" hidden="false" outlineLevel="0" max="33" min="33" style="1" width="7.39"/>
    <col collapsed="false" customWidth="true" hidden="false" outlineLevel="0" max="34" min="34" style="1" width="11.12"/>
    <col collapsed="false" customWidth="true" hidden="false" outlineLevel="0" max="35" min="35" style="1" width="9.52"/>
    <col collapsed="false" customWidth="true" hidden="false" outlineLevel="0" max="36" min="36" style="1" width="11.77"/>
    <col collapsed="false" customWidth="true" hidden="false" outlineLevel="0" max="38" min="37" style="1" width="9.52"/>
    <col collapsed="false" customWidth="true" hidden="false" outlineLevel="0" max="39" min="39" style="1" width="27.15"/>
    <col collapsed="false" customWidth="true" hidden="false" outlineLevel="0" max="1024" min="40" style="1" width="12.64"/>
  </cols>
  <sheetData>
    <row r="1" customFormat="false" ht="24.45" hidden="false" customHeight="false" outlineLevel="0" collapsed="false">
      <c r="I1" s="151"/>
      <c r="J1" s="152" t="s">
        <v>209</v>
      </c>
      <c r="K1" s="152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customFormat="false" ht="24.45" hidden="false" customHeight="false" outlineLevel="0" collapsed="false">
      <c r="B2" s="153" t="s">
        <v>210</v>
      </c>
      <c r="C2" s="153"/>
      <c r="D2" s="153"/>
      <c r="E2" s="154"/>
      <c r="F2" s="155" t="s">
        <v>211</v>
      </c>
      <c r="G2" s="155"/>
      <c r="H2" s="155"/>
      <c r="I2" s="151"/>
      <c r="J2" s="152"/>
      <c r="K2" s="152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</row>
    <row r="3" customFormat="false" ht="13.8" hidden="false" customHeight="false" outlineLevel="0" collapsed="false">
      <c r="B3" s="156"/>
      <c r="C3" s="156" t="s">
        <v>212</v>
      </c>
      <c r="D3" s="156" t="s">
        <v>213</v>
      </c>
      <c r="E3" s="18"/>
      <c r="F3" s="157"/>
      <c r="G3" s="158" t="s">
        <v>212</v>
      </c>
      <c r="H3" s="158" t="s">
        <v>213</v>
      </c>
      <c r="I3" s="17"/>
      <c r="J3" s="17" t="s">
        <v>25</v>
      </c>
      <c r="K3" s="159" t="s">
        <v>0</v>
      </c>
      <c r="L3" s="127" t="s">
        <v>214</v>
      </c>
      <c r="M3" s="127" t="s">
        <v>215</v>
      </c>
      <c r="N3" s="127" t="s">
        <v>216</v>
      </c>
      <c r="O3" s="127" t="s">
        <v>217</v>
      </c>
      <c r="P3" s="127" t="s">
        <v>218</v>
      </c>
      <c r="Q3" s="127" t="s">
        <v>219</v>
      </c>
      <c r="R3" s="127" t="s">
        <v>220</v>
      </c>
      <c r="S3" s="127" t="s">
        <v>221</v>
      </c>
      <c r="T3" s="127" t="s">
        <v>222</v>
      </c>
      <c r="U3" s="127" t="s">
        <v>223</v>
      </c>
      <c r="V3" s="127" t="s">
        <v>224</v>
      </c>
      <c r="W3" s="127" t="s">
        <v>225</v>
      </c>
      <c r="X3" s="127" t="s">
        <v>226</v>
      </c>
      <c r="Y3" s="127" t="s">
        <v>227</v>
      </c>
      <c r="Z3" s="127" t="s">
        <v>228</v>
      </c>
      <c r="AA3" s="127" t="s">
        <v>213</v>
      </c>
      <c r="AB3" s="127" t="s">
        <v>229</v>
      </c>
      <c r="AC3" s="127" t="s">
        <v>230</v>
      </c>
      <c r="AD3" s="127" t="s">
        <v>231</v>
      </c>
      <c r="AE3" s="127" t="s">
        <v>232</v>
      </c>
      <c r="AF3" s="127"/>
      <c r="AG3" s="127"/>
      <c r="AH3" s="127"/>
      <c r="AI3" s="127"/>
      <c r="AJ3" s="127"/>
      <c r="AK3" s="127"/>
      <c r="AL3" s="127"/>
      <c r="AM3" s="127"/>
    </row>
    <row r="4" customFormat="false" ht="15.75" hidden="false" customHeight="true" outlineLevel="0" collapsed="false">
      <c r="B4" s="160" t="n">
        <v>1</v>
      </c>
      <c r="C4" s="156" t="n">
        <v>100</v>
      </c>
      <c r="D4" s="156" t="n">
        <f aca="false">SUM(C4*2)</f>
        <v>200</v>
      </c>
      <c r="E4" s="18"/>
      <c r="F4" s="157" t="n">
        <v>1</v>
      </c>
      <c r="G4" s="158" t="n">
        <v>100</v>
      </c>
      <c r="H4" s="158" t="n">
        <f aca="false">SUM(G4*2)</f>
        <v>200</v>
      </c>
      <c r="I4" s="127"/>
      <c r="J4" s="127" t="n">
        <v>1</v>
      </c>
      <c r="K4" s="159" t="s">
        <v>233</v>
      </c>
      <c r="L4" s="127" t="e">
        <f aca="false">SUM(N4,O4,M4,P4,Q4,R4,S4,T4,U4,V4,W4,X4,Y4,Z4,AA4)</f>
        <v>#REF!</v>
      </c>
      <c r="M4" s="154" t="n">
        <v>15</v>
      </c>
      <c r="N4" s="161" t="e">
        <f aca="false">#REF!</f>
        <v>#REF!</v>
      </c>
      <c r="O4" s="127" t="e">
        <f aca="false">#REF!</f>
        <v>#REF!</v>
      </c>
      <c r="P4" s="127" t="e">
        <f aca="false">#REF!</f>
        <v>#REF!</v>
      </c>
      <c r="Q4" s="127" t="e">
        <f aca="false">#REF!</f>
        <v>#REF!</v>
      </c>
      <c r="R4" s="127" t="e">
        <f aca="false">#REF!</f>
        <v>#REF!</v>
      </c>
      <c r="S4" s="127" t="e">
        <f aca="false">#REF!</f>
        <v>#REF!</v>
      </c>
      <c r="T4" s="127" t="e">
        <f aca="false">#REF!</f>
        <v>#REF!</v>
      </c>
      <c r="U4" s="127" t="e">
        <f aca="false">#REF!</f>
        <v>#REF!</v>
      </c>
      <c r="V4" s="127" t="e">
        <f aca="false">#REF!</f>
        <v>#REF!</v>
      </c>
      <c r="W4" s="127" t="e">
        <f aca="false">#REF!</f>
        <v>#REF!</v>
      </c>
      <c r="X4" s="127" t="e">
        <f aca="false">#REF!</f>
        <v>#REF!</v>
      </c>
      <c r="Y4" s="127" t="e">
        <f aca="false">#REF!</f>
        <v>#REF!</v>
      </c>
      <c r="Z4" s="127" t="e">
        <f aca="false">#REF!</f>
        <v>#REF!</v>
      </c>
      <c r="AA4" s="127" t="e">
        <f aca="false">#REF!</f>
        <v>#REF!</v>
      </c>
      <c r="AB4" s="127" t="e">
        <f aca="false">#REF!</f>
        <v>#REF!</v>
      </c>
      <c r="AC4" s="127" t="e">
        <f aca="false">#REF!</f>
        <v>#REF!</v>
      </c>
      <c r="AD4" s="127" t="e">
        <f aca="false">#REF!</f>
        <v>#REF!</v>
      </c>
      <c r="AE4" s="127"/>
      <c r="AF4" s="127"/>
      <c r="AG4" s="127"/>
      <c r="AH4" s="127"/>
      <c r="AI4" s="127"/>
      <c r="AJ4" s="127"/>
      <c r="AK4" s="127"/>
      <c r="AL4" s="127"/>
      <c r="AM4" s="162"/>
    </row>
    <row r="5" customFormat="false" ht="16.5" hidden="false" customHeight="true" outlineLevel="0" collapsed="false">
      <c r="B5" s="160" t="n">
        <v>2</v>
      </c>
      <c r="C5" s="156" t="n">
        <v>98</v>
      </c>
      <c r="D5" s="156" t="n">
        <f aca="false">SUM(C5*2)</f>
        <v>196</v>
      </c>
      <c r="E5" s="18"/>
      <c r="F5" s="157" t="n">
        <v>2</v>
      </c>
      <c r="G5" s="158" t="n">
        <v>96</v>
      </c>
      <c r="H5" s="158" t="n">
        <f aca="false">SUM(G5*2)</f>
        <v>192</v>
      </c>
      <c r="I5" s="127"/>
      <c r="J5" s="127" t="n">
        <v>2</v>
      </c>
      <c r="K5" s="159" t="s">
        <v>234</v>
      </c>
      <c r="L5" s="127" t="e">
        <f aca="false">SUM(N5,O5,M5,P5,Q5,R5,S5,T5,U5,V5,W5,X5,Y5,Z5,AA5)</f>
        <v>#REF!</v>
      </c>
      <c r="M5" s="154" t="n">
        <v>20</v>
      </c>
      <c r="N5" s="154" t="e">
        <f aca="false">#REF!</f>
        <v>#REF!</v>
      </c>
      <c r="O5" s="127" t="e">
        <f aca="false">#REF!</f>
        <v>#REF!</v>
      </c>
      <c r="P5" s="127" t="e">
        <f aca="false">#REF!</f>
        <v>#REF!</v>
      </c>
      <c r="Q5" s="127" t="e">
        <f aca="false">#REF!</f>
        <v>#REF!</v>
      </c>
      <c r="R5" s="127" t="e">
        <f aca="false">#REF!</f>
        <v>#REF!</v>
      </c>
      <c r="S5" s="127" t="e">
        <f aca="false">#REF!</f>
        <v>#REF!</v>
      </c>
      <c r="T5" s="127" t="e">
        <f aca="false">#REF!</f>
        <v>#REF!</v>
      </c>
      <c r="U5" s="127" t="e">
        <f aca="false">#REF!</f>
        <v>#REF!</v>
      </c>
      <c r="V5" s="127" t="e">
        <f aca="false">#REF!</f>
        <v>#REF!</v>
      </c>
      <c r="W5" s="127" t="e">
        <f aca="false">#REF!</f>
        <v>#REF!</v>
      </c>
      <c r="X5" s="127" t="e">
        <f aca="false">#REF!</f>
        <v>#REF!</v>
      </c>
      <c r="Y5" s="127" t="e">
        <f aca="false">#REF!</f>
        <v>#REF!</v>
      </c>
      <c r="Z5" s="127" t="e">
        <f aca="false">#REF!</f>
        <v>#REF!</v>
      </c>
      <c r="AA5" s="127" t="e">
        <f aca="false">#REF!</f>
        <v>#REF!</v>
      </c>
      <c r="AB5" s="127" t="e">
        <f aca="false">#REF!</f>
        <v>#REF!</v>
      </c>
      <c r="AC5" s="127" t="e">
        <f aca="false">#REF!</f>
        <v>#REF!</v>
      </c>
      <c r="AD5" s="127" t="e">
        <f aca="false">#REF!</f>
        <v>#REF!</v>
      </c>
      <c r="AE5" s="127"/>
      <c r="AF5" s="127"/>
      <c r="AG5" s="127"/>
      <c r="AH5" s="127"/>
      <c r="AI5" s="127"/>
      <c r="AJ5" s="127"/>
      <c r="AK5" s="127"/>
      <c r="AL5" s="127"/>
      <c r="AM5" s="162"/>
    </row>
    <row r="6" customFormat="false" ht="13.8" hidden="false" customHeight="false" outlineLevel="0" collapsed="false">
      <c r="B6" s="160" t="n">
        <v>3</v>
      </c>
      <c r="C6" s="156" t="n">
        <v>96</v>
      </c>
      <c r="D6" s="156" t="n">
        <f aca="false">SUM(C6*2)</f>
        <v>192</v>
      </c>
      <c r="E6" s="18"/>
      <c r="F6" s="157" t="n">
        <v>3</v>
      </c>
      <c r="G6" s="158" t="n">
        <v>91</v>
      </c>
      <c r="H6" s="158" t="n">
        <f aca="false">SUM(G6*2)</f>
        <v>182</v>
      </c>
      <c r="I6" s="127"/>
      <c r="J6" s="127" t="n">
        <v>3</v>
      </c>
      <c r="K6" s="159" t="s">
        <v>235</v>
      </c>
      <c r="L6" s="127" t="e">
        <f aca="false">SUM(N6,O6,M6,P6,Q6,R6,S6,T6,U6,V6,W6,X6,Y6,Z6,AA6)</f>
        <v>#REF!</v>
      </c>
      <c r="M6" s="127" t="n">
        <v>45</v>
      </c>
      <c r="N6" s="127" t="e">
        <f aca="false">#REF!</f>
        <v>#REF!</v>
      </c>
      <c r="O6" s="127" t="e">
        <f aca="false">#REF!</f>
        <v>#REF!</v>
      </c>
      <c r="P6" s="127" t="e">
        <f aca="false">#REF!</f>
        <v>#REF!</v>
      </c>
      <c r="Q6" s="127" t="e">
        <f aca="false">#REF!</f>
        <v>#REF!</v>
      </c>
      <c r="R6" s="127" t="e">
        <f aca="false">#REF!</f>
        <v>#REF!</v>
      </c>
      <c r="S6" s="127" t="e">
        <f aca="false">#REF!</f>
        <v>#REF!</v>
      </c>
      <c r="T6" s="127" t="e">
        <f aca="false">#REF!</f>
        <v>#REF!</v>
      </c>
      <c r="U6" s="127" t="e">
        <f aca="false">#REF!</f>
        <v>#REF!</v>
      </c>
      <c r="V6" s="127" t="e">
        <f aca="false">#REF!</f>
        <v>#REF!</v>
      </c>
      <c r="W6" s="127" t="e">
        <f aca="false">#REF!</f>
        <v>#REF!</v>
      </c>
      <c r="X6" s="127" t="e">
        <f aca="false">#REF!</f>
        <v>#REF!</v>
      </c>
      <c r="Y6" s="127" t="e">
        <f aca="false">#REF!</f>
        <v>#REF!</v>
      </c>
      <c r="Z6" s="127" t="e">
        <f aca="false">#REF!</f>
        <v>#REF!</v>
      </c>
      <c r="AA6" s="127" t="e">
        <f aca="false">#REF!</f>
        <v>#REF!</v>
      </c>
      <c r="AB6" s="127" t="e">
        <f aca="false">#REF!</f>
        <v>#REF!</v>
      </c>
      <c r="AC6" s="127" t="e">
        <f aca="false">#REF!</f>
        <v>#REF!</v>
      </c>
      <c r="AD6" s="127" t="e">
        <f aca="false">#REF!</f>
        <v>#REF!</v>
      </c>
      <c r="AE6" s="127"/>
      <c r="AF6" s="127"/>
      <c r="AG6" s="127"/>
      <c r="AH6" s="127"/>
      <c r="AI6" s="127"/>
      <c r="AJ6" s="127"/>
      <c r="AK6" s="127"/>
      <c r="AL6" s="127"/>
      <c r="AM6" s="162"/>
    </row>
    <row r="7" customFormat="false" ht="13.8" hidden="false" customHeight="false" outlineLevel="0" collapsed="false">
      <c r="B7" s="160" t="n">
        <v>4</v>
      </c>
      <c r="C7" s="156" t="n">
        <v>94</v>
      </c>
      <c r="D7" s="156" t="n">
        <f aca="false">SUM(C7*2)</f>
        <v>188</v>
      </c>
      <c r="E7" s="18"/>
      <c r="F7" s="157" t="n">
        <v>4</v>
      </c>
      <c r="G7" s="158" t="n">
        <v>86</v>
      </c>
      <c r="H7" s="158" t="n">
        <f aca="false">SUM(G7*2)</f>
        <v>172</v>
      </c>
      <c r="I7" s="127"/>
      <c r="J7" s="127" t="n">
        <v>4</v>
      </c>
      <c r="K7" s="159" t="s">
        <v>236</v>
      </c>
      <c r="L7" s="127" t="e">
        <f aca="false">SUM(N7,O7,M7,P7,Q7,R7,S7,T7,U7,V7,W7,X7,Y7,Z7,AA7)</f>
        <v>#REF!</v>
      </c>
      <c r="M7" s="154" t="n">
        <v>45</v>
      </c>
      <c r="N7" s="154" t="e">
        <f aca="false">#REF!</f>
        <v>#REF!</v>
      </c>
      <c r="O7" s="127" t="e">
        <f aca="false">#REF!</f>
        <v>#REF!</v>
      </c>
      <c r="P7" s="127" t="e">
        <f aca="false">#REF!</f>
        <v>#REF!</v>
      </c>
      <c r="Q7" s="127" t="e">
        <f aca="false">#REF!</f>
        <v>#REF!</v>
      </c>
      <c r="R7" s="127" t="e">
        <f aca="false">#REF!</f>
        <v>#REF!</v>
      </c>
      <c r="S7" s="127" t="e">
        <f aca="false">#REF!</f>
        <v>#REF!</v>
      </c>
      <c r="T7" s="127" t="e">
        <f aca="false">#REF!</f>
        <v>#REF!</v>
      </c>
      <c r="U7" s="127" t="e">
        <f aca="false">#REF!</f>
        <v>#REF!</v>
      </c>
      <c r="V7" s="127" t="e">
        <f aca="false">#REF!</f>
        <v>#REF!</v>
      </c>
      <c r="W7" s="127" t="e">
        <f aca="false">#REF!</f>
        <v>#REF!</v>
      </c>
      <c r="X7" s="127" t="e">
        <f aca="false">#REF!</f>
        <v>#REF!</v>
      </c>
      <c r="Y7" s="127" t="e">
        <f aca="false">#REF!</f>
        <v>#REF!</v>
      </c>
      <c r="Z7" s="127" t="e">
        <f aca="false">#REF!</f>
        <v>#REF!</v>
      </c>
      <c r="AA7" s="127" t="e">
        <f aca="false">#REF!</f>
        <v>#REF!</v>
      </c>
      <c r="AB7" s="127" t="e">
        <f aca="false">#REF!</f>
        <v>#REF!</v>
      </c>
      <c r="AC7" s="127" t="e">
        <f aca="false">#REF!</f>
        <v>#REF!</v>
      </c>
      <c r="AD7" s="127" t="e">
        <f aca="false">#REF!</f>
        <v>#REF!</v>
      </c>
      <c r="AE7" s="127"/>
      <c r="AF7" s="127"/>
      <c r="AG7" s="127"/>
      <c r="AH7" s="127"/>
      <c r="AI7" s="127"/>
      <c r="AJ7" s="127"/>
      <c r="AK7" s="127"/>
      <c r="AL7" s="127"/>
      <c r="AM7" s="162"/>
    </row>
    <row r="8" customFormat="false" ht="17.25" hidden="false" customHeight="true" outlineLevel="0" collapsed="false">
      <c r="B8" s="160" t="n">
        <v>5</v>
      </c>
      <c r="C8" s="156" t="n">
        <v>93</v>
      </c>
      <c r="D8" s="156" t="n">
        <f aca="false">SUM(C8*2)</f>
        <v>186</v>
      </c>
      <c r="E8" s="18"/>
      <c r="F8" s="157" t="n">
        <v>5</v>
      </c>
      <c r="G8" s="158" t="n">
        <v>82</v>
      </c>
      <c r="H8" s="158" t="n">
        <f aca="false">SUM(G8*2)</f>
        <v>164</v>
      </c>
      <c r="I8" s="127"/>
      <c r="J8" s="127" t="n">
        <v>5</v>
      </c>
      <c r="K8" s="159" t="s">
        <v>237</v>
      </c>
      <c r="L8" s="127" t="e">
        <f aca="false">SUM(N8,O8,M8,P8,Q8,R8,S8,T8,U8,V8,W8,X8,Y8,Z8,AA8)</f>
        <v>#REF!</v>
      </c>
      <c r="M8" s="154" t="n">
        <v>30</v>
      </c>
      <c r="N8" s="154" t="e">
        <f aca="false">#REF!</f>
        <v>#REF!</v>
      </c>
      <c r="O8" s="127" t="e">
        <f aca="false">#REF!</f>
        <v>#REF!</v>
      </c>
      <c r="P8" s="127" t="e">
        <f aca="false">#REF!</f>
        <v>#REF!</v>
      </c>
      <c r="Q8" s="127" t="e">
        <f aca="false">#REF!</f>
        <v>#REF!</v>
      </c>
      <c r="R8" s="127" t="e">
        <f aca="false">#REF!</f>
        <v>#REF!</v>
      </c>
      <c r="S8" s="127" t="e">
        <f aca="false">#REF!</f>
        <v>#REF!</v>
      </c>
      <c r="T8" s="127" t="e">
        <f aca="false">#REF!</f>
        <v>#REF!</v>
      </c>
      <c r="U8" s="127" t="e">
        <f aca="false">#REF!</f>
        <v>#REF!</v>
      </c>
      <c r="V8" s="127" t="e">
        <f aca="false">#REF!</f>
        <v>#REF!</v>
      </c>
      <c r="W8" s="127" t="e">
        <f aca="false">#REF!</f>
        <v>#REF!</v>
      </c>
      <c r="X8" s="127" t="e">
        <f aca="false">#REF!</f>
        <v>#REF!</v>
      </c>
      <c r="Y8" s="127" t="e">
        <f aca="false">#REF!</f>
        <v>#REF!</v>
      </c>
      <c r="Z8" s="127" t="e">
        <f aca="false">#REF!</f>
        <v>#REF!</v>
      </c>
      <c r="AA8" s="127" t="e">
        <f aca="false">#REF!</f>
        <v>#REF!</v>
      </c>
      <c r="AB8" s="127" t="e">
        <f aca="false">#REF!</f>
        <v>#REF!</v>
      </c>
      <c r="AC8" s="127" t="e">
        <f aca="false">#REF!</f>
        <v>#REF!</v>
      </c>
      <c r="AD8" s="127" t="e">
        <f aca="false">#REF!</f>
        <v>#REF!</v>
      </c>
      <c r="AE8" s="127"/>
      <c r="AF8" s="127"/>
      <c r="AG8" s="127"/>
      <c r="AH8" s="127"/>
      <c r="AI8" s="127"/>
      <c r="AJ8" s="127"/>
      <c r="AK8" s="127"/>
      <c r="AL8" s="127"/>
      <c r="AM8" s="162"/>
    </row>
    <row r="9" customFormat="false" ht="13.8" hidden="false" customHeight="false" outlineLevel="0" collapsed="false">
      <c r="B9" s="160" t="n">
        <v>6</v>
      </c>
      <c r="C9" s="156" t="n">
        <v>91</v>
      </c>
      <c r="D9" s="156" t="n">
        <f aca="false">SUM(C9*2)</f>
        <v>182</v>
      </c>
      <c r="E9" s="18"/>
      <c r="F9" s="157" t="n">
        <v>6</v>
      </c>
      <c r="G9" s="158" t="n">
        <v>76</v>
      </c>
      <c r="H9" s="158" t="n">
        <f aca="false">SUM(G9*2)</f>
        <v>152</v>
      </c>
      <c r="I9" s="127"/>
      <c r="J9" s="127" t="n">
        <v>6</v>
      </c>
      <c r="K9" s="159" t="s">
        <v>238</v>
      </c>
      <c r="L9" s="127" t="e">
        <f aca="false">SUM(N9,O9,M9,P9,Q9,R9,S9,T9,U9,V9,W9,X9,Y9,Z9,AA9)</f>
        <v>#REF!</v>
      </c>
      <c r="M9" s="154" t="n">
        <v>30</v>
      </c>
      <c r="N9" s="154" t="e">
        <f aca="false">#REF!</f>
        <v>#REF!</v>
      </c>
      <c r="O9" s="127" t="e">
        <f aca="false">#REF!</f>
        <v>#REF!</v>
      </c>
      <c r="P9" s="127" t="e">
        <f aca="false">#REF!</f>
        <v>#REF!</v>
      </c>
      <c r="Q9" s="127" t="e">
        <f aca="false">#REF!</f>
        <v>#REF!</v>
      </c>
      <c r="R9" s="127" t="e">
        <f aca="false">#REF!</f>
        <v>#REF!</v>
      </c>
      <c r="S9" s="127" t="e">
        <f aca="false">#REF!</f>
        <v>#REF!</v>
      </c>
      <c r="T9" s="127" t="e">
        <f aca="false">#REF!</f>
        <v>#REF!</v>
      </c>
      <c r="U9" s="127" t="e">
        <f aca="false">#REF!</f>
        <v>#REF!</v>
      </c>
      <c r="V9" s="127" t="e">
        <f aca="false">#REF!</f>
        <v>#REF!</v>
      </c>
      <c r="W9" s="127" t="e">
        <f aca="false">#REF!</f>
        <v>#REF!</v>
      </c>
      <c r="X9" s="127" t="e">
        <f aca="false">#REF!</f>
        <v>#REF!</v>
      </c>
      <c r="Y9" s="127" t="e">
        <f aca="false">#REF!</f>
        <v>#REF!</v>
      </c>
      <c r="Z9" s="127" t="e">
        <f aca="false">#REF!</f>
        <v>#REF!</v>
      </c>
      <c r="AA9" s="127" t="e">
        <f aca="false">#REF!</f>
        <v>#REF!</v>
      </c>
      <c r="AB9" s="127" t="e">
        <f aca="false">#REF!</f>
        <v>#REF!</v>
      </c>
      <c r="AC9" s="127" t="e">
        <f aca="false">#REF!</f>
        <v>#REF!</v>
      </c>
      <c r="AD9" s="127" t="e">
        <f aca="false">#REF!</f>
        <v>#REF!</v>
      </c>
      <c r="AE9" s="127"/>
      <c r="AF9" s="127"/>
      <c r="AG9" s="127"/>
      <c r="AH9" s="127"/>
      <c r="AI9" s="127"/>
      <c r="AJ9" s="127"/>
      <c r="AK9" s="127"/>
      <c r="AL9" s="127"/>
      <c r="AM9" s="162"/>
    </row>
    <row r="10" customFormat="false" ht="13.8" hidden="false" customHeight="false" outlineLevel="0" collapsed="false">
      <c r="B10" s="160" t="n">
        <v>7</v>
      </c>
      <c r="C10" s="156" t="n">
        <v>89</v>
      </c>
      <c r="D10" s="156" t="n">
        <f aca="false">SUM(C10*2)</f>
        <v>178</v>
      </c>
      <c r="E10" s="18"/>
      <c r="F10" s="157" t="n">
        <v>7</v>
      </c>
      <c r="G10" s="158" t="n">
        <v>71</v>
      </c>
      <c r="H10" s="158" t="n">
        <f aca="false">SUM(G10*2)</f>
        <v>142</v>
      </c>
      <c r="I10" s="127"/>
      <c r="J10" s="127" t="n">
        <v>7</v>
      </c>
      <c r="K10" s="159" t="s">
        <v>239</v>
      </c>
      <c r="L10" s="127" t="e">
        <f aca="false">SUM(N10,O10,M10,P10,Q10,R10,S10,T10,U10,V10,W10,X10,Y10,Z10,AA10)</f>
        <v>#REF!</v>
      </c>
      <c r="M10" s="154" t="n">
        <v>30</v>
      </c>
      <c r="N10" s="154" t="e">
        <f aca="false">#REF!</f>
        <v>#REF!</v>
      </c>
      <c r="O10" s="127" t="e">
        <f aca="false">#REF!</f>
        <v>#REF!</v>
      </c>
      <c r="P10" s="127" t="e">
        <f aca="false">#REF!</f>
        <v>#REF!</v>
      </c>
      <c r="Q10" s="127" t="e">
        <f aca="false">#REF!</f>
        <v>#REF!</v>
      </c>
      <c r="R10" s="127" t="e">
        <f aca="false">#REF!</f>
        <v>#REF!</v>
      </c>
      <c r="S10" s="127" t="e">
        <f aca="false">#REF!</f>
        <v>#REF!</v>
      </c>
      <c r="T10" s="127" t="e">
        <f aca="false">#REF!</f>
        <v>#REF!</v>
      </c>
      <c r="U10" s="127" t="e">
        <f aca="false">#REF!</f>
        <v>#REF!</v>
      </c>
      <c r="V10" s="127" t="e">
        <f aca="false">#REF!</f>
        <v>#REF!</v>
      </c>
      <c r="W10" s="127" t="e">
        <f aca="false">#REF!</f>
        <v>#REF!</v>
      </c>
      <c r="X10" s="127" t="e">
        <f aca="false">#REF!</f>
        <v>#REF!</v>
      </c>
      <c r="Y10" s="127" t="e">
        <f aca="false">#REF!</f>
        <v>#REF!</v>
      </c>
      <c r="Z10" s="127" t="e">
        <f aca="false">#REF!</f>
        <v>#REF!</v>
      </c>
      <c r="AA10" s="127" t="e">
        <f aca="false">#REF!</f>
        <v>#REF!</v>
      </c>
      <c r="AB10" s="127" t="e">
        <f aca="false">#REF!</f>
        <v>#REF!</v>
      </c>
      <c r="AC10" s="127" t="e">
        <f aca="false">#REF!</f>
        <v>#REF!</v>
      </c>
      <c r="AD10" s="127" t="e">
        <f aca="false">#REF!</f>
        <v>#REF!</v>
      </c>
      <c r="AE10" s="127"/>
      <c r="AF10" s="127"/>
      <c r="AG10" s="127"/>
      <c r="AH10" s="127"/>
      <c r="AI10" s="127"/>
      <c r="AJ10" s="127"/>
      <c r="AK10" s="127"/>
      <c r="AL10" s="127"/>
      <c r="AM10" s="162"/>
    </row>
    <row r="11" customFormat="false" ht="18" hidden="false" customHeight="true" outlineLevel="0" collapsed="false">
      <c r="B11" s="160" t="n">
        <v>8</v>
      </c>
      <c r="C11" s="156" t="n">
        <v>87</v>
      </c>
      <c r="D11" s="156" t="n">
        <f aca="false">SUM(C11*2)</f>
        <v>174</v>
      </c>
      <c r="E11" s="18"/>
      <c r="F11" s="157" t="n">
        <v>8</v>
      </c>
      <c r="G11" s="158" t="n">
        <v>67</v>
      </c>
      <c r="H11" s="158" t="n">
        <f aca="false">SUM(G11*2)</f>
        <v>134</v>
      </c>
      <c r="I11" s="127"/>
      <c r="J11" s="127" t="n">
        <v>8</v>
      </c>
      <c r="K11" s="159" t="s">
        <v>240</v>
      </c>
      <c r="L11" s="127" t="e">
        <f aca="false">SUM(N11,O11,M11,P11,Q11,R11,S11,T11,U11,V11,W11,X11,Y11,Z11,AA11)</f>
        <v>#REF!</v>
      </c>
      <c r="M11" s="154" t="n">
        <v>30</v>
      </c>
      <c r="N11" s="154" t="e">
        <f aca="false">#REF!</f>
        <v>#REF!</v>
      </c>
      <c r="O11" s="127" t="e">
        <f aca="false">#REF!</f>
        <v>#REF!</v>
      </c>
      <c r="P11" s="127" t="e">
        <f aca="false">#REF!</f>
        <v>#REF!</v>
      </c>
      <c r="Q11" s="127" t="e">
        <f aca="false">#REF!</f>
        <v>#REF!</v>
      </c>
      <c r="R11" s="33" t="e">
        <f aca="false">#REF!</f>
        <v>#REF!</v>
      </c>
      <c r="S11" s="33" t="e">
        <f aca="false">#REF!</f>
        <v>#REF!</v>
      </c>
      <c r="T11" s="33" t="e">
        <f aca="false">#REF!</f>
        <v>#REF!</v>
      </c>
      <c r="U11" s="33" t="e">
        <f aca="false">#REF!</f>
        <v>#REF!</v>
      </c>
      <c r="V11" s="33" t="e">
        <f aca="false">#REF!</f>
        <v>#REF!</v>
      </c>
      <c r="W11" s="33" t="e">
        <f aca="false">#REF!</f>
        <v>#REF!</v>
      </c>
      <c r="X11" s="127" t="e">
        <f aca="false">#REF!</f>
        <v>#REF!</v>
      </c>
      <c r="Y11" s="127" t="e">
        <f aca="false">#REF!</f>
        <v>#REF!</v>
      </c>
      <c r="Z11" s="127" t="e">
        <f aca="false">#REF!</f>
        <v>#REF!</v>
      </c>
      <c r="AA11" s="127" t="e">
        <f aca="false">#REF!</f>
        <v>#REF!</v>
      </c>
      <c r="AB11" s="127" t="e">
        <f aca="false">#REF!</f>
        <v>#REF!</v>
      </c>
      <c r="AC11" s="127" t="e">
        <f aca="false">#REF!</f>
        <v>#REF!</v>
      </c>
      <c r="AD11" s="127" t="e">
        <f aca="false">#REF!</f>
        <v>#REF!</v>
      </c>
      <c r="AE11" s="127"/>
      <c r="AF11" s="127"/>
      <c r="AG11" s="127"/>
      <c r="AH11" s="127"/>
      <c r="AI11" s="127"/>
      <c r="AJ11" s="127"/>
      <c r="AK11" s="127"/>
      <c r="AL11" s="127"/>
      <c r="AM11" s="162"/>
    </row>
    <row r="12" customFormat="false" ht="13.8" hidden="false" customHeight="false" outlineLevel="0" collapsed="false">
      <c r="B12" s="160" t="n">
        <v>9</v>
      </c>
      <c r="C12" s="156" t="n">
        <v>85</v>
      </c>
      <c r="D12" s="156" t="n">
        <f aca="false">SUM(C12*2)</f>
        <v>170</v>
      </c>
      <c r="E12" s="18"/>
      <c r="F12" s="157" t="n">
        <v>9</v>
      </c>
      <c r="G12" s="158" t="n">
        <v>62</v>
      </c>
      <c r="H12" s="158" t="n">
        <f aca="false">SUM(G12*2)</f>
        <v>124</v>
      </c>
      <c r="J12" s="127" t="n">
        <v>9</v>
      </c>
      <c r="K12" s="17" t="s">
        <v>241</v>
      </c>
      <c r="L12" s="127" t="e">
        <f aca="false">SUM(N12,O12,M12,P12,Q12,R12,S12,T12,U12,V12,W12,X12,Y12,Z12,AA12)</f>
        <v>#REF!</v>
      </c>
      <c r="M12" s="154" t="n">
        <v>30</v>
      </c>
      <c r="N12" s="154" t="e">
        <f aca="false">#REF!</f>
        <v>#REF!</v>
      </c>
      <c r="O12" s="127" t="e">
        <f aca="false">#REF!</f>
        <v>#REF!</v>
      </c>
      <c r="P12" s="127" t="e">
        <f aca="false">#REF!</f>
        <v>#REF!</v>
      </c>
      <c r="Q12" s="127" t="e">
        <f aca="false">#REF!</f>
        <v>#REF!</v>
      </c>
      <c r="R12" s="127" t="e">
        <f aca="false">#REF!</f>
        <v>#REF!</v>
      </c>
      <c r="S12" s="127" t="e">
        <f aca="false">#REF!</f>
        <v>#REF!</v>
      </c>
      <c r="T12" s="127" t="e">
        <f aca="false">#REF!</f>
        <v>#REF!</v>
      </c>
      <c r="U12" s="127" t="e">
        <f aca="false">#REF!</f>
        <v>#REF!</v>
      </c>
      <c r="V12" s="127" t="e">
        <f aca="false">#REF!</f>
        <v>#REF!</v>
      </c>
      <c r="W12" s="127" t="e">
        <f aca="false">#REF!</f>
        <v>#REF!</v>
      </c>
      <c r="X12" s="127" t="e">
        <f aca="false">#REF!</f>
        <v>#REF!</v>
      </c>
      <c r="Y12" s="127" t="e">
        <f aca="false">#REF!</f>
        <v>#REF!</v>
      </c>
      <c r="Z12" s="127" t="e">
        <f aca="false">#REF!</f>
        <v>#REF!</v>
      </c>
      <c r="AA12" s="127" t="e">
        <f aca="false">#REF!</f>
        <v>#REF!</v>
      </c>
      <c r="AB12" s="127" t="e">
        <f aca="false">#REF!</f>
        <v>#REF!</v>
      </c>
      <c r="AC12" s="127" t="e">
        <f aca="false">#REF!</f>
        <v>#REF!</v>
      </c>
      <c r="AD12" s="127" t="e">
        <f aca="false">#REF!</f>
        <v>#REF!</v>
      </c>
      <c r="AE12" s="127"/>
      <c r="AF12" s="127"/>
      <c r="AG12" s="127"/>
      <c r="AH12" s="127"/>
      <c r="AI12" s="127"/>
      <c r="AJ12" s="127"/>
      <c r="AK12" s="127"/>
      <c r="AL12" s="127"/>
    </row>
    <row r="13" customFormat="false" ht="13.8" hidden="false" customHeight="false" outlineLevel="0" collapsed="false">
      <c r="B13" s="160" t="n">
        <v>10</v>
      </c>
      <c r="C13" s="156" t="n">
        <v>84</v>
      </c>
      <c r="D13" s="156" t="n">
        <f aca="false">SUM(C13*2)</f>
        <v>168</v>
      </c>
      <c r="E13" s="18"/>
      <c r="F13" s="157" t="n">
        <v>10</v>
      </c>
      <c r="G13" s="158" t="n">
        <v>58</v>
      </c>
      <c r="H13" s="158" t="n">
        <f aca="false">SUM(G13*2)</f>
        <v>116</v>
      </c>
      <c r="J13" s="127" t="n">
        <v>10</v>
      </c>
      <c r="K13" s="17" t="s">
        <v>242</v>
      </c>
      <c r="L13" s="127" t="e">
        <f aca="false">SUM(N13,O13,M13,P13,Q13,R13,S13,T13,U13,V13,W13,X13,Y13,Z13,AA13)</f>
        <v>#REF!</v>
      </c>
      <c r="M13" s="154" t="n">
        <v>15</v>
      </c>
      <c r="N13" s="154" t="e">
        <f aca="false">#REF!</f>
        <v>#REF!</v>
      </c>
      <c r="O13" s="127" t="e">
        <f aca="false">#REF!</f>
        <v>#REF!</v>
      </c>
      <c r="P13" s="127" t="e">
        <f aca="false">#REF!</f>
        <v>#REF!</v>
      </c>
      <c r="Q13" s="127" t="e">
        <f aca="false">#REF!</f>
        <v>#REF!</v>
      </c>
      <c r="R13" s="127" t="e">
        <f aca="false">#REF!</f>
        <v>#REF!</v>
      </c>
      <c r="S13" s="127" t="e">
        <f aca="false">#REF!</f>
        <v>#REF!</v>
      </c>
      <c r="T13" s="127" t="e">
        <f aca="false">#REF!</f>
        <v>#REF!</v>
      </c>
      <c r="U13" s="127" t="e">
        <f aca="false">#REF!</f>
        <v>#REF!</v>
      </c>
      <c r="V13" s="127" t="e">
        <f aca="false">#REF!</f>
        <v>#REF!</v>
      </c>
      <c r="W13" s="127" t="e">
        <f aca="false">#REF!</f>
        <v>#REF!</v>
      </c>
      <c r="X13" s="127" t="e">
        <f aca="false">#REF!</f>
        <v>#REF!</v>
      </c>
      <c r="Y13" s="127" t="e">
        <f aca="false">#REF!</f>
        <v>#REF!</v>
      </c>
      <c r="Z13" s="127" t="e">
        <f aca="false">#REF!</f>
        <v>#REF!</v>
      </c>
      <c r="AA13" s="127" t="e">
        <f aca="false">#REF!</f>
        <v>#REF!</v>
      </c>
      <c r="AB13" s="127" t="e">
        <f aca="false">#REF!</f>
        <v>#REF!</v>
      </c>
      <c r="AC13" s="127" t="e">
        <f aca="false">#REF!</f>
        <v>#REF!</v>
      </c>
      <c r="AD13" s="127" t="e">
        <f aca="false">#REF!</f>
        <v>#REF!</v>
      </c>
      <c r="AE13" s="127"/>
    </row>
    <row r="14" customFormat="false" ht="13.8" hidden="false" customHeight="false" outlineLevel="0" collapsed="false">
      <c r="B14" s="160" t="n">
        <v>11</v>
      </c>
      <c r="C14" s="156" t="n">
        <v>82</v>
      </c>
      <c r="D14" s="156" t="n">
        <f aca="false">SUM(C14*2)</f>
        <v>164</v>
      </c>
      <c r="E14" s="18"/>
      <c r="F14" s="157" t="n">
        <v>11</v>
      </c>
      <c r="G14" s="158" t="n">
        <v>52</v>
      </c>
      <c r="H14" s="158" t="n">
        <f aca="false">SUM(G14*2)</f>
        <v>104</v>
      </c>
      <c r="X14" s="127"/>
      <c r="Y14" s="127"/>
      <c r="Z14" s="127"/>
      <c r="AA14" s="127"/>
      <c r="AB14" s="127"/>
      <c r="AC14" s="127"/>
      <c r="AD14" s="127"/>
    </row>
    <row r="15" customFormat="false" ht="13.8" hidden="false" customHeight="false" outlineLevel="0" collapsed="false">
      <c r="B15" s="160" t="n">
        <v>12</v>
      </c>
      <c r="C15" s="156" t="n">
        <v>80</v>
      </c>
      <c r="D15" s="156" t="n">
        <f aca="false">SUM(C15*2)</f>
        <v>160</v>
      </c>
      <c r="E15" s="18"/>
      <c r="F15" s="157" t="n">
        <v>12</v>
      </c>
      <c r="G15" s="158" t="n">
        <v>47</v>
      </c>
      <c r="H15" s="158" t="n">
        <f aca="false">SUM(G15*2)</f>
        <v>94</v>
      </c>
    </row>
    <row r="16" customFormat="false" ht="13.8" hidden="false" customHeight="false" outlineLevel="0" collapsed="false">
      <c r="B16" s="160" t="n">
        <v>13</v>
      </c>
      <c r="C16" s="156" t="n">
        <v>78</v>
      </c>
      <c r="D16" s="156" t="n">
        <f aca="false">SUM(C16*2)</f>
        <v>156</v>
      </c>
      <c r="E16" s="18"/>
      <c r="F16" s="157" t="n">
        <v>13</v>
      </c>
      <c r="G16" s="158" t="n">
        <v>42</v>
      </c>
      <c r="H16" s="158" t="n">
        <f aca="false">SUM(G16*2)</f>
        <v>84</v>
      </c>
    </row>
    <row r="17" customFormat="false" ht="13.8" hidden="false" customHeight="false" outlineLevel="0" collapsed="false">
      <c r="B17" s="160" t="n">
        <v>14</v>
      </c>
      <c r="C17" s="156" t="n">
        <v>76</v>
      </c>
      <c r="D17" s="156" t="n">
        <f aca="false">SUM(C17*2)</f>
        <v>152</v>
      </c>
      <c r="E17" s="18"/>
      <c r="F17" s="157" t="n">
        <v>14</v>
      </c>
      <c r="G17" s="158" t="n">
        <v>38</v>
      </c>
      <c r="H17" s="158" t="n">
        <f aca="false">SUM(G17*2)</f>
        <v>76</v>
      </c>
    </row>
    <row r="18" customFormat="false" ht="13.8" hidden="false" customHeight="false" outlineLevel="0" collapsed="false">
      <c r="B18" s="160" t="n">
        <v>15</v>
      </c>
      <c r="C18" s="156" t="n">
        <v>75</v>
      </c>
      <c r="D18" s="156" t="n">
        <f aca="false">SUM(C18*2)</f>
        <v>150</v>
      </c>
      <c r="E18" s="18"/>
      <c r="F18" s="157" t="n">
        <v>15</v>
      </c>
      <c r="G18" s="158" t="n">
        <v>34</v>
      </c>
      <c r="H18" s="158" t="n">
        <f aca="false">SUM(G18*2)</f>
        <v>68</v>
      </c>
      <c r="J18" s="163" t="s">
        <v>243</v>
      </c>
      <c r="K18" s="163"/>
      <c r="L18" s="163"/>
    </row>
    <row r="19" customFormat="false" ht="13.8" hidden="false" customHeight="false" outlineLevel="0" collapsed="false">
      <c r="B19" s="160" t="n">
        <v>16</v>
      </c>
      <c r="C19" s="156" t="n">
        <v>73</v>
      </c>
      <c r="D19" s="156" t="n">
        <f aca="false">SUM(C19*2)</f>
        <v>146</v>
      </c>
      <c r="E19" s="18"/>
      <c r="F19" s="157" t="n">
        <v>16</v>
      </c>
      <c r="G19" s="158" t="n">
        <v>29</v>
      </c>
      <c r="H19" s="158" t="n">
        <f aca="false">SUM(G19*2)</f>
        <v>58</v>
      </c>
      <c r="J19" s="163"/>
      <c r="K19" s="163"/>
      <c r="L19" s="163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</row>
    <row r="20" customFormat="false" ht="13.8" hidden="false" customHeight="false" outlineLevel="0" collapsed="false">
      <c r="B20" s="160" t="n">
        <v>17</v>
      </c>
      <c r="C20" s="156" t="n">
        <v>71</v>
      </c>
      <c r="D20" s="156" t="n">
        <f aca="false">SUM(C20*2)</f>
        <v>142</v>
      </c>
      <c r="E20" s="18"/>
      <c r="F20" s="157" t="n">
        <v>17</v>
      </c>
      <c r="G20" s="158" t="n">
        <v>24</v>
      </c>
      <c r="H20" s="158" t="n">
        <f aca="false">SUM(G20*2)</f>
        <v>48</v>
      </c>
      <c r="J20" s="163"/>
      <c r="K20" s="163"/>
      <c r="L20" s="163"/>
    </row>
    <row r="21" customFormat="false" ht="13.8" hidden="false" customHeight="false" outlineLevel="0" collapsed="false">
      <c r="B21" s="160" t="n">
        <v>18</v>
      </c>
      <c r="C21" s="156" t="n">
        <v>69</v>
      </c>
      <c r="D21" s="156" t="n">
        <f aca="false">SUM(C21*2)</f>
        <v>138</v>
      </c>
      <c r="E21" s="18"/>
      <c r="F21" s="157" t="n">
        <v>18</v>
      </c>
      <c r="G21" s="158" t="n">
        <v>19</v>
      </c>
      <c r="H21" s="158" t="n">
        <f aca="false">SUM(G21*2)</f>
        <v>38</v>
      </c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</row>
    <row r="22" customFormat="false" ht="13.8" hidden="false" customHeight="false" outlineLevel="0" collapsed="false">
      <c r="B22" s="160" t="n">
        <v>19</v>
      </c>
      <c r="C22" s="156" t="n">
        <v>67</v>
      </c>
      <c r="D22" s="156" t="n">
        <f aca="false">SUM(C22*2)</f>
        <v>134</v>
      </c>
      <c r="E22" s="18"/>
      <c r="F22" s="157" t="n">
        <v>19</v>
      </c>
      <c r="G22" s="158" t="n">
        <v>15</v>
      </c>
      <c r="H22" s="158" t="n">
        <f aca="false">SUM(G22*2)</f>
        <v>30</v>
      </c>
      <c r="J22" s="164" t="s">
        <v>244</v>
      </c>
      <c r="K22" s="164"/>
      <c r="L22" s="164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</row>
    <row r="23" customFormat="false" ht="13.8" hidden="false" customHeight="false" outlineLevel="0" collapsed="false">
      <c r="B23" s="160" t="n">
        <v>20</v>
      </c>
      <c r="C23" s="156" t="n">
        <v>66</v>
      </c>
      <c r="D23" s="156" t="n">
        <f aca="false">SUM(C23*2)</f>
        <v>132</v>
      </c>
      <c r="E23" s="18"/>
      <c r="F23" s="157" t="n">
        <v>20</v>
      </c>
      <c r="G23" s="158" t="n">
        <v>12</v>
      </c>
      <c r="H23" s="158" t="n">
        <v>25</v>
      </c>
      <c r="J23" s="164"/>
      <c r="K23" s="164"/>
      <c r="L23" s="164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</row>
    <row r="24" customFormat="false" ht="13.8" hidden="false" customHeight="false" outlineLevel="0" collapsed="false">
      <c r="B24" s="160" t="n">
        <v>21</v>
      </c>
      <c r="C24" s="156" t="n">
        <v>64</v>
      </c>
      <c r="D24" s="156" t="n">
        <f aca="false">SUM(C24*2)</f>
        <v>128</v>
      </c>
      <c r="F24" s="157" t="n">
        <v>21</v>
      </c>
      <c r="G24" s="158" t="n">
        <v>9</v>
      </c>
      <c r="H24" s="158" t="n">
        <v>20</v>
      </c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</row>
    <row r="25" customFormat="false" ht="13.8" hidden="false" customHeight="false" outlineLevel="0" collapsed="false">
      <c r="B25" s="160" t="n">
        <v>22</v>
      </c>
      <c r="C25" s="156" t="n">
        <v>62</v>
      </c>
      <c r="D25" s="156" t="n">
        <f aca="false">SUM(C25*2)</f>
        <v>124</v>
      </c>
      <c r="F25" s="157" t="n">
        <v>22</v>
      </c>
      <c r="G25" s="158" t="n">
        <v>8</v>
      </c>
      <c r="H25" s="158" t="n">
        <v>19</v>
      </c>
      <c r="J25" s="165" t="n">
        <v>1</v>
      </c>
      <c r="K25" s="17" t="s">
        <v>245</v>
      </c>
      <c r="L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</row>
    <row r="26" customFormat="false" ht="13.8" hidden="false" customHeight="false" outlineLevel="0" collapsed="false">
      <c r="B26" s="160" t="n">
        <v>23</v>
      </c>
      <c r="C26" s="156" t="n">
        <v>60</v>
      </c>
      <c r="D26" s="156" t="n">
        <f aca="false">SUM(C26*2)</f>
        <v>120</v>
      </c>
      <c r="F26" s="157" t="n">
        <v>23</v>
      </c>
      <c r="G26" s="158" t="n">
        <v>7</v>
      </c>
      <c r="H26" s="158" t="n">
        <v>18</v>
      </c>
      <c r="J26" s="127" t="n">
        <v>2</v>
      </c>
      <c r="K26" s="159" t="s">
        <v>246</v>
      </c>
      <c r="L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</row>
    <row r="27" customFormat="false" ht="13.8" hidden="false" customHeight="false" outlineLevel="0" collapsed="false">
      <c r="B27" s="160" t="n">
        <v>24</v>
      </c>
      <c r="C27" s="156" t="n">
        <v>58</v>
      </c>
      <c r="D27" s="156" t="n">
        <f aca="false">SUM(C27*2)</f>
        <v>116</v>
      </c>
      <c r="F27" s="157" t="n">
        <v>24</v>
      </c>
      <c r="G27" s="158" t="n">
        <v>6</v>
      </c>
      <c r="H27" s="158" t="n">
        <v>17</v>
      </c>
      <c r="J27" s="127" t="n">
        <v>3</v>
      </c>
      <c r="K27" s="159" t="s">
        <v>247</v>
      </c>
      <c r="L27" s="127"/>
      <c r="O27" s="159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</row>
    <row r="28" customFormat="false" ht="13.8" hidden="false" customHeight="false" outlineLevel="0" collapsed="false">
      <c r="B28" s="160" t="n">
        <v>25</v>
      </c>
      <c r="C28" s="156" t="n">
        <v>57</v>
      </c>
      <c r="D28" s="156" t="n">
        <f aca="false">SUM(C28*2)</f>
        <v>114</v>
      </c>
      <c r="F28" s="157" t="n">
        <v>25</v>
      </c>
      <c r="G28" s="158" t="n">
        <v>5</v>
      </c>
      <c r="H28" s="158" t="n">
        <v>16</v>
      </c>
      <c r="J28" s="127" t="n">
        <v>4</v>
      </c>
      <c r="K28" s="159" t="s">
        <v>248</v>
      </c>
      <c r="L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</row>
    <row r="29" customFormat="false" ht="13.8" hidden="false" customHeight="false" outlineLevel="0" collapsed="false">
      <c r="B29" s="160" t="n">
        <v>26</v>
      </c>
      <c r="C29" s="156" t="n">
        <v>55</v>
      </c>
      <c r="D29" s="156" t="n">
        <f aca="false">SUM(C29*2)</f>
        <v>110</v>
      </c>
      <c r="F29" s="157" t="n">
        <v>26</v>
      </c>
      <c r="G29" s="158" t="n">
        <v>0</v>
      </c>
      <c r="H29" s="158" t="n">
        <v>15</v>
      </c>
      <c r="J29" s="127" t="n">
        <v>5</v>
      </c>
      <c r="K29" s="17" t="s">
        <v>249</v>
      </c>
      <c r="L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</row>
    <row r="30" customFormat="false" ht="13.8" hidden="false" customHeight="false" outlineLevel="0" collapsed="false">
      <c r="B30" s="160" t="n">
        <v>27</v>
      </c>
      <c r="C30" s="156" t="n">
        <v>53</v>
      </c>
      <c r="D30" s="156" t="n">
        <f aca="false">SUM(C30*2)</f>
        <v>106</v>
      </c>
      <c r="F30" s="157" t="n">
        <v>27</v>
      </c>
      <c r="G30" s="158" t="n">
        <v>0</v>
      </c>
      <c r="H30" s="158" t="n">
        <v>14</v>
      </c>
      <c r="J30" s="127" t="n">
        <v>6</v>
      </c>
      <c r="K30" s="17" t="s">
        <v>250</v>
      </c>
      <c r="L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</row>
    <row r="31" customFormat="false" ht="13.8" hidden="false" customHeight="false" outlineLevel="0" collapsed="false">
      <c r="B31" s="160" t="n">
        <v>28</v>
      </c>
      <c r="C31" s="156" t="n">
        <v>51</v>
      </c>
      <c r="D31" s="156" t="n">
        <f aca="false">SUM(C31*2)</f>
        <v>102</v>
      </c>
      <c r="F31" s="157" t="n">
        <v>28</v>
      </c>
      <c r="G31" s="158" t="n">
        <v>0</v>
      </c>
      <c r="H31" s="158" t="n">
        <v>13</v>
      </c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</row>
    <row r="32" customFormat="false" ht="13.8" hidden="false" customHeight="false" outlineLevel="0" collapsed="false">
      <c r="B32" s="160" t="n">
        <v>29</v>
      </c>
      <c r="C32" s="156" t="n">
        <v>49</v>
      </c>
      <c r="D32" s="156" t="n">
        <f aca="false">SUM(C32*2)</f>
        <v>98</v>
      </c>
      <c r="F32" s="157" t="n">
        <v>29</v>
      </c>
      <c r="G32" s="158" t="n">
        <v>0</v>
      </c>
      <c r="H32" s="158" t="n">
        <v>12</v>
      </c>
      <c r="J32" s="164" t="s">
        <v>213</v>
      </c>
      <c r="K32" s="164"/>
      <c r="L32" s="164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</row>
    <row r="33" customFormat="false" ht="13.8" hidden="false" customHeight="false" outlineLevel="0" collapsed="false">
      <c r="B33" s="160" t="n">
        <v>30</v>
      </c>
      <c r="C33" s="156" t="n">
        <v>48</v>
      </c>
      <c r="D33" s="156" t="n">
        <f aca="false">SUM(C33*2)</f>
        <v>96</v>
      </c>
      <c r="F33" s="157" t="n">
        <v>30</v>
      </c>
      <c r="G33" s="158" t="n">
        <v>0</v>
      </c>
      <c r="H33" s="158" t="n">
        <v>10</v>
      </c>
      <c r="J33" s="164"/>
      <c r="K33" s="164"/>
      <c r="L33" s="164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</row>
    <row r="34" customFormat="false" ht="13.8" hidden="false" customHeight="false" outlineLevel="0" collapsed="false">
      <c r="B34" s="160" t="n">
        <v>31</v>
      </c>
      <c r="C34" s="156" t="n">
        <v>46</v>
      </c>
      <c r="D34" s="156" t="n">
        <f aca="false">SUM(C34*2)</f>
        <v>92</v>
      </c>
      <c r="F34" s="157" t="n">
        <v>31</v>
      </c>
      <c r="G34" s="158" t="n">
        <v>0</v>
      </c>
      <c r="H34" s="17" t="n">
        <v>0</v>
      </c>
      <c r="Q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</row>
    <row r="35" customFormat="false" ht="13.8" hidden="false" customHeight="false" outlineLevel="0" collapsed="false">
      <c r="B35" s="160" t="n">
        <v>32</v>
      </c>
      <c r="C35" s="156" t="n">
        <v>44</v>
      </c>
      <c r="D35" s="156" t="n">
        <f aca="false">SUM(C35*2)</f>
        <v>88</v>
      </c>
      <c r="F35" s="157" t="n">
        <v>32</v>
      </c>
      <c r="G35" s="158" t="n">
        <v>0</v>
      </c>
      <c r="H35" s="17" t="n">
        <v>0</v>
      </c>
      <c r="J35" s="165" t="n">
        <v>1</v>
      </c>
      <c r="K35" s="17" t="s">
        <v>251</v>
      </c>
      <c r="L35" s="127" t="n">
        <v>842</v>
      </c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</row>
    <row r="36" customFormat="false" ht="13.8" hidden="false" customHeight="false" outlineLevel="0" collapsed="false">
      <c r="B36" s="160" t="n">
        <v>33</v>
      </c>
      <c r="C36" s="156" t="n">
        <v>42</v>
      </c>
      <c r="D36" s="156" t="n">
        <f aca="false">SUM(C36*2)</f>
        <v>84</v>
      </c>
      <c r="F36" s="157" t="n">
        <v>33</v>
      </c>
      <c r="G36" s="158" t="n">
        <v>0</v>
      </c>
      <c r="H36" s="17" t="n">
        <v>0</v>
      </c>
      <c r="J36" s="127" t="n">
        <v>2</v>
      </c>
      <c r="K36" s="159" t="s">
        <v>252</v>
      </c>
      <c r="L36" s="127" t="n">
        <v>776</v>
      </c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</row>
    <row r="37" customFormat="false" ht="13.8" hidden="false" customHeight="false" outlineLevel="0" collapsed="false">
      <c r="B37" s="160" t="n">
        <v>34</v>
      </c>
      <c r="C37" s="156" t="n">
        <v>40</v>
      </c>
      <c r="D37" s="156" t="n">
        <f aca="false">SUM(C37*2)</f>
        <v>80</v>
      </c>
      <c r="F37" s="157" t="n">
        <v>34</v>
      </c>
      <c r="G37" s="158" t="n">
        <v>0</v>
      </c>
      <c r="H37" s="17" t="n">
        <v>0</v>
      </c>
      <c r="J37" s="127" t="n">
        <v>3</v>
      </c>
      <c r="K37" s="17" t="s">
        <v>249</v>
      </c>
      <c r="L37" s="127" t="n">
        <v>750</v>
      </c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</row>
    <row r="38" customFormat="false" ht="13.8" hidden="false" customHeight="false" outlineLevel="0" collapsed="false">
      <c r="B38" s="160" t="n">
        <v>35</v>
      </c>
      <c r="C38" s="156" t="n">
        <v>38</v>
      </c>
      <c r="D38" s="156" t="n">
        <f aca="false">SUM(C38*2)</f>
        <v>76</v>
      </c>
      <c r="F38" s="157" t="n">
        <v>35</v>
      </c>
      <c r="G38" s="158" t="n">
        <v>0</v>
      </c>
      <c r="H38" s="17" t="n">
        <v>0</v>
      </c>
      <c r="J38" s="127" t="n">
        <v>4</v>
      </c>
      <c r="K38" s="17" t="s">
        <v>253</v>
      </c>
      <c r="L38" s="127" t="n">
        <v>684</v>
      </c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</row>
    <row r="39" customFormat="false" ht="13.8" hidden="false" customHeight="false" outlineLevel="0" collapsed="false">
      <c r="B39" s="160" t="n">
        <v>36</v>
      </c>
      <c r="C39" s="156" t="n">
        <v>36</v>
      </c>
      <c r="D39" s="156" t="n">
        <f aca="false">SUM(C39*2)</f>
        <v>72</v>
      </c>
      <c r="F39" s="157" t="n">
        <v>36</v>
      </c>
      <c r="G39" s="158" t="n">
        <v>0</v>
      </c>
      <c r="H39" s="17" t="n">
        <v>0</v>
      </c>
      <c r="J39" s="127" t="n">
        <v>5</v>
      </c>
      <c r="K39" s="159" t="s">
        <v>247</v>
      </c>
      <c r="L39" s="127" t="n">
        <v>670</v>
      </c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</row>
    <row r="40" customFormat="false" ht="13.8" hidden="false" customHeight="false" outlineLevel="0" collapsed="false">
      <c r="B40" s="160" t="n">
        <v>37</v>
      </c>
      <c r="C40" s="156" t="n">
        <v>34</v>
      </c>
      <c r="D40" s="156" t="n">
        <f aca="false">SUM(C40*2)</f>
        <v>68</v>
      </c>
      <c r="F40" s="157" t="n">
        <v>37</v>
      </c>
      <c r="G40" s="158" t="n">
        <v>0</v>
      </c>
      <c r="H40" s="17" t="n">
        <v>0</v>
      </c>
      <c r="J40" s="127" t="n">
        <v>6</v>
      </c>
      <c r="K40" s="159" t="s">
        <v>248</v>
      </c>
      <c r="L40" s="127" t="n">
        <v>648</v>
      </c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</row>
    <row r="41" customFormat="false" ht="13.8" hidden="false" customHeight="false" outlineLevel="0" collapsed="false">
      <c r="B41" s="160" t="n">
        <v>38</v>
      </c>
      <c r="C41" s="156" t="n">
        <v>32</v>
      </c>
      <c r="D41" s="156" t="n">
        <f aca="false">SUM(C41*2)</f>
        <v>64</v>
      </c>
      <c r="F41" s="157" t="n">
        <v>38</v>
      </c>
      <c r="G41" s="158" t="n">
        <v>0</v>
      </c>
      <c r="H41" s="17" t="n">
        <v>0</v>
      </c>
      <c r="J41" s="127" t="n">
        <v>7</v>
      </c>
      <c r="K41" s="159" t="s">
        <v>250</v>
      </c>
      <c r="L41" s="127" t="n">
        <v>566</v>
      </c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</row>
    <row r="42" customFormat="false" ht="13.8" hidden="false" customHeight="false" outlineLevel="0" collapsed="false">
      <c r="B42" s="160" t="n">
        <v>39</v>
      </c>
      <c r="C42" s="156" t="n">
        <v>30</v>
      </c>
      <c r="D42" s="156" t="n">
        <f aca="false">SUM(C42*2)</f>
        <v>60</v>
      </c>
      <c r="F42" s="157" t="n">
        <v>39</v>
      </c>
      <c r="G42" s="158" t="n">
        <v>0</v>
      </c>
      <c r="H42" s="17" t="n">
        <v>0</v>
      </c>
      <c r="J42" s="127" t="n">
        <v>8</v>
      </c>
      <c r="K42" s="159" t="s">
        <v>240</v>
      </c>
      <c r="L42" s="127" t="n">
        <v>504</v>
      </c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</row>
    <row r="43" customFormat="false" ht="13.8" hidden="false" customHeight="false" outlineLevel="0" collapsed="false">
      <c r="B43" s="160" t="n">
        <v>40</v>
      </c>
      <c r="C43" s="156" t="n">
        <v>29</v>
      </c>
      <c r="D43" s="156" t="n">
        <f aca="false">SUM(C43*2)</f>
        <v>58</v>
      </c>
      <c r="F43" s="157" t="n">
        <v>40</v>
      </c>
      <c r="G43" s="158" t="n">
        <v>0</v>
      </c>
      <c r="H43" s="17" t="n">
        <v>0</v>
      </c>
      <c r="J43" s="127" t="n">
        <v>9</v>
      </c>
      <c r="K43" s="17" t="s">
        <v>254</v>
      </c>
      <c r="L43" s="127" t="n">
        <v>444</v>
      </c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</row>
    <row r="44" customFormat="false" ht="13.8" hidden="false" customHeight="false" outlineLevel="0" collapsed="false">
      <c r="B44" s="160" t="n">
        <v>41</v>
      </c>
      <c r="C44" s="156" t="n">
        <v>27</v>
      </c>
      <c r="D44" s="156" t="n">
        <f aca="false">SUM(C44*2)</f>
        <v>54</v>
      </c>
      <c r="F44" s="157" t="n">
        <v>41</v>
      </c>
      <c r="G44" s="158" t="n">
        <v>0</v>
      </c>
      <c r="H44" s="17" t="n">
        <v>0</v>
      </c>
      <c r="J44" s="127" t="n">
        <v>10</v>
      </c>
      <c r="K44" s="17" t="s">
        <v>255</v>
      </c>
      <c r="L44" s="127" t="n">
        <v>366</v>
      </c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</row>
    <row r="45" customFormat="false" ht="13.8" hidden="false" customHeight="false" outlineLevel="0" collapsed="false">
      <c r="B45" s="160" t="n">
        <v>42</v>
      </c>
      <c r="C45" s="156" t="n">
        <v>25</v>
      </c>
      <c r="D45" s="156" t="n">
        <f aca="false">SUM(C45*2)</f>
        <v>50</v>
      </c>
      <c r="F45" s="157" t="n">
        <v>42</v>
      </c>
      <c r="G45" s="158" t="n">
        <v>0</v>
      </c>
      <c r="H45" s="17" t="n">
        <v>0</v>
      </c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</row>
    <row r="46" customFormat="false" ht="13.8" hidden="false" customHeight="false" outlineLevel="0" collapsed="false">
      <c r="B46" s="160" t="n">
        <v>43</v>
      </c>
      <c r="C46" s="156" t="n">
        <v>23</v>
      </c>
      <c r="D46" s="156" t="n">
        <f aca="false">SUM(C46*2)</f>
        <v>46</v>
      </c>
      <c r="F46" s="157" t="n">
        <v>43</v>
      </c>
      <c r="G46" s="158" t="n">
        <v>0</v>
      </c>
      <c r="H46" s="17" t="n">
        <v>0</v>
      </c>
      <c r="J46" s="164" t="s">
        <v>228</v>
      </c>
      <c r="K46" s="164"/>
      <c r="L46" s="164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 customFormat="false" ht="13.8" hidden="false" customHeight="false" outlineLevel="0" collapsed="false">
      <c r="B47" s="160" t="n">
        <v>44</v>
      </c>
      <c r="C47" s="156" t="n">
        <v>21</v>
      </c>
      <c r="D47" s="156" t="n">
        <f aca="false">SUM(C47*2)</f>
        <v>42</v>
      </c>
      <c r="F47" s="157" t="n">
        <v>44</v>
      </c>
      <c r="G47" s="158" t="n">
        <v>0</v>
      </c>
      <c r="H47" s="17" t="n">
        <v>0</v>
      </c>
      <c r="J47" s="164"/>
      <c r="K47" s="164"/>
      <c r="L47" s="164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 customFormat="false" ht="13.8" hidden="false" customHeight="false" outlineLevel="0" collapsed="false">
      <c r="B48" s="160" t="n">
        <v>45</v>
      </c>
      <c r="C48" s="156" t="n">
        <v>19</v>
      </c>
      <c r="D48" s="156" t="n">
        <f aca="false">SUM(C48*2)</f>
        <v>38</v>
      </c>
      <c r="F48" s="157" t="n">
        <v>45</v>
      </c>
      <c r="G48" s="158" t="n">
        <v>0</v>
      </c>
      <c r="H48" s="17" t="n">
        <v>0</v>
      </c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 customFormat="false" ht="13.8" hidden="false" customHeight="false" outlineLevel="0" collapsed="false">
      <c r="B49" s="160" t="n">
        <v>46</v>
      </c>
      <c r="C49" s="156" t="n">
        <v>17</v>
      </c>
      <c r="D49" s="156" t="n">
        <f aca="false">SUM(C49*2)</f>
        <v>34</v>
      </c>
      <c r="F49" s="157" t="n">
        <v>46</v>
      </c>
      <c r="G49" s="158" t="n">
        <v>0</v>
      </c>
      <c r="H49" s="17" t="n">
        <v>0</v>
      </c>
      <c r="J49" s="165" t="n">
        <v>1</v>
      </c>
      <c r="K49" s="17" t="s">
        <v>249</v>
      </c>
      <c r="L49" s="127" t="n">
        <v>409</v>
      </c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 customFormat="false" ht="13.8" hidden="false" customHeight="false" outlineLevel="0" collapsed="false">
      <c r="B50" s="160" t="n">
        <v>47</v>
      </c>
      <c r="C50" s="156" t="n">
        <v>15</v>
      </c>
      <c r="D50" s="156" t="n">
        <f aca="false">SUM(C50*2)</f>
        <v>30</v>
      </c>
      <c r="F50" s="157" t="n">
        <v>47</v>
      </c>
      <c r="G50" s="158" t="n">
        <v>0</v>
      </c>
      <c r="H50" s="17" t="n">
        <v>0</v>
      </c>
      <c r="J50" s="127" t="n">
        <v>2</v>
      </c>
      <c r="K50" s="17" t="s">
        <v>251</v>
      </c>
      <c r="L50" s="127" t="n">
        <v>346</v>
      </c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 customFormat="false" ht="13.8" hidden="false" customHeight="false" outlineLevel="0" collapsed="false">
      <c r="B51" s="160" t="n">
        <v>48</v>
      </c>
      <c r="C51" s="156" t="n">
        <v>13</v>
      </c>
      <c r="D51" s="156" t="n">
        <v>27</v>
      </c>
      <c r="F51" s="157" t="n">
        <v>48</v>
      </c>
      <c r="G51" s="158" t="n">
        <v>0</v>
      </c>
      <c r="H51" s="17" t="n">
        <v>0</v>
      </c>
      <c r="J51" s="127" t="n">
        <v>3</v>
      </c>
      <c r="K51" s="159" t="s">
        <v>247</v>
      </c>
      <c r="L51" s="127" t="n">
        <v>319</v>
      </c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 customFormat="false" ht="13.8" hidden="false" customHeight="false" outlineLevel="0" collapsed="false">
      <c r="B52" s="160" t="n">
        <v>49</v>
      </c>
      <c r="C52" s="156" t="n">
        <v>12</v>
      </c>
      <c r="D52" s="156" t="n">
        <v>25</v>
      </c>
      <c r="F52" s="157" t="n">
        <v>49</v>
      </c>
      <c r="G52" s="158" t="n">
        <v>0</v>
      </c>
      <c r="H52" s="17" t="n">
        <v>0</v>
      </c>
      <c r="J52" s="127" t="n">
        <v>4</v>
      </c>
      <c r="K52" s="159" t="s">
        <v>240</v>
      </c>
      <c r="L52" s="127" t="n">
        <v>316</v>
      </c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 customFormat="false" ht="13.8" hidden="false" customHeight="false" outlineLevel="0" collapsed="false">
      <c r="B53" s="160" t="n">
        <v>50</v>
      </c>
      <c r="C53" s="156" t="n">
        <v>11</v>
      </c>
      <c r="D53" s="156" t="n">
        <v>23</v>
      </c>
      <c r="F53" s="157" t="n">
        <v>50</v>
      </c>
      <c r="G53" s="158" t="n">
        <v>0</v>
      </c>
      <c r="H53" s="17" t="n">
        <v>0</v>
      </c>
      <c r="J53" s="127" t="n">
        <v>5</v>
      </c>
      <c r="K53" s="159" t="s">
        <v>252</v>
      </c>
      <c r="L53" s="127" t="n">
        <v>301</v>
      </c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 customFormat="false" ht="13.8" hidden="false" customHeight="false" outlineLevel="0" collapsed="false">
      <c r="B54" s="160" t="n">
        <v>51</v>
      </c>
      <c r="C54" s="156" t="n">
        <v>9</v>
      </c>
      <c r="D54" s="156" t="n">
        <v>20</v>
      </c>
      <c r="F54" s="157" t="n">
        <v>51</v>
      </c>
      <c r="G54" s="158" t="n">
        <v>0</v>
      </c>
      <c r="H54" s="17" t="n">
        <v>0</v>
      </c>
      <c r="J54" s="127" t="n">
        <v>6</v>
      </c>
      <c r="K54" s="159" t="s">
        <v>250</v>
      </c>
      <c r="L54" s="127" t="n">
        <v>283</v>
      </c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 customFormat="false" ht="13.8" hidden="false" customHeight="false" outlineLevel="0" collapsed="false">
      <c r="B55" s="160" t="n">
        <v>52</v>
      </c>
      <c r="C55" s="156" t="n">
        <v>8</v>
      </c>
      <c r="D55" s="156" t="n">
        <v>19</v>
      </c>
      <c r="F55" s="157" t="s">
        <v>30</v>
      </c>
      <c r="G55" s="158" t="n">
        <v>0</v>
      </c>
      <c r="H55" s="17" t="n">
        <v>0</v>
      </c>
      <c r="J55" s="127" t="n">
        <v>7</v>
      </c>
      <c r="K55" s="17" t="s">
        <v>253</v>
      </c>
      <c r="L55" s="127" t="n">
        <v>269</v>
      </c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 customFormat="false" ht="13.8" hidden="false" customHeight="false" outlineLevel="0" collapsed="false">
      <c r="B56" s="160" t="n">
        <v>53</v>
      </c>
      <c r="C56" s="156" t="n">
        <v>7</v>
      </c>
      <c r="D56" s="156" t="n">
        <v>18</v>
      </c>
      <c r="F56" s="157" t="s">
        <v>31</v>
      </c>
      <c r="G56" s="158" t="n">
        <v>0</v>
      </c>
      <c r="H56" s="17" t="n">
        <v>0</v>
      </c>
      <c r="J56" s="127" t="n">
        <v>8</v>
      </c>
      <c r="K56" s="159" t="s">
        <v>248</v>
      </c>
      <c r="L56" s="127" t="n">
        <v>224</v>
      </c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 customFormat="false" ht="13.8" hidden="false" customHeight="false" outlineLevel="0" collapsed="false">
      <c r="B57" s="160" t="n">
        <v>54</v>
      </c>
      <c r="C57" s="156" t="n">
        <v>6</v>
      </c>
      <c r="D57" s="156" t="n">
        <v>17</v>
      </c>
      <c r="F57" s="157" t="s">
        <v>114</v>
      </c>
      <c r="G57" s="158" t="n">
        <v>0</v>
      </c>
      <c r="H57" s="17" t="n">
        <v>0</v>
      </c>
      <c r="J57" s="127" t="n">
        <v>9</v>
      </c>
      <c r="K57" s="17" t="s">
        <v>254</v>
      </c>
      <c r="L57" s="127" t="n">
        <v>211</v>
      </c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 customFormat="false" ht="13.8" hidden="false" customHeight="false" outlineLevel="0" collapsed="false">
      <c r="B58" s="160" t="n">
        <v>55</v>
      </c>
      <c r="C58" s="156" t="n">
        <v>5</v>
      </c>
      <c r="D58" s="156" t="n">
        <v>16</v>
      </c>
      <c r="F58" s="157" t="n">
        <v>52</v>
      </c>
      <c r="G58" s="158" t="n">
        <v>0</v>
      </c>
      <c r="H58" s="17" t="n">
        <v>0</v>
      </c>
      <c r="J58" s="127" t="n">
        <v>10</v>
      </c>
      <c r="K58" s="17" t="s">
        <v>255</v>
      </c>
      <c r="L58" s="127" t="n">
        <v>146</v>
      </c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 customFormat="false" ht="13.8" hidden="false" customHeight="false" outlineLevel="0" collapsed="false">
      <c r="B59" s="160" t="n">
        <v>56</v>
      </c>
      <c r="C59" s="156" t="n">
        <v>0</v>
      </c>
      <c r="D59" s="156" t="n">
        <v>15</v>
      </c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 customFormat="false" ht="13.8" hidden="false" customHeight="false" outlineLevel="0" collapsed="false">
      <c r="B60" s="160" t="n">
        <v>57</v>
      </c>
      <c r="C60" s="156" t="n">
        <v>0</v>
      </c>
      <c r="D60" s="156" t="n">
        <v>14</v>
      </c>
      <c r="J60" s="164" t="s">
        <v>227</v>
      </c>
      <c r="K60" s="164"/>
      <c r="L60" s="164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customFormat="false" ht="13.8" hidden="false" customHeight="false" outlineLevel="0" collapsed="false">
      <c r="B61" s="160" t="n">
        <v>58</v>
      </c>
      <c r="C61" s="156" t="n">
        <v>0</v>
      </c>
      <c r="D61" s="156" t="n">
        <v>13</v>
      </c>
      <c r="J61" s="164"/>
      <c r="K61" s="164"/>
      <c r="L61" s="164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 customFormat="false" ht="13.8" hidden="false" customHeight="false" outlineLevel="0" collapsed="false">
      <c r="B62" s="160" t="n">
        <v>59</v>
      </c>
      <c r="C62" s="156" t="n">
        <v>0</v>
      </c>
      <c r="D62" s="156" t="n">
        <v>12</v>
      </c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 customFormat="false" ht="13.8" hidden="false" customHeight="false" outlineLevel="0" collapsed="false">
      <c r="B63" s="160" t="n">
        <v>60</v>
      </c>
      <c r="C63" s="156" t="n">
        <v>0</v>
      </c>
      <c r="D63" s="156" t="n">
        <v>10</v>
      </c>
      <c r="J63" s="165" t="n">
        <v>1</v>
      </c>
      <c r="K63" s="159" t="s">
        <v>248</v>
      </c>
      <c r="L63" s="127" t="n">
        <v>443</v>
      </c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 customFormat="false" ht="13.8" hidden="false" customHeight="false" outlineLevel="0" collapsed="false">
      <c r="B64" s="160" t="s">
        <v>31</v>
      </c>
      <c r="C64" s="156" t="n">
        <v>0</v>
      </c>
      <c r="D64" s="17" t="n">
        <v>0</v>
      </c>
      <c r="J64" s="127" t="n">
        <v>2</v>
      </c>
      <c r="K64" s="17" t="s">
        <v>251</v>
      </c>
      <c r="L64" s="127" t="n">
        <v>427</v>
      </c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 customFormat="false" ht="13.8" hidden="false" customHeight="false" outlineLevel="0" collapsed="false">
      <c r="B65" s="160" t="s">
        <v>30</v>
      </c>
      <c r="C65" s="156" t="n">
        <v>0</v>
      </c>
      <c r="D65" s="17" t="n">
        <v>0</v>
      </c>
      <c r="J65" s="127" t="n">
        <v>3</v>
      </c>
      <c r="K65" s="159" t="s">
        <v>252</v>
      </c>
      <c r="L65" s="127" t="n">
        <v>371</v>
      </c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 customFormat="false" ht="13.8" hidden="false" customHeight="false" outlineLevel="0" collapsed="false">
      <c r="B66" s="160" t="n">
        <v>61</v>
      </c>
      <c r="C66" s="156" t="n">
        <v>0</v>
      </c>
      <c r="D66" s="17" t="n">
        <v>0</v>
      </c>
      <c r="J66" s="127" t="n">
        <v>4</v>
      </c>
      <c r="K66" s="159" t="s">
        <v>247</v>
      </c>
      <c r="L66" s="127" t="n">
        <v>366</v>
      </c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 customFormat="false" ht="13.8" hidden="false" customHeight="false" outlineLevel="0" collapsed="false">
      <c r="B67" s="160" t="n">
        <v>62</v>
      </c>
      <c r="C67" s="156" t="n">
        <v>0</v>
      </c>
      <c r="D67" s="17" t="n">
        <v>0</v>
      </c>
      <c r="J67" s="127" t="n">
        <v>5</v>
      </c>
      <c r="K67" s="159" t="s">
        <v>250</v>
      </c>
      <c r="L67" s="127" t="n">
        <v>273</v>
      </c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 customFormat="false" ht="13.8" hidden="false" customHeight="false" outlineLevel="0" collapsed="false">
      <c r="B68" s="160" t="n">
        <v>63</v>
      </c>
      <c r="C68" s="156" t="n">
        <v>0</v>
      </c>
      <c r="D68" s="17" t="n">
        <v>0</v>
      </c>
      <c r="J68" s="127" t="n">
        <v>6</v>
      </c>
      <c r="K68" s="17" t="s">
        <v>249</v>
      </c>
      <c r="L68" s="127" t="n">
        <v>258</v>
      </c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 customFormat="false" ht="13.8" hidden="false" customHeight="false" outlineLevel="0" collapsed="false">
      <c r="B69" s="160" t="n">
        <v>64</v>
      </c>
      <c r="C69" s="156" t="n">
        <v>0</v>
      </c>
      <c r="D69" s="17" t="n">
        <v>0</v>
      </c>
      <c r="J69" s="127" t="n">
        <v>7</v>
      </c>
      <c r="K69" s="17" t="s">
        <v>253</v>
      </c>
      <c r="L69" s="127" t="n">
        <v>245</v>
      </c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 customFormat="false" ht="13.8" hidden="false" customHeight="false" outlineLevel="0" collapsed="false">
      <c r="B70" s="160" t="n">
        <v>65</v>
      </c>
      <c r="C70" s="156" t="n">
        <v>0</v>
      </c>
      <c r="D70" s="17" t="n">
        <v>0</v>
      </c>
      <c r="J70" s="127" t="n">
        <v>8</v>
      </c>
      <c r="K70" s="17" t="s">
        <v>254</v>
      </c>
      <c r="L70" s="127" t="n">
        <v>244</v>
      </c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 customFormat="false" ht="13.8" hidden="false" customHeight="false" outlineLevel="0" collapsed="false">
      <c r="B71" s="160" t="n">
        <v>66</v>
      </c>
      <c r="C71" s="156" t="n">
        <v>0</v>
      </c>
      <c r="D71" s="17" t="n">
        <v>0</v>
      </c>
      <c r="J71" s="127" t="n">
        <v>9</v>
      </c>
      <c r="K71" s="17" t="s">
        <v>255</v>
      </c>
      <c r="L71" s="127" t="n">
        <v>206</v>
      </c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 customFormat="false" ht="13.8" hidden="false" customHeight="false" outlineLevel="0" collapsed="false">
      <c r="B72" s="160" t="n">
        <v>67</v>
      </c>
      <c r="C72" s="156" t="n">
        <v>0</v>
      </c>
      <c r="D72" s="17" t="n">
        <v>0</v>
      </c>
      <c r="J72" s="127" t="n">
        <v>10</v>
      </c>
      <c r="K72" s="159" t="s">
        <v>240</v>
      </c>
      <c r="L72" s="127" t="n">
        <v>137</v>
      </c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 customFormat="false" ht="13.8" hidden="false" customHeight="false" outlineLevel="0" collapsed="false">
      <c r="B73" s="160" t="n">
        <v>68</v>
      </c>
      <c r="C73" s="156" t="n">
        <v>0</v>
      </c>
      <c r="D73" s="17" t="n">
        <v>0</v>
      </c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 customFormat="false" ht="13.8" hidden="false" customHeight="false" outlineLevel="0" collapsed="false">
      <c r="B74" s="160" t="n">
        <v>69</v>
      </c>
      <c r="C74" s="156" t="n">
        <v>0</v>
      </c>
      <c r="D74" s="17" t="n">
        <v>0</v>
      </c>
      <c r="J74" s="164" t="s">
        <v>256</v>
      </c>
      <c r="K74" s="164"/>
      <c r="L74" s="164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 customFormat="false" ht="13.8" hidden="false" customHeight="false" outlineLevel="0" collapsed="false">
      <c r="B75" s="160" t="n">
        <v>70</v>
      </c>
      <c r="C75" s="156" t="n">
        <v>0</v>
      </c>
      <c r="D75" s="17" t="n">
        <v>0</v>
      </c>
      <c r="J75" s="164"/>
      <c r="K75" s="164"/>
      <c r="L75" s="164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 customFormat="false" ht="13.8" hidden="false" customHeight="false" outlineLevel="0" collapsed="false">
      <c r="B76" s="160" t="n">
        <v>71</v>
      </c>
      <c r="C76" s="156" t="n">
        <v>0</v>
      </c>
      <c r="D76" s="17" t="n">
        <v>0</v>
      </c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 customFormat="false" ht="13.8" hidden="false" customHeight="false" outlineLevel="0" collapsed="false">
      <c r="B77" s="160" t="n">
        <v>72</v>
      </c>
      <c r="C77" s="156" t="n">
        <v>0</v>
      </c>
      <c r="D77" s="17" t="n">
        <v>0</v>
      </c>
      <c r="J77" s="165" t="n">
        <v>1</v>
      </c>
      <c r="K77" s="159" t="s">
        <v>252</v>
      </c>
      <c r="L77" s="127" t="n">
        <v>434</v>
      </c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 customFormat="false" ht="13.8" hidden="false" customHeight="false" outlineLevel="0" collapsed="false">
      <c r="B78" s="160" t="n">
        <v>73</v>
      </c>
      <c r="C78" s="156" t="n">
        <v>0</v>
      </c>
      <c r="D78" s="17" t="n">
        <v>0</v>
      </c>
      <c r="J78" s="127" t="n">
        <v>2</v>
      </c>
      <c r="K78" s="159" t="s">
        <v>247</v>
      </c>
      <c r="L78" s="127" t="n">
        <v>373</v>
      </c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 customFormat="false" ht="13.8" hidden="false" customHeight="false" outlineLevel="0" collapsed="false">
      <c r="B79" s="160" t="n">
        <v>74</v>
      </c>
      <c r="C79" s="156" t="n">
        <v>0</v>
      </c>
      <c r="D79" s="17" t="n">
        <v>0</v>
      </c>
      <c r="J79" s="127" t="n">
        <v>3</v>
      </c>
      <c r="K79" s="159" t="s">
        <v>250</v>
      </c>
      <c r="L79" s="127" t="n">
        <v>334</v>
      </c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 customFormat="false" ht="13.8" hidden="false" customHeight="false" outlineLevel="0" collapsed="false">
      <c r="B80" s="160" t="n">
        <v>75</v>
      </c>
      <c r="C80" s="156" t="n">
        <v>0</v>
      </c>
      <c r="D80" s="17" t="n">
        <v>0</v>
      </c>
      <c r="J80" s="127" t="n">
        <v>4</v>
      </c>
      <c r="K80" s="17" t="s">
        <v>254</v>
      </c>
      <c r="L80" s="127" t="n">
        <v>283</v>
      </c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 customFormat="false" ht="13.8" hidden="false" customHeight="false" outlineLevel="0" collapsed="false">
      <c r="B81" s="160" t="n">
        <v>76</v>
      </c>
      <c r="C81" s="156" t="n">
        <v>0</v>
      </c>
      <c r="D81" s="17" t="n">
        <v>0</v>
      </c>
      <c r="J81" s="127" t="n">
        <v>5</v>
      </c>
      <c r="K81" s="17" t="s">
        <v>249</v>
      </c>
      <c r="L81" s="127" t="n">
        <v>282</v>
      </c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 customFormat="false" ht="13.8" hidden="false" customHeight="false" outlineLevel="0" collapsed="false">
      <c r="B82" s="160" t="n">
        <v>77</v>
      </c>
      <c r="C82" s="156" t="n">
        <v>0</v>
      </c>
      <c r="D82" s="17" t="n">
        <v>0</v>
      </c>
      <c r="J82" s="127" t="n">
        <v>6</v>
      </c>
      <c r="K82" s="159" t="s">
        <v>248</v>
      </c>
      <c r="L82" s="127" t="n">
        <v>277</v>
      </c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 customFormat="false" ht="13.8" hidden="false" customHeight="false" outlineLevel="0" collapsed="false">
      <c r="B83" s="160" t="n">
        <v>78</v>
      </c>
      <c r="C83" s="156" t="n">
        <v>0</v>
      </c>
      <c r="D83" s="17" t="n">
        <v>0</v>
      </c>
      <c r="J83" s="127" t="n">
        <v>7</v>
      </c>
      <c r="K83" s="159" t="s">
        <v>240</v>
      </c>
      <c r="L83" s="127" t="n">
        <v>263</v>
      </c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 customFormat="false" ht="13.8" hidden="false" customHeight="false" outlineLevel="0" collapsed="false">
      <c r="B84" s="160" t="n">
        <v>79</v>
      </c>
      <c r="C84" s="156" t="n">
        <v>0</v>
      </c>
      <c r="D84" s="17" t="n">
        <v>0</v>
      </c>
      <c r="J84" s="127" t="n">
        <v>8</v>
      </c>
      <c r="K84" s="17" t="s">
        <v>251</v>
      </c>
      <c r="L84" s="127" t="n">
        <v>257</v>
      </c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 customFormat="false" ht="13.8" hidden="false" customHeight="false" outlineLevel="0" collapsed="false">
      <c r="B85" s="160" t="n">
        <v>80</v>
      </c>
      <c r="C85" s="156" t="n">
        <v>0</v>
      </c>
      <c r="D85" s="17" t="n">
        <v>0</v>
      </c>
      <c r="J85" s="127" t="n">
        <v>9</v>
      </c>
      <c r="K85" s="17" t="s">
        <v>255</v>
      </c>
      <c r="L85" s="127" t="n">
        <v>196</v>
      </c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 customFormat="false" ht="13.8" hidden="false" customHeight="false" outlineLevel="0" collapsed="false">
      <c r="B86" s="160" t="n">
        <v>81</v>
      </c>
      <c r="C86" s="156" t="n">
        <v>0</v>
      </c>
      <c r="D86" s="17" t="n">
        <v>0</v>
      </c>
      <c r="J86" s="127" t="n">
        <v>10</v>
      </c>
      <c r="K86" s="17" t="s">
        <v>253</v>
      </c>
      <c r="L86" s="127" t="n">
        <v>160</v>
      </c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 customFormat="false" ht="13.8" hidden="false" customHeight="false" outlineLevel="0" collapsed="false">
      <c r="B87" s="160" t="n">
        <v>82</v>
      </c>
      <c r="C87" s="156" t="n">
        <v>0</v>
      </c>
      <c r="D87" s="17" t="n">
        <v>0</v>
      </c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customFormat="false" ht="13.8" hidden="false" customHeight="false" outlineLevel="0" collapsed="false">
      <c r="B88" s="160" t="n">
        <v>83</v>
      </c>
      <c r="C88" s="156" t="n">
        <v>0</v>
      </c>
      <c r="D88" s="17" t="n">
        <v>0</v>
      </c>
      <c r="J88" s="164" t="s">
        <v>225</v>
      </c>
      <c r="K88" s="164"/>
      <c r="L88" s="164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customFormat="false" ht="13.8" hidden="false" customHeight="false" outlineLevel="0" collapsed="false">
      <c r="B89" s="160" t="n">
        <v>84</v>
      </c>
      <c r="C89" s="156" t="n">
        <v>0</v>
      </c>
      <c r="D89" s="17" t="n">
        <v>0</v>
      </c>
      <c r="J89" s="164"/>
      <c r="K89" s="164"/>
      <c r="L89" s="164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 customFormat="false" ht="13.8" hidden="false" customHeight="false" outlineLevel="0" collapsed="false">
      <c r="B90" s="160" t="n">
        <v>85</v>
      </c>
      <c r="C90" s="156" t="n">
        <v>0</v>
      </c>
      <c r="D90" s="17" t="n">
        <v>0</v>
      </c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 customFormat="false" ht="13.8" hidden="false" customHeight="false" outlineLevel="0" collapsed="false">
      <c r="B91" s="160" t="n">
        <v>86</v>
      </c>
      <c r="C91" s="156" t="n">
        <v>0</v>
      </c>
      <c r="D91" s="17" t="n">
        <v>0</v>
      </c>
      <c r="J91" s="165" t="n">
        <v>1</v>
      </c>
      <c r="K91" s="159" t="s">
        <v>248</v>
      </c>
      <c r="L91" s="127" t="n">
        <v>503</v>
      </c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 customFormat="false" ht="13.8" hidden="false" customHeight="false" outlineLevel="0" collapsed="false">
      <c r="B92" s="160" t="n">
        <v>87</v>
      </c>
      <c r="C92" s="156" t="n">
        <v>0</v>
      </c>
      <c r="D92" s="17" t="n">
        <v>0</v>
      </c>
      <c r="J92" s="127" t="n">
        <v>2</v>
      </c>
      <c r="K92" s="17" t="s">
        <v>251</v>
      </c>
      <c r="L92" s="127" t="n">
        <v>389</v>
      </c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 customFormat="false" ht="13.8" hidden="false" customHeight="false" outlineLevel="0" collapsed="false">
      <c r="B93" s="160" t="n">
        <v>88</v>
      </c>
      <c r="C93" s="156" t="n">
        <v>0</v>
      </c>
      <c r="D93" s="17" t="n">
        <v>0</v>
      </c>
      <c r="J93" s="127" t="n">
        <v>3</v>
      </c>
      <c r="K93" s="159" t="s">
        <v>247</v>
      </c>
      <c r="L93" s="127" t="n">
        <v>345</v>
      </c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 customFormat="false" ht="13.8" hidden="false" customHeight="false" outlineLevel="0" collapsed="false">
      <c r="B94" s="160" t="n">
        <v>89</v>
      </c>
      <c r="C94" s="156" t="n">
        <v>0</v>
      </c>
      <c r="D94" s="17" t="n">
        <v>0</v>
      </c>
      <c r="J94" s="127" t="n">
        <v>4</v>
      </c>
      <c r="K94" s="159" t="s">
        <v>252</v>
      </c>
      <c r="L94" s="127" t="n">
        <v>321</v>
      </c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 customFormat="false" ht="13.8" hidden="false" customHeight="false" outlineLevel="0" collapsed="false">
      <c r="B95" s="160" t="n">
        <v>90</v>
      </c>
      <c r="C95" s="156" t="n">
        <v>0</v>
      </c>
      <c r="D95" s="17" t="n">
        <v>0</v>
      </c>
      <c r="J95" s="127" t="n">
        <v>5</v>
      </c>
      <c r="K95" s="17" t="s">
        <v>249</v>
      </c>
      <c r="L95" s="127" t="n">
        <v>308</v>
      </c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 customFormat="false" ht="13.8" hidden="false" customHeight="false" outlineLevel="0" collapsed="false">
      <c r="B96" s="160" t="n">
        <v>91</v>
      </c>
      <c r="C96" s="156" t="n">
        <v>0</v>
      </c>
      <c r="D96" s="17" t="n">
        <v>0</v>
      </c>
      <c r="J96" s="127" t="n">
        <v>6</v>
      </c>
      <c r="K96" s="17" t="s">
        <v>254</v>
      </c>
      <c r="L96" s="127" t="n">
        <v>282</v>
      </c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 customFormat="false" ht="13.8" hidden="false" customHeight="false" outlineLevel="0" collapsed="false">
      <c r="B97" s="160" t="n">
        <v>92</v>
      </c>
      <c r="C97" s="156" t="n">
        <v>0</v>
      </c>
      <c r="D97" s="17" t="n">
        <v>0</v>
      </c>
      <c r="J97" s="127" t="n">
        <v>7</v>
      </c>
      <c r="K97" s="17" t="s">
        <v>255</v>
      </c>
      <c r="L97" s="127" t="n">
        <v>258</v>
      </c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 customFormat="false" ht="13.8" hidden="false" customHeight="false" outlineLevel="0" collapsed="false">
      <c r="B98" s="160" t="n">
        <v>93</v>
      </c>
      <c r="C98" s="156" t="n">
        <v>0</v>
      </c>
      <c r="D98" s="17" t="n">
        <v>0</v>
      </c>
      <c r="J98" s="127" t="n">
        <v>8</v>
      </c>
      <c r="K98" s="159" t="s">
        <v>240</v>
      </c>
      <c r="L98" s="127" t="n">
        <v>241</v>
      </c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 customFormat="false" ht="13.8" hidden="false" customHeight="false" outlineLevel="0" collapsed="false">
      <c r="B99" s="160" t="n">
        <v>94</v>
      </c>
      <c r="C99" s="156" t="n">
        <v>0</v>
      </c>
      <c r="D99" s="17" t="n">
        <v>0</v>
      </c>
      <c r="J99" s="127" t="n">
        <v>9</v>
      </c>
      <c r="K99" s="17" t="s">
        <v>253</v>
      </c>
      <c r="L99" s="127" t="n">
        <v>221</v>
      </c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 customFormat="false" ht="13.8" hidden="false" customHeight="false" outlineLevel="0" collapsed="false">
      <c r="B100" s="160" t="n">
        <v>95</v>
      </c>
      <c r="C100" s="156" t="n">
        <v>0</v>
      </c>
      <c r="D100" s="17" t="n">
        <v>0</v>
      </c>
      <c r="J100" s="127" t="n">
        <v>10</v>
      </c>
      <c r="K100" s="159" t="s">
        <v>250</v>
      </c>
      <c r="L100" s="127" t="n">
        <v>206</v>
      </c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customFormat="false" ht="13.8" hidden="false" customHeight="false" outlineLevel="0" collapsed="false">
      <c r="B101" s="160" t="n">
        <v>96</v>
      </c>
      <c r="C101" s="156" t="n">
        <v>0</v>
      </c>
      <c r="D101" s="17" t="n">
        <v>0</v>
      </c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customFormat="false" ht="13.8" hidden="false" customHeight="false" outlineLevel="0" collapsed="false">
      <c r="B102" s="160" t="n">
        <v>97</v>
      </c>
      <c r="C102" s="156" t="n">
        <v>0</v>
      </c>
      <c r="D102" s="17" t="n">
        <v>0</v>
      </c>
      <c r="J102" s="164" t="s">
        <v>224</v>
      </c>
      <c r="K102" s="164"/>
      <c r="L102" s="164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customFormat="false" ht="13.8" hidden="false" customHeight="false" outlineLevel="0" collapsed="false">
      <c r="B103" s="160" t="n">
        <v>98</v>
      </c>
      <c r="C103" s="156" t="n">
        <v>0</v>
      </c>
      <c r="D103" s="17" t="n">
        <v>0</v>
      </c>
      <c r="J103" s="164"/>
      <c r="K103" s="164"/>
      <c r="L103" s="164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 customFormat="false" ht="13.8" hidden="false" customHeight="false" outlineLevel="0" collapsed="false">
      <c r="B104" s="160" t="n">
        <v>99</v>
      </c>
      <c r="C104" s="156" t="n">
        <v>0</v>
      </c>
      <c r="D104" s="17" t="n">
        <v>0</v>
      </c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 customFormat="false" ht="13.8" hidden="false" customHeight="false" outlineLevel="0" collapsed="false">
      <c r="B105" s="160" t="n">
        <v>100</v>
      </c>
      <c r="C105" s="156" t="n">
        <v>0</v>
      </c>
      <c r="D105" s="17" t="n">
        <v>0</v>
      </c>
      <c r="J105" s="165" t="n">
        <v>1</v>
      </c>
      <c r="K105" s="159" t="s">
        <v>250</v>
      </c>
      <c r="L105" s="127" t="n">
        <v>240</v>
      </c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 customFormat="false" ht="13.8" hidden="false" customHeight="false" outlineLevel="0" collapsed="false">
      <c r="B106" s="160" t="n">
        <v>101</v>
      </c>
      <c r="C106" s="156" t="n">
        <v>0</v>
      </c>
      <c r="D106" s="17" t="n">
        <v>0</v>
      </c>
      <c r="J106" s="127" t="n">
        <v>2</v>
      </c>
      <c r="K106" s="159" t="s">
        <v>252</v>
      </c>
      <c r="L106" s="127" t="n">
        <v>238</v>
      </c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 customFormat="false" ht="13.8" hidden="false" customHeight="false" outlineLevel="0" collapsed="false">
      <c r="B107" s="160" t="n">
        <v>102</v>
      </c>
      <c r="C107" s="156" t="n">
        <v>0</v>
      </c>
      <c r="D107" s="17" t="n">
        <v>0</v>
      </c>
      <c r="J107" s="127" t="n">
        <v>3</v>
      </c>
      <c r="K107" s="159" t="s">
        <v>248</v>
      </c>
      <c r="L107" s="127" t="n">
        <v>236</v>
      </c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 customFormat="false" ht="13.8" hidden="false" customHeight="false" outlineLevel="0" collapsed="false">
      <c r="B108" s="160" t="n">
        <v>103</v>
      </c>
      <c r="C108" s="156" t="n">
        <v>0</v>
      </c>
      <c r="D108" s="17" t="n">
        <v>0</v>
      </c>
      <c r="J108" s="127" t="n">
        <v>4</v>
      </c>
      <c r="K108" s="159" t="s">
        <v>240</v>
      </c>
      <c r="L108" s="127" t="n">
        <v>234</v>
      </c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 customFormat="false" ht="13.8" hidden="false" customHeight="false" outlineLevel="0" collapsed="false">
      <c r="B109" s="160" t="n">
        <v>104</v>
      </c>
      <c r="C109" s="156" t="n">
        <v>0</v>
      </c>
      <c r="D109" s="17" t="n">
        <v>0</v>
      </c>
      <c r="J109" s="127" t="n">
        <v>5</v>
      </c>
      <c r="K109" s="17" t="s">
        <v>251</v>
      </c>
      <c r="L109" s="127" t="n">
        <v>213</v>
      </c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 customFormat="false" ht="13.8" hidden="false" customHeight="false" outlineLevel="0" collapsed="false">
      <c r="B110" s="160" t="n">
        <v>105</v>
      </c>
      <c r="C110" s="156" t="n">
        <v>0</v>
      </c>
      <c r="D110" s="17" t="n">
        <v>0</v>
      </c>
      <c r="J110" s="127" t="n">
        <v>6</v>
      </c>
      <c r="K110" s="17" t="s">
        <v>254</v>
      </c>
      <c r="L110" s="127" t="n">
        <v>188</v>
      </c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 customFormat="false" ht="13.8" hidden="false" customHeight="false" outlineLevel="0" collapsed="false">
      <c r="B111" s="160" t="n">
        <v>106</v>
      </c>
      <c r="C111" s="156" t="n">
        <v>0</v>
      </c>
      <c r="D111" s="17" t="n">
        <v>0</v>
      </c>
      <c r="J111" s="127" t="n">
        <v>7</v>
      </c>
      <c r="K111" s="17" t="s">
        <v>255</v>
      </c>
      <c r="L111" s="127" t="n">
        <v>186</v>
      </c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 customFormat="false" ht="13.8" hidden="false" customHeight="false" outlineLevel="0" collapsed="false">
      <c r="B112" s="160" t="n">
        <v>107</v>
      </c>
      <c r="C112" s="156" t="n">
        <v>0</v>
      </c>
      <c r="D112" s="17" t="n">
        <v>0</v>
      </c>
      <c r="J112" s="127" t="n">
        <v>8</v>
      </c>
      <c r="K112" s="159" t="s">
        <v>247</v>
      </c>
      <c r="L112" s="127" t="n">
        <v>113</v>
      </c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 customFormat="false" ht="13.8" hidden="false" customHeight="false" outlineLevel="0" collapsed="false">
      <c r="B113" s="160" t="n">
        <v>108</v>
      </c>
      <c r="C113" s="156" t="n">
        <v>0</v>
      </c>
      <c r="D113" s="17" t="n">
        <v>0</v>
      </c>
      <c r="J113" s="127" t="n">
        <v>9</v>
      </c>
      <c r="K113" s="17" t="s">
        <v>249</v>
      </c>
      <c r="L113" s="127" t="n">
        <v>97</v>
      </c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 customFormat="false" ht="13.8" hidden="false" customHeight="false" outlineLevel="0" collapsed="false">
      <c r="B114" s="160" t="n">
        <v>109</v>
      </c>
      <c r="C114" s="156" t="n">
        <v>0</v>
      </c>
      <c r="D114" s="17" t="n">
        <v>0</v>
      </c>
      <c r="J114" s="127" t="n">
        <v>10</v>
      </c>
      <c r="K114" s="17" t="s">
        <v>253</v>
      </c>
      <c r="L114" s="127" t="n">
        <v>0</v>
      </c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 customFormat="false" ht="13.8" hidden="false" customHeight="false" outlineLevel="0" collapsed="false">
      <c r="B115" s="160" t="n">
        <v>110</v>
      </c>
      <c r="C115" s="156" t="n">
        <v>0</v>
      </c>
      <c r="D115" s="17" t="n">
        <v>0</v>
      </c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 customFormat="false" ht="13.8" hidden="false" customHeight="false" outlineLevel="0" collapsed="false">
      <c r="B116" s="160" t="n">
        <v>111</v>
      </c>
      <c r="C116" s="156" t="n">
        <v>0</v>
      </c>
      <c r="D116" s="17" t="n">
        <v>0</v>
      </c>
      <c r="J116" s="166" t="s">
        <v>257</v>
      </c>
      <c r="K116" s="166"/>
      <c r="L116" s="166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 customFormat="false" ht="13.8" hidden="false" customHeight="false" outlineLevel="0" collapsed="false">
      <c r="B117" s="160" t="n">
        <v>112</v>
      </c>
      <c r="C117" s="156" t="n">
        <v>0</v>
      </c>
      <c r="D117" s="17" t="n">
        <v>0</v>
      </c>
      <c r="J117" s="166"/>
      <c r="K117" s="166"/>
      <c r="L117" s="166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</row>
    <row r="118" customFormat="false" ht="13.8" hidden="false" customHeight="false" outlineLevel="0" collapsed="false">
      <c r="B118" s="160" t="n">
        <v>113</v>
      </c>
      <c r="C118" s="156" t="n">
        <v>0</v>
      </c>
      <c r="D118" s="17" t="n">
        <v>0</v>
      </c>
      <c r="J118" s="17"/>
      <c r="K118" s="17"/>
      <c r="L118" s="1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</row>
    <row r="119" customFormat="false" ht="13.8" hidden="false" customHeight="false" outlineLevel="0" collapsed="false">
      <c r="B119" s="160" t="n">
        <v>114</v>
      </c>
      <c r="C119" s="156" t="n">
        <v>0</v>
      </c>
      <c r="D119" s="17" t="n">
        <v>0</v>
      </c>
      <c r="J119" s="165" t="n">
        <v>1</v>
      </c>
      <c r="K119" s="17" t="s">
        <v>252</v>
      </c>
      <c r="L119" s="127" t="n">
        <v>445</v>
      </c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</row>
    <row r="120" customFormat="false" ht="13.8" hidden="false" customHeight="false" outlineLevel="0" collapsed="false">
      <c r="B120" s="160" t="n">
        <v>115</v>
      </c>
      <c r="C120" s="156" t="n">
        <v>0</v>
      </c>
      <c r="D120" s="17" t="n">
        <v>0</v>
      </c>
      <c r="J120" s="127" t="n">
        <v>2</v>
      </c>
      <c r="K120" s="17" t="s">
        <v>247</v>
      </c>
      <c r="L120" s="127" t="n">
        <v>416</v>
      </c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</row>
    <row r="121" customFormat="false" ht="13.8" hidden="false" customHeight="false" outlineLevel="0" collapsed="false">
      <c r="B121" s="160" t="s">
        <v>30</v>
      </c>
      <c r="C121" s="156" t="n">
        <v>0</v>
      </c>
      <c r="D121" s="17" t="n">
        <v>0</v>
      </c>
      <c r="J121" s="127" t="n">
        <v>3</v>
      </c>
      <c r="K121" s="17" t="s">
        <v>251</v>
      </c>
      <c r="L121" s="127" t="n">
        <v>358</v>
      </c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</row>
    <row r="122" customFormat="false" ht="13.8" hidden="false" customHeight="false" outlineLevel="0" collapsed="false">
      <c r="J122" s="127" t="n">
        <v>4</v>
      </c>
      <c r="K122" s="17" t="s">
        <v>248</v>
      </c>
      <c r="L122" s="127" t="n">
        <v>309</v>
      </c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</row>
    <row r="123" customFormat="false" ht="13.8" hidden="false" customHeight="false" outlineLevel="0" collapsed="false">
      <c r="J123" s="127" t="n">
        <v>5</v>
      </c>
      <c r="K123" s="17" t="s">
        <v>254</v>
      </c>
      <c r="L123" s="127" t="n">
        <v>304</v>
      </c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</row>
    <row r="124" customFormat="false" ht="13.8" hidden="false" customHeight="false" outlineLevel="0" collapsed="false">
      <c r="J124" s="127" t="n">
        <v>6</v>
      </c>
      <c r="K124" s="17" t="s">
        <v>249</v>
      </c>
      <c r="L124" s="127" t="n">
        <v>296</v>
      </c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</row>
    <row r="125" customFormat="false" ht="13.8" hidden="false" customHeight="false" outlineLevel="0" collapsed="false">
      <c r="J125" s="127" t="n">
        <v>7</v>
      </c>
      <c r="K125" s="17" t="s">
        <v>253</v>
      </c>
      <c r="L125" s="127" t="n">
        <v>229</v>
      </c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</row>
    <row r="126" customFormat="false" ht="13.8" hidden="false" customHeight="false" outlineLevel="0" collapsed="false">
      <c r="J126" s="127" t="n">
        <v>8</v>
      </c>
      <c r="K126" s="17" t="s">
        <v>240</v>
      </c>
      <c r="L126" s="127" t="n">
        <v>208</v>
      </c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</row>
    <row r="127" customFormat="false" ht="13.8" hidden="false" customHeight="false" outlineLevel="0" collapsed="false">
      <c r="J127" s="127" t="n">
        <v>9</v>
      </c>
      <c r="K127" s="17" t="s">
        <v>250</v>
      </c>
      <c r="L127" s="127" t="n">
        <v>189</v>
      </c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</row>
    <row r="128" customFormat="false" ht="13.8" hidden="false" customHeight="false" outlineLevel="0" collapsed="false">
      <c r="J128" s="127" t="n">
        <v>10</v>
      </c>
      <c r="K128" s="17" t="s">
        <v>255</v>
      </c>
      <c r="L128" s="127" t="n">
        <v>92</v>
      </c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</row>
    <row r="129" customFormat="false" ht="13.8" hidden="false" customHeight="false" outlineLevel="0" collapsed="false">
      <c r="J129" s="167"/>
      <c r="K129" s="167"/>
      <c r="L129" s="16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</row>
    <row r="130" customFormat="false" ht="13.8" hidden="false" customHeight="false" outlineLevel="0" collapsed="false">
      <c r="J130" s="168" t="s">
        <v>258</v>
      </c>
      <c r="K130" s="168"/>
      <c r="L130" s="168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</row>
    <row r="131" customFormat="false" ht="13.8" hidden="false" customHeight="false" outlineLevel="0" collapsed="false">
      <c r="J131" s="168"/>
      <c r="K131" s="168"/>
      <c r="L131" s="168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</row>
    <row r="132" customFormat="false" ht="13.8" hidden="false" customHeight="false" outlineLevel="0" collapsed="false">
      <c r="J132" s="17"/>
      <c r="K132" s="17"/>
      <c r="L132" s="1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</row>
    <row r="133" customFormat="false" ht="13.8" hidden="false" customHeight="false" outlineLevel="0" collapsed="false">
      <c r="J133" s="165" t="n">
        <v>1</v>
      </c>
      <c r="K133" s="17" t="s">
        <v>252</v>
      </c>
      <c r="L133" s="127" t="n">
        <v>491</v>
      </c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</row>
    <row r="134" customFormat="false" ht="13.8" hidden="false" customHeight="false" outlineLevel="0" collapsed="false">
      <c r="J134" s="127" t="n">
        <v>2</v>
      </c>
      <c r="K134" s="17" t="s">
        <v>251</v>
      </c>
      <c r="L134" s="127" t="n">
        <v>407</v>
      </c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</row>
    <row r="135" customFormat="false" ht="13.8" hidden="false" customHeight="false" outlineLevel="0" collapsed="false">
      <c r="J135" s="127" t="n">
        <v>3</v>
      </c>
      <c r="K135" s="17" t="s">
        <v>250</v>
      </c>
      <c r="L135" s="127" t="n">
        <v>387</v>
      </c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</row>
    <row r="136" customFormat="false" ht="13.8" hidden="false" customHeight="false" outlineLevel="0" collapsed="false">
      <c r="J136" s="127" t="n">
        <v>4</v>
      </c>
      <c r="K136" s="17" t="s">
        <v>247</v>
      </c>
      <c r="L136" s="127" t="n">
        <v>364</v>
      </c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</row>
    <row r="137" customFormat="false" ht="13.8" hidden="false" customHeight="false" outlineLevel="0" collapsed="false">
      <c r="J137" s="127" t="n">
        <v>5</v>
      </c>
      <c r="K137" s="17" t="s">
        <v>248</v>
      </c>
      <c r="L137" s="127" t="n">
        <v>352</v>
      </c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</row>
    <row r="138" customFormat="false" ht="13.8" hidden="false" customHeight="false" outlineLevel="0" collapsed="false">
      <c r="J138" s="127" t="n">
        <v>6</v>
      </c>
      <c r="K138" s="17" t="s">
        <v>254</v>
      </c>
      <c r="L138" s="127" t="n">
        <v>321</v>
      </c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</row>
    <row r="139" customFormat="false" ht="13.8" hidden="false" customHeight="false" outlineLevel="0" collapsed="false">
      <c r="J139" s="127" t="n">
        <v>7</v>
      </c>
      <c r="K139" s="17" t="s">
        <v>240</v>
      </c>
      <c r="L139" s="127" t="n">
        <v>295</v>
      </c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</row>
    <row r="140" customFormat="false" ht="13.8" hidden="false" customHeight="false" outlineLevel="0" collapsed="false">
      <c r="J140" s="127" t="n">
        <v>8</v>
      </c>
      <c r="K140" s="17" t="s">
        <v>253</v>
      </c>
      <c r="L140" s="127" t="n">
        <v>282</v>
      </c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</row>
    <row r="141" customFormat="false" ht="13.8" hidden="false" customHeight="false" outlineLevel="0" collapsed="false">
      <c r="J141" s="127" t="n">
        <v>9</v>
      </c>
      <c r="K141" s="17" t="s">
        <v>255</v>
      </c>
      <c r="L141" s="127" t="n">
        <v>226</v>
      </c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</row>
    <row r="142" customFormat="false" ht="13.8" hidden="false" customHeight="false" outlineLevel="0" collapsed="false">
      <c r="J142" s="127" t="n">
        <v>10</v>
      </c>
      <c r="K142" s="17" t="s">
        <v>249</v>
      </c>
      <c r="L142" s="127" t="n">
        <v>106</v>
      </c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</row>
    <row r="143" customFormat="false" ht="13.8" hidden="false" customHeight="false" outlineLevel="0" collapsed="false">
      <c r="J143" s="167"/>
      <c r="K143" s="167"/>
      <c r="L143" s="16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</row>
    <row r="144" customFormat="false" ht="13.8" hidden="false" customHeight="false" outlineLevel="0" collapsed="false">
      <c r="J144" s="168" t="s">
        <v>221</v>
      </c>
      <c r="K144" s="168"/>
      <c r="L144" s="168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</row>
    <row r="145" customFormat="false" ht="13.8" hidden="false" customHeight="false" outlineLevel="0" collapsed="false">
      <c r="J145" s="168"/>
      <c r="K145" s="168"/>
      <c r="L145" s="168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</row>
    <row r="146" customFormat="false" ht="13.8" hidden="false" customHeight="false" outlineLevel="0" collapsed="false">
      <c r="J146" s="17"/>
      <c r="K146" s="17"/>
      <c r="L146" s="1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</row>
    <row r="147" customFormat="false" ht="13.8" hidden="false" customHeight="false" outlineLevel="0" collapsed="false">
      <c r="J147" s="165" t="n">
        <v>1</v>
      </c>
      <c r="K147" s="17" t="s">
        <v>254</v>
      </c>
      <c r="L147" s="127" t="n">
        <v>463</v>
      </c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</row>
    <row r="148" customFormat="false" ht="13.8" hidden="false" customHeight="false" outlineLevel="0" collapsed="false">
      <c r="J148" s="127" t="n">
        <v>2</v>
      </c>
      <c r="K148" s="17" t="s">
        <v>251</v>
      </c>
      <c r="L148" s="127" t="n">
        <v>446</v>
      </c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</row>
    <row r="149" customFormat="false" ht="13.8" hidden="false" customHeight="false" outlineLevel="0" collapsed="false">
      <c r="J149" s="127" t="n">
        <v>3</v>
      </c>
      <c r="K149" s="17" t="s">
        <v>248</v>
      </c>
      <c r="L149" s="127" t="n">
        <v>424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</row>
    <row r="150" customFormat="false" ht="13.8" hidden="false" customHeight="false" outlineLevel="0" collapsed="false">
      <c r="J150" s="127" t="n">
        <v>4</v>
      </c>
      <c r="K150" s="17" t="s">
        <v>249</v>
      </c>
      <c r="L150" s="127" t="n">
        <v>362</v>
      </c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</row>
    <row r="151" customFormat="false" ht="13.8" hidden="false" customHeight="false" outlineLevel="0" collapsed="false">
      <c r="J151" s="127" t="n">
        <v>5</v>
      </c>
      <c r="K151" s="17" t="s">
        <v>250</v>
      </c>
      <c r="L151" s="127" t="n">
        <v>358</v>
      </c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</row>
    <row r="152" customFormat="false" ht="13.8" hidden="false" customHeight="false" outlineLevel="0" collapsed="false">
      <c r="J152" s="127" t="n">
        <v>6</v>
      </c>
      <c r="K152" s="17" t="s">
        <v>252</v>
      </c>
      <c r="L152" s="127" t="n">
        <v>380</v>
      </c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</row>
    <row r="153" customFormat="false" ht="13.8" hidden="false" customHeight="false" outlineLevel="0" collapsed="false">
      <c r="J153" s="127" t="n">
        <v>7</v>
      </c>
      <c r="K153" s="17" t="s">
        <v>247</v>
      </c>
      <c r="L153" s="127" t="n">
        <v>313</v>
      </c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</row>
    <row r="154" customFormat="false" ht="13.8" hidden="false" customHeight="false" outlineLevel="0" collapsed="false">
      <c r="J154" s="127" t="n">
        <v>8</v>
      </c>
      <c r="K154" s="17" t="s">
        <v>240</v>
      </c>
      <c r="L154" s="127" t="n">
        <v>241</v>
      </c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</row>
    <row r="155" customFormat="false" ht="13.8" hidden="false" customHeight="false" outlineLevel="0" collapsed="false">
      <c r="J155" s="127" t="n">
        <v>9</v>
      </c>
      <c r="K155" s="17" t="s">
        <v>255</v>
      </c>
      <c r="L155" s="127" t="n">
        <v>196</v>
      </c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</row>
    <row r="156" customFormat="false" ht="13.8" hidden="false" customHeight="false" outlineLevel="0" collapsed="false">
      <c r="J156" s="127" t="n">
        <v>10</v>
      </c>
      <c r="K156" s="17" t="s">
        <v>253</v>
      </c>
      <c r="L156" s="127" t="n">
        <v>174</v>
      </c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</row>
    <row r="157" customFormat="false" ht="13.8" hidden="false" customHeight="false" outlineLevel="0" collapsed="false">
      <c r="J157" s="167"/>
      <c r="K157" s="167"/>
      <c r="L157" s="16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</row>
    <row r="158" customFormat="false" ht="13.8" hidden="false" customHeight="false" outlineLevel="0" collapsed="false">
      <c r="J158" s="168" t="s">
        <v>259</v>
      </c>
      <c r="K158" s="168"/>
      <c r="L158" s="168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</row>
    <row r="159" customFormat="false" ht="13.8" hidden="false" customHeight="false" outlineLevel="0" collapsed="false">
      <c r="J159" s="168"/>
      <c r="K159" s="168"/>
      <c r="L159" s="168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</row>
    <row r="160" customFormat="false" ht="13.8" hidden="false" customHeight="false" outlineLevel="0" collapsed="false">
      <c r="J160" s="17"/>
      <c r="K160" s="17"/>
      <c r="L160" s="1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</row>
    <row r="161" customFormat="false" ht="13.8" hidden="false" customHeight="false" outlineLevel="0" collapsed="false">
      <c r="J161" s="165" t="n">
        <v>1</v>
      </c>
      <c r="K161" s="17" t="s">
        <v>248</v>
      </c>
      <c r="L161" s="127" t="n">
        <v>384</v>
      </c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</row>
    <row r="162" customFormat="false" ht="13.8" hidden="false" customHeight="false" outlineLevel="0" collapsed="false">
      <c r="J162" s="127" t="n">
        <v>2</v>
      </c>
      <c r="K162" s="17" t="s">
        <v>252</v>
      </c>
      <c r="L162" s="127" t="n">
        <v>367</v>
      </c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</row>
    <row r="163" customFormat="false" ht="13.8" hidden="false" customHeight="false" outlineLevel="0" collapsed="false">
      <c r="J163" s="127" t="n">
        <v>3</v>
      </c>
      <c r="K163" s="17" t="s">
        <v>247</v>
      </c>
      <c r="L163" s="127" t="n">
        <v>350</v>
      </c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</row>
    <row r="164" customFormat="false" ht="13.8" hidden="false" customHeight="false" outlineLevel="0" collapsed="false">
      <c r="J164" s="127" t="n">
        <v>4</v>
      </c>
      <c r="K164" s="17" t="s">
        <v>253</v>
      </c>
      <c r="L164" s="127" t="n">
        <v>343</v>
      </c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</row>
    <row r="165" customFormat="false" ht="13.8" hidden="false" customHeight="false" outlineLevel="0" collapsed="false">
      <c r="J165" s="127" t="n">
        <v>5</v>
      </c>
      <c r="K165" s="17" t="s">
        <v>251</v>
      </c>
      <c r="L165" s="127" t="n">
        <v>323</v>
      </c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</row>
    <row r="166" customFormat="false" ht="13.8" hidden="false" customHeight="false" outlineLevel="0" collapsed="false">
      <c r="J166" s="127" t="n">
        <v>6</v>
      </c>
      <c r="K166" s="17" t="s">
        <v>240</v>
      </c>
      <c r="L166" s="127" t="n">
        <v>296</v>
      </c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</row>
    <row r="167" customFormat="false" ht="13.8" hidden="false" customHeight="false" outlineLevel="0" collapsed="false">
      <c r="J167" s="127" t="n">
        <v>7</v>
      </c>
      <c r="K167" s="17" t="s">
        <v>254</v>
      </c>
      <c r="L167" s="127" t="n">
        <v>240</v>
      </c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</row>
    <row r="168" customFormat="false" ht="13.8" hidden="false" customHeight="false" outlineLevel="0" collapsed="false">
      <c r="J168" s="127" t="n">
        <v>8</v>
      </c>
      <c r="K168" s="17" t="s">
        <v>250</v>
      </c>
      <c r="L168" s="127" t="n">
        <v>235</v>
      </c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</row>
    <row r="169" customFormat="false" ht="13.8" hidden="false" customHeight="false" outlineLevel="0" collapsed="false">
      <c r="J169" s="127" t="n">
        <v>9</v>
      </c>
      <c r="K169" s="17" t="s">
        <v>249</v>
      </c>
      <c r="L169" s="127" t="n">
        <v>225</v>
      </c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</row>
    <row r="170" customFormat="false" ht="13.8" hidden="false" customHeight="false" outlineLevel="0" collapsed="false">
      <c r="J170" s="127" t="n">
        <v>10</v>
      </c>
      <c r="K170" s="17" t="s">
        <v>255</v>
      </c>
      <c r="L170" s="127" t="n">
        <v>23</v>
      </c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</row>
    <row r="171" customFormat="false" ht="13.8" hidden="false" customHeight="false" outlineLevel="0" collapsed="false">
      <c r="J171" s="167"/>
      <c r="K171" s="167"/>
      <c r="L171" s="16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</row>
    <row r="172" customFormat="false" ht="13.8" hidden="false" customHeight="false" outlineLevel="0" collapsed="false">
      <c r="J172" s="168" t="s">
        <v>260</v>
      </c>
      <c r="K172" s="168"/>
      <c r="L172" s="168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</row>
    <row r="173" customFormat="false" ht="13.8" hidden="false" customHeight="false" outlineLevel="0" collapsed="false">
      <c r="J173" s="168"/>
      <c r="K173" s="168"/>
      <c r="L173" s="168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</row>
    <row r="174" customFormat="false" ht="13.8" hidden="false" customHeight="false" outlineLevel="0" collapsed="false">
      <c r="J174" s="17"/>
      <c r="K174" s="17"/>
      <c r="L174" s="1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</row>
    <row r="175" customFormat="false" ht="13.8" hidden="false" customHeight="false" outlineLevel="0" collapsed="false">
      <c r="J175" s="165" t="n">
        <v>1</v>
      </c>
      <c r="K175" s="17" t="s">
        <v>240</v>
      </c>
      <c r="L175" s="127" t="n">
        <v>449</v>
      </c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</row>
    <row r="176" customFormat="false" ht="13.8" hidden="false" customHeight="false" outlineLevel="0" collapsed="false">
      <c r="J176" s="127" t="n">
        <v>2</v>
      </c>
      <c r="K176" s="17" t="s">
        <v>249</v>
      </c>
      <c r="L176" s="127" t="n">
        <v>435</v>
      </c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</row>
    <row r="177" customFormat="false" ht="13.8" hidden="false" customHeight="false" outlineLevel="0" collapsed="false">
      <c r="J177" s="127" t="n">
        <v>3</v>
      </c>
      <c r="K177" s="17" t="s">
        <v>250</v>
      </c>
      <c r="L177" s="127" t="n">
        <v>386</v>
      </c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</row>
    <row r="178" customFormat="false" ht="13.8" hidden="false" customHeight="false" outlineLevel="0" collapsed="false">
      <c r="J178" s="127" t="n">
        <v>4</v>
      </c>
      <c r="K178" s="17" t="s">
        <v>252</v>
      </c>
      <c r="L178" s="127" t="n">
        <v>380</v>
      </c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</row>
    <row r="179" customFormat="false" ht="13.8" hidden="false" customHeight="false" outlineLevel="0" collapsed="false">
      <c r="J179" s="127" t="n">
        <v>5</v>
      </c>
      <c r="K179" s="17" t="s">
        <v>251</v>
      </c>
      <c r="L179" s="127" t="n">
        <v>356</v>
      </c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</row>
    <row r="180" customFormat="false" ht="13.8" hidden="false" customHeight="false" outlineLevel="0" collapsed="false">
      <c r="J180" s="127" t="n">
        <v>6</v>
      </c>
      <c r="K180" s="17" t="s">
        <v>253</v>
      </c>
      <c r="L180" s="127" t="n">
        <v>342</v>
      </c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</row>
    <row r="181" customFormat="false" ht="13.8" hidden="false" customHeight="false" outlineLevel="0" collapsed="false">
      <c r="J181" s="127" t="n">
        <v>7</v>
      </c>
      <c r="K181" s="17" t="s">
        <v>247</v>
      </c>
      <c r="L181" s="127" t="n">
        <v>312</v>
      </c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</row>
    <row r="182" customFormat="false" ht="13.8" hidden="false" customHeight="false" outlineLevel="0" collapsed="false">
      <c r="J182" s="127" t="n">
        <v>8</v>
      </c>
      <c r="K182" s="17" t="s">
        <v>254</v>
      </c>
      <c r="L182" s="127" t="n">
        <v>261</v>
      </c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</row>
    <row r="183" customFormat="false" ht="13.8" hidden="false" customHeight="false" outlineLevel="0" collapsed="false">
      <c r="J183" s="127" t="n">
        <v>9</v>
      </c>
      <c r="K183" s="17" t="s">
        <v>248</v>
      </c>
      <c r="L183" s="127" t="n">
        <v>230</v>
      </c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</row>
    <row r="184" customFormat="false" ht="13.8" hidden="false" customHeight="false" outlineLevel="0" collapsed="false">
      <c r="J184" s="127" t="n">
        <v>10</v>
      </c>
      <c r="K184" s="17" t="s">
        <v>255</v>
      </c>
      <c r="L184" s="127" t="n">
        <v>214</v>
      </c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</row>
    <row r="185" customFormat="false" ht="13.8" hidden="false" customHeight="false" outlineLevel="0" collapsed="false">
      <c r="J185" s="167"/>
      <c r="K185" s="167"/>
      <c r="L185" s="16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</row>
    <row r="186" customFormat="false" ht="13.8" hidden="false" customHeight="false" outlineLevel="0" collapsed="false">
      <c r="J186" s="168" t="s">
        <v>261</v>
      </c>
      <c r="K186" s="168"/>
      <c r="L186" s="168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</row>
    <row r="187" customFormat="false" ht="13.8" hidden="false" customHeight="false" outlineLevel="0" collapsed="false">
      <c r="J187" s="168"/>
      <c r="K187" s="168"/>
      <c r="L187" s="168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</row>
    <row r="188" customFormat="false" ht="13.8" hidden="false" customHeight="false" outlineLevel="0" collapsed="false">
      <c r="J188" s="17"/>
      <c r="K188" s="17"/>
      <c r="L188" s="1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</row>
    <row r="189" customFormat="false" ht="13.8" hidden="false" customHeight="false" outlineLevel="0" collapsed="false">
      <c r="J189" s="165" t="n">
        <v>1</v>
      </c>
      <c r="K189" s="17" t="s">
        <v>251</v>
      </c>
      <c r="L189" s="127" t="n">
        <v>398</v>
      </c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</row>
    <row r="190" customFormat="false" ht="13.8" hidden="false" customHeight="false" outlineLevel="0" collapsed="false">
      <c r="J190" s="127" t="n">
        <v>2</v>
      </c>
      <c r="K190" s="17" t="s">
        <v>254</v>
      </c>
      <c r="L190" s="127" t="n">
        <v>395</v>
      </c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</row>
    <row r="191" customFormat="false" ht="13.8" hidden="false" customHeight="false" outlineLevel="0" collapsed="false">
      <c r="J191" s="127" t="n">
        <v>3</v>
      </c>
      <c r="K191" s="17" t="s">
        <v>249</v>
      </c>
      <c r="L191" s="127" t="n">
        <v>374</v>
      </c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</row>
    <row r="192" customFormat="false" ht="13.8" hidden="false" customHeight="false" outlineLevel="0" collapsed="false">
      <c r="J192" s="127" t="n">
        <v>4</v>
      </c>
      <c r="K192" s="17" t="s">
        <v>240</v>
      </c>
      <c r="L192" s="127" t="n">
        <v>346</v>
      </c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</row>
    <row r="193" customFormat="false" ht="13.8" hidden="false" customHeight="false" outlineLevel="0" collapsed="false">
      <c r="J193" s="127" t="n">
        <v>5</v>
      </c>
      <c r="K193" s="17" t="s">
        <v>253</v>
      </c>
      <c r="L193" s="127" t="n">
        <v>342</v>
      </c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</row>
    <row r="194" customFormat="false" ht="13.8" hidden="false" customHeight="false" outlineLevel="0" collapsed="false">
      <c r="J194" s="127" t="n">
        <v>6</v>
      </c>
      <c r="K194" s="17" t="s">
        <v>248</v>
      </c>
      <c r="L194" s="127" t="n">
        <v>301</v>
      </c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</row>
    <row r="195" customFormat="false" ht="13.8" hidden="false" customHeight="false" outlineLevel="0" collapsed="false">
      <c r="J195" s="127" t="n">
        <v>7</v>
      </c>
      <c r="K195" s="17" t="s">
        <v>252</v>
      </c>
      <c r="L195" s="127" t="n">
        <v>295</v>
      </c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</row>
    <row r="196" customFormat="false" ht="13.8" hidden="false" customHeight="false" outlineLevel="0" collapsed="false">
      <c r="J196" s="127" t="n">
        <v>8</v>
      </c>
      <c r="K196" s="17" t="s">
        <v>250</v>
      </c>
      <c r="L196" s="127" t="n">
        <v>252</v>
      </c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</row>
    <row r="197" customFormat="false" ht="13.8" hidden="false" customHeight="false" outlineLevel="0" collapsed="false">
      <c r="J197" s="127" t="n">
        <v>9</v>
      </c>
      <c r="K197" s="17" t="s">
        <v>247</v>
      </c>
      <c r="L197" s="127" t="n">
        <v>228</v>
      </c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</row>
    <row r="198" customFormat="false" ht="13.8" hidden="false" customHeight="false" outlineLevel="0" collapsed="false">
      <c r="J198" s="127" t="n">
        <v>10</v>
      </c>
      <c r="K198" s="17" t="s">
        <v>255</v>
      </c>
      <c r="L198" s="127" t="n">
        <v>214</v>
      </c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</row>
    <row r="199" customFormat="false" ht="13.8" hidden="false" customHeight="false" outlineLevel="0" collapsed="false">
      <c r="J199" s="167"/>
      <c r="K199" s="167"/>
      <c r="L199" s="16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</row>
    <row r="200" customFormat="false" ht="13.8" hidden="false" customHeight="false" outlineLevel="0" collapsed="false">
      <c r="J200" s="168" t="s">
        <v>217</v>
      </c>
      <c r="K200" s="168"/>
      <c r="L200" s="168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</row>
    <row r="201" customFormat="false" ht="13.8" hidden="false" customHeight="false" outlineLevel="0" collapsed="false">
      <c r="J201" s="168"/>
      <c r="K201" s="168"/>
      <c r="L201" s="168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</row>
    <row r="202" customFormat="false" ht="15.75" hidden="false" customHeight="false" outlineLevel="0" collapsed="false">
      <c r="J202" s="17"/>
      <c r="K202" s="17"/>
      <c r="L202" s="1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</row>
    <row r="203" customFormat="false" ht="15.75" hidden="false" customHeight="false" outlineLevel="0" collapsed="false">
      <c r="J203" s="165" t="n">
        <v>1</v>
      </c>
      <c r="K203" s="17" t="s">
        <v>249</v>
      </c>
      <c r="L203" s="127" t="n">
        <v>370</v>
      </c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</row>
    <row r="204" customFormat="false" ht="15.75" hidden="false" customHeight="false" outlineLevel="0" collapsed="false">
      <c r="J204" s="127" t="n">
        <v>2</v>
      </c>
      <c r="K204" s="17" t="s">
        <v>240</v>
      </c>
      <c r="L204" s="127" t="n">
        <v>363</v>
      </c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</row>
    <row r="205" customFormat="false" ht="15.75" hidden="false" customHeight="false" outlineLevel="0" collapsed="false">
      <c r="J205" s="127" t="n">
        <v>3</v>
      </c>
      <c r="K205" s="17" t="s">
        <v>262</v>
      </c>
      <c r="L205" s="127" t="n">
        <v>329</v>
      </c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</row>
    <row r="206" customFormat="false" ht="15.75" hidden="false" customHeight="false" outlineLevel="0" collapsed="false">
      <c r="J206" s="127" t="n">
        <v>4</v>
      </c>
      <c r="K206" s="17" t="s">
        <v>254</v>
      </c>
      <c r="L206" s="127" t="n">
        <v>309</v>
      </c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</row>
    <row r="207" customFormat="false" ht="15.75" hidden="false" customHeight="false" outlineLevel="0" collapsed="false">
      <c r="J207" s="127" t="n">
        <v>5</v>
      </c>
      <c r="K207" s="17" t="s">
        <v>251</v>
      </c>
      <c r="L207" s="127" t="n">
        <v>306</v>
      </c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</row>
    <row r="208" customFormat="false" ht="15.75" hidden="false" customHeight="false" outlineLevel="0" collapsed="false">
      <c r="J208" s="127" t="n">
        <v>6</v>
      </c>
      <c r="K208" s="17" t="s">
        <v>250</v>
      </c>
      <c r="L208" s="127" t="n">
        <v>293</v>
      </c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</row>
    <row r="209" customFormat="false" ht="15.75" hidden="false" customHeight="false" outlineLevel="0" collapsed="false">
      <c r="J209" s="127" t="n">
        <v>7</v>
      </c>
      <c r="K209" s="17" t="s">
        <v>247</v>
      </c>
      <c r="L209" s="127" t="n">
        <v>276</v>
      </c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</row>
    <row r="210" customFormat="false" ht="15.75" hidden="false" customHeight="false" outlineLevel="0" collapsed="false">
      <c r="J210" s="127" t="n">
        <v>8</v>
      </c>
      <c r="K210" s="17" t="s">
        <v>248</v>
      </c>
      <c r="L210" s="127" t="n">
        <v>254</v>
      </c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</row>
    <row r="211" customFormat="false" ht="15.75" hidden="false" customHeight="false" outlineLevel="0" collapsed="false">
      <c r="J211" s="127" t="n">
        <v>9</v>
      </c>
      <c r="K211" s="17" t="s">
        <v>263</v>
      </c>
      <c r="L211" s="127" t="n">
        <v>243</v>
      </c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</row>
    <row r="212" customFormat="false" ht="15.75" hidden="false" customHeight="false" outlineLevel="0" collapsed="false">
      <c r="J212" s="127" t="n">
        <v>10</v>
      </c>
      <c r="K212" s="17" t="s">
        <v>264</v>
      </c>
      <c r="L212" s="127" t="n">
        <v>180</v>
      </c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</row>
    <row r="213" customFormat="false" ht="15.75" hidden="false" customHeight="false" outlineLevel="0" collapsed="false"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</row>
    <row r="214" customFormat="false" ht="15.75" hidden="false" customHeight="false" outlineLevel="0" collapsed="false"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</row>
    <row r="215" customFormat="false" ht="15.75" hidden="false" customHeight="false" outlineLevel="0" collapsed="false"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</row>
    <row r="216" customFormat="false" ht="15.75" hidden="false" customHeight="false" outlineLevel="0" collapsed="false"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</row>
    <row r="217" customFormat="false" ht="15.75" hidden="false" customHeight="false" outlineLevel="0" collapsed="false"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</row>
    <row r="218" customFormat="false" ht="15.75" hidden="false" customHeight="false" outlineLevel="0" collapsed="false"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</row>
    <row r="219" customFormat="false" ht="15.75" hidden="false" customHeight="false" outlineLevel="0" collapsed="false"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</row>
    <row r="220" customFormat="false" ht="15.75" hidden="false" customHeight="false" outlineLevel="0" collapsed="false"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</row>
    <row r="221" customFormat="false" ht="15.75" hidden="false" customHeight="false" outlineLevel="0" collapsed="false"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</row>
    <row r="222" customFormat="false" ht="15.75" hidden="false" customHeight="false" outlineLevel="0" collapsed="false"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</row>
    <row r="223" customFormat="false" ht="15.75" hidden="false" customHeight="false" outlineLevel="0" collapsed="false"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</row>
    <row r="224" customFormat="false" ht="15.75" hidden="false" customHeight="false" outlineLevel="0" collapsed="false"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</row>
    <row r="225" customFormat="false" ht="15.75" hidden="false" customHeight="false" outlineLevel="0" collapsed="false"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</row>
    <row r="226" customFormat="false" ht="15.75" hidden="false" customHeight="false" outlineLevel="0" collapsed="false"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</row>
    <row r="227" customFormat="false" ht="15.75" hidden="false" customHeight="false" outlineLevel="0" collapsed="false"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</row>
    <row r="228" customFormat="false" ht="15.75" hidden="false" customHeight="false" outlineLevel="0" collapsed="false"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</row>
    <row r="229" customFormat="false" ht="15.75" hidden="false" customHeight="false" outlineLevel="0" collapsed="false"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</row>
    <row r="230" customFormat="false" ht="15.75" hidden="false" customHeight="false" outlineLevel="0" collapsed="false"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</row>
    <row r="231" customFormat="false" ht="15.75" hidden="false" customHeight="false" outlineLevel="0" collapsed="false"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</row>
    <row r="232" customFormat="false" ht="15.75" hidden="false" customHeight="false" outlineLevel="0" collapsed="false"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</row>
    <row r="233" customFormat="false" ht="15.75" hidden="false" customHeight="false" outlineLevel="0" collapsed="false"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</row>
    <row r="234" customFormat="false" ht="15.75" hidden="false" customHeight="false" outlineLevel="0" collapsed="false"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</row>
    <row r="235" customFormat="false" ht="15.75" hidden="false" customHeight="false" outlineLevel="0" collapsed="false"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</row>
    <row r="236" customFormat="false" ht="15.75" hidden="false" customHeight="false" outlineLevel="0" collapsed="false"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</row>
    <row r="237" customFormat="false" ht="15.75" hidden="false" customHeight="false" outlineLevel="0" collapsed="false"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</row>
    <row r="238" customFormat="false" ht="15.75" hidden="false" customHeight="false" outlineLevel="0" collapsed="false"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</row>
    <row r="239" customFormat="false" ht="15.75" hidden="false" customHeight="false" outlineLevel="0" collapsed="false"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</row>
    <row r="240" customFormat="false" ht="15.75" hidden="false" customHeight="false" outlineLevel="0" collapsed="false"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</row>
    <row r="241" customFormat="false" ht="15.75" hidden="false" customHeight="false" outlineLevel="0" collapsed="false"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</row>
    <row r="242" customFormat="false" ht="15.75" hidden="false" customHeight="false" outlineLevel="0" collapsed="false"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</row>
    <row r="243" customFormat="false" ht="15.75" hidden="false" customHeight="false" outlineLevel="0" collapsed="false"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</row>
    <row r="244" customFormat="false" ht="15.75" hidden="false" customHeight="false" outlineLevel="0" collapsed="false"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</row>
    <row r="245" customFormat="false" ht="15.75" hidden="false" customHeight="false" outlineLevel="0" collapsed="false"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</row>
    <row r="246" customFormat="false" ht="15.75" hidden="false" customHeight="false" outlineLevel="0" collapsed="false"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</row>
    <row r="247" customFormat="false" ht="15.75" hidden="false" customHeight="false" outlineLevel="0" collapsed="false"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</row>
    <row r="248" customFormat="false" ht="15.75" hidden="false" customHeight="false" outlineLevel="0" collapsed="false"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</row>
    <row r="249" customFormat="false" ht="15.75" hidden="false" customHeight="false" outlineLevel="0" collapsed="false"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</row>
    <row r="250" customFormat="false" ht="15.75" hidden="false" customHeight="false" outlineLevel="0" collapsed="false"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</row>
    <row r="251" customFormat="false" ht="15.75" hidden="false" customHeight="false" outlineLevel="0" collapsed="false"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</row>
    <row r="252" customFormat="false" ht="15.75" hidden="false" customHeight="false" outlineLevel="0" collapsed="false"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</row>
    <row r="253" customFormat="false" ht="15.75" hidden="false" customHeight="false" outlineLevel="0" collapsed="false"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</row>
    <row r="254" customFormat="false" ht="15.75" hidden="false" customHeight="false" outlineLevel="0" collapsed="false"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</row>
    <row r="255" customFormat="false" ht="15.75" hidden="false" customHeight="false" outlineLevel="0" collapsed="false"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</row>
    <row r="256" customFormat="false" ht="15.75" hidden="false" customHeight="false" outlineLevel="0" collapsed="false"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</row>
    <row r="257" customFormat="false" ht="15.75" hidden="false" customHeight="false" outlineLevel="0" collapsed="false"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</row>
    <row r="258" customFormat="false" ht="15.75" hidden="false" customHeight="false" outlineLevel="0" collapsed="false"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</row>
    <row r="259" customFormat="false" ht="15.75" hidden="false" customHeight="false" outlineLevel="0" collapsed="false"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</row>
    <row r="260" customFormat="false" ht="15.75" hidden="false" customHeight="false" outlineLevel="0" collapsed="false"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</row>
    <row r="261" customFormat="false" ht="15.75" hidden="false" customHeight="false" outlineLevel="0" collapsed="false"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</row>
    <row r="262" customFormat="false" ht="15.75" hidden="false" customHeight="false" outlineLevel="0" collapsed="false"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</row>
    <row r="263" customFormat="false" ht="15.75" hidden="false" customHeight="false" outlineLevel="0" collapsed="false"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</row>
    <row r="264" customFormat="false" ht="15.75" hidden="false" customHeight="false" outlineLevel="0" collapsed="false"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</row>
    <row r="265" customFormat="false" ht="15.75" hidden="false" customHeight="false" outlineLevel="0" collapsed="false"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</row>
    <row r="266" customFormat="false" ht="15.75" hidden="false" customHeight="false" outlineLevel="0" collapsed="false"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</row>
    <row r="267" customFormat="false" ht="15.75" hidden="false" customHeight="false" outlineLevel="0" collapsed="false"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</row>
    <row r="268" customFormat="false" ht="15.75" hidden="false" customHeight="false" outlineLevel="0" collapsed="false"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</row>
    <row r="269" customFormat="false" ht="15.75" hidden="false" customHeight="false" outlineLevel="0" collapsed="false"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</row>
    <row r="270" customFormat="false" ht="15.75" hidden="false" customHeight="false" outlineLevel="0" collapsed="false"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</row>
    <row r="271" customFormat="false" ht="15.75" hidden="false" customHeight="false" outlineLevel="0" collapsed="false"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</row>
    <row r="272" customFormat="false" ht="15.75" hidden="false" customHeight="false" outlineLevel="0" collapsed="false"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</row>
    <row r="273" customFormat="false" ht="15.75" hidden="false" customHeight="false" outlineLevel="0" collapsed="false"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</row>
    <row r="274" customFormat="false" ht="15.75" hidden="false" customHeight="false" outlineLevel="0" collapsed="false"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</row>
    <row r="275" customFormat="false" ht="15.75" hidden="false" customHeight="false" outlineLevel="0" collapsed="false"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</row>
    <row r="276" customFormat="false" ht="15.75" hidden="false" customHeight="false" outlineLevel="0" collapsed="false"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</row>
    <row r="277" customFormat="false" ht="15.75" hidden="false" customHeight="false" outlineLevel="0" collapsed="false"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</row>
    <row r="278" customFormat="false" ht="15.75" hidden="false" customHeight="false" outlineLevel="0" collapsed="false"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</row>
    <row r="279" customFormat="false" ht="15.75" hidden="false" customHeight="false" outlineLevel="0" collapsed="false"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</row>
    <row r="280" customFormat="false" ht="15.75" hidden="false" customHeight="false" outlineLevel="0" collapsed="false"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</row>
    <row r="281" customFormat="false" ht="15.75" hidden="false" customHeight="false" outlineLevel="0" collapsed="false"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</row>
    <row r="282" customFormat="false" ht="15.75" hidden="false" customHeight="false" outlineLevel="0" collapsed="false"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</row>
    <row r="283" customFormat="false" ht="15.75" hidden="false" customHeight="false" outlineLevel="0" collapsed="false"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</row>
    <row r="284" customFormat="false" ht="15.75" hidden="false" customHeight="false" outlineLevel="0" collapsed="false"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</row>
    <row r="285" customFormat="false" ht="15.75" hidden="false" customHeight="false" outlineLevel="0" collapsed="false"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</row>
    <row r="286" customFormat="false" ht="15.75" hidden="false" customHeight="false" outlineLevel="0" collapsed="false"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</row>
    <row r="287" customFormat="false" ht="15.75" hidden="false" customHeight="false" outlineLevel="0" collapsed="false"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</row>
    <row r="288" customFormat="false" ht="15.75" hidden="false" customHeight="false" outlineLevel="0" collapsed="false"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</row>
    <row r="289" customFormat="false" ht="15.75" hidden="false" customHeight="false" outlineLevel="0" collapsed="false"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</row>
    <row r="290" customFormat="false" ht="15.75" hidden="false" customHeight="false" outlineLevel="0" collapsed="false"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</row>
    <row r="291" customFormat="false" ht="15.75" hidden="false" customHeight="false" outlineLevel="0" collapsed="false"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</row>
    <row r="292" customFormat="false" ht="15.75" hidden="false" customHeight="false" outlineLevel="0" collapsed="false"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</row>
    <row r="293" customFormat="false" ht="15.75" hidden="false" customHeight="false" outlineLevel="0" collapsed="false"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</row>
    <row r="294" customFormat="false" ht="15.75" hidden="false" customHeight="false" outlineLevel="0" collapsed="false"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</row>
    <row r="295" customFormat="false" ht="15.75" hidden="false" customHeight="false" outlineLevel="0" collapsed="false"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</row>
    <row r="296" customFormat="false" ht="15.75" hidden="false" customHeight="false" outlineLevel="0" collapsed="false"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</row>
    <row r="297" customFormat="false" ht="15.75" hidden="false" customHeight="false" outlineLevel="0" collapsed="false"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</row>
    <row r="298" customFormat="false" ht="15.75" hidden="false" customHeight="false" outlineLevel="0" collapsed="false"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</row>
    <row r="299" customFormat="false" ht="15.75" hidden="false" customHeight="false" outlineLevel="0" collapsed="false"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</row>
    <row r="300" customFormat="false" ht="15.75" hidden="false" customHeight="false" outlineLevel="0" collapsed="false"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</row>
    <row r="301" customFormat="false" ht="15.75" hidden="false" customHeight="false" outlineLevel="0" collapsed="false"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</row>
    <row r="302" customFormat="false" ht="15.75" hidden="false" customHeight="false" outlineLevel="0" collapsed="false"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</row>
    <row r="303" customFormat="false" ht="15.75" hidden="false" customHeight="false" outlineLevel="0" collapsed="false"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</row>
    <row r="304" customFormat="false" ht="15.75" hidden="false" customHeight="false" outlineLevel="0" collapsed="false"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</row>
    <row r="305" customFormat="false" ht="15.75" hidden="false" customHeight="false" outlineLevel="0" collapsed="false"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</row>
    <row r="306" customFormat="false" ht="15.75" hidden="false" customHeight="false" outlineLevel="0" collapsed="false"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</row>
    <row r="307" customFormat="false" ht="15.75" hidden="false" customHeight="false" outlineLevel="0" collapsed="false"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</row>
    <row r="308" customFormat="false" ht="15.75" hidden="false" customHeight="false" outlineLevel="0" collapsed="false"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</row>
    <row r="309" customFormat="false" ht="15.75" hidden="false" customHeight="false" outlineLevel="0" collapsed="false"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</row>
    <row r="310" customFormat="false" ht="15.75" hidden="false" customHeight="false" outlineLevel="0" collapsed="false"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</row>
    <row r="311" customFormat="false" ht="15.75" hidden="false" customHeight="false" outlineLevel="0" collapsed="false"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</row>
    <row r="312" customFormat="false" ht="15.75" hidden="false" customHeight="false" outlineLevel="0" collapsed="false"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</row>
    <row r="313" customFormat="false" ht="15.75" hidden="false" customHeight="false" outlineLevel="0" collapsed="false"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</row>
    <row r="314" customFormat="false" ht="15.75" hidden="false" customHeight="false" outlineLevel="0" collapsed="false"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</row>
    <row r="315" customFormat="false" ht="15.75" hidden="false" customHeight="false" outlineLevel="0" collapsed="false"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</row>
    <row r="316" customFormat="false" ht="15.75" hidden="false" customHeight="false" outlineLevel="0" collapsed="false"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</row>
    <row r="317" customFormat="false" ht="15.75" hidden="false" customHeight="false" outlineLevel="0" collapsed="false"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</row>
    <row r="318" customFormat="false" ht="15.75" hidden="false" customHeight="false" outlineLevel="0" collapsed="false"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</row>
    <row r="319" customFormat="false" ht="15.75" hidden="false" customHeight="false" outlineLevel="0" collapsed="false"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</row>
    <row r="320" customFormat="false" ht="15.75" hidden="false" customHeight="false" outlineLevel="0" collapsed="false"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</row>
    <row r="321" customFormat="false" ht="15.75" hidden="false" customHeight="false" outlineLevel="0" collapsed="false"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</row>
    <row r="322" customFormat="false" ht="15.75" hidden="false" customHeight="false" outlineLevel="0" collapsed="false"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</row>
    <row r="323" customFormat="false" ht="15.75" hidden="false" customHeight="false" outlineLevel="0" collapsed="false"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</row>
    <row r="324" customFormat="false" ht="15.75" hidden="false" customHeight="false" outlineLevel="0" collapsed="false"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</row>
    <row r="325" customFormat="false" ht="15.75" hidden="false" customHeight="false" outlineLevel="0" collapsed="false"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</row>
    <row r="326" customFormat="false" ht="15.75" hidden="false" customHeight="false" outlineLevel="0" collapsed="false"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</row>
    <row r="327" customFormat="false" ht="15.75" hidden="false" customHeight="false" outlineLevel="0" collapsed="false"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</row>
    <row r="328" customFormat="false" ht="15.75" hidden="false" customHeight="false" outlineLevel="0" collapsed="false"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</row>
    <row r="329" customFormat="false" ht="15.75" hidden="false" customHeight="false" outlineLevel="0" collapsed="false"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</row>
    <row r="330" customFormat="false" ht="15.75" hidden="false" customHeight="false" outlineLevel="0" collapsed="false"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</row>
    <row r="331" customFormat="false" ht="15.75" hidden="false" customHeight="false" outlineLevel="0" collapsed="false"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</row>
    <row r="332" customFormat="false" ht="15.75" hidden="false" customHeight="false" outlineLevel="0" collapsed="false"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</row>
    <row r="333" customFormat="false" ht="15.75" hidden="false" customHeight="false" outlineLevel="0" collapsed="false"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</row>
    <row r="334" customFormat="false" ht="15.75" hidden="false" customHeight="false" outlineLevel="0" collapsed="false"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</row>
    <row r="335" customFormat="false" ht="15.75" hidden="false" customHeight="false" outlineLevel="0" collapsed="false"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</row>
    <row r="336" customFormat="false" ht="15.75" hidden="false" customHeight="false" outlineLevel="0" collapsed="false"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</row>
    <row r="337" customFormat="false" ht="15.75" hidden="false" customHeight="false" outlineLevel="0" collapsed="false"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</row>
    <row r="338" customFormat="false" ht="15.75" hidden="false" customHeight="false" outlineLevel="0" collapsed="false"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</row>
    <row r="339" customFormat="false" ht="15.75" hidden="false" customHeight="false" outlineLevel="0" collapsed="false"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</row>
    <row r="340" customFormat="false" ht="15.75" hidden="false" customHeight="false" outlineLevel="0" collapsed="false"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</row>
    <row r="341" customFormat="false" ht="15.75" hidden="false" customHeight="false" outlineLevel="0" collapsed="false"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</row>
    <row r="342" customFormat="false" ht="15.75" hidden="false" customHeight="false" outlineLevel="0" collapsed="false"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</row>
    <row r="343" customFormat="false" ht="15.75" hidden="false" customHeight="false" outlineLevel="0" collapsed="false"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</row>
    <row r="344" customFormat="false" ht="15.75" hidden="false" customHeight="false" outlineLevel="0" collapsed="false"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</row>
    <row r="345" customFormat="false" ht="15.75" hidden="false" customHeight="false" outlineLevel="0" collapsed="false"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</row>
    <row r="346" customFormat="false" ht="15.75" hidden="false" customHeight="false" outlineLevel="0" collapsed="false"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</row>
    <row r="347" customFormat="false" ht="15.75" hidden="false" customHeight="false" outlineLevel="0" collapsed="false"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</row>
    <row r="348" customFormat="false" ht="15.75" hidden="false" customHeight="false" outlineLevel="0" collapsed="false"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</row>
    <row r="349" customFormat="false" ht="15.75" hidden="false" customHeight="false" outlineLevel="0" collapsed="false"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</row>
    <row r="350" customFormat="false" ht="15.75" hidden="false" customHeight="false" outlineLevel="0" collapsed="false"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</row>
    <row r="351" customFormat="false" ht="15.75" hidden="false" customHeight="false" outlineLevel="0" collapsed="false"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</row>
    <row r="352" customFormat="false" ht="15.75" hidden="false" customHeight="false" outlineLevel="0" collapsed="false"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</row>
    <row r="353" customFormat="false" ht="15.75" hidden="false" customHeight="false" outlineLevel="0" collapsed="false"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</row>
    <row r="354" customFormat="false" ht="15.75" hidden="false" customHeight="false" outlineLevel="0" collapsed="false"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</row>
    <row r="355" customFormat="false" ht="15.75" hidden="false" customHeight="false" outlineLevel="0" collapsed="false"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</row>
    <row r="356" customFormat="false" ht="15.75" hidden="false" customHeight="false" outlineLevel="0" collapsed="false"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</row>
    <row r="357" customFormat="false" ht="15.75" hidden="false" customHeight="false" outlineLevel="0" collapsed="false"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</row>
    <row r="358" customFormat="false" ht="15.75" hidden="false" customHeight="false" outlineLevel="0" collapsed="false"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</row>
    <row r="359" customFormat="false" ht="15.75" hidden="false" customHeight="false" outlineLevel="0" collapsed="false"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</row>
    <row r="360" customFormat="false" ht="15.75" hidden="false" customHeight="false" outlineLevel="0" collapsed="false"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</row>
    <row r="361" customFormat="false" ht="15.75" hidden="false" customHeight="false" outlineLevel="0" collapsed="false"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</row>
    <row r="362" customFormat="false" ht="15.75" hidden="false" customHeight="false" outlineLevel="0" collapsed="false"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</row>
    <row r="363" customFormat="false" ht="15.75" hidden="false" customHeight="false" outlineLevel="0" collapsed="false"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</row>
    <row r="364" customFormat="false" ht="15.75" hidden="false" customHeight="false" outlineLevel="0" collapsed="false"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</row>
    <row r="365" customFormat="false" ht="15.75" hidden="false" customHeight="false" outlineLevel="0" collapsed="false"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</row>
    <row r="366" customFormat="false" ht="15.75" hidden="false" customHeight="false" outlineLevel="0" collapsed="false"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</row>
    <row r="367" customFormat="false" ht="15.75" hidden="false" customHeight="false" outlineLevel="0" collapsed="false"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</row>
    <row r="368" customFormat="false" ht="15.75" hidden="false" customHeight="false" outlineLevel="0" collapsed="false"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</row>
    <row r="369" customFormat="false" ht="15.75" hidden="false" customHeight="false" outlineLevel="0" collapsed="false"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</row>
    <row r="370" customFormat="false" ht="15.75" hidden="false" customHeight="false" outlineLevel="0" collapsed="false"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</row>
    <row r="371" customFormat="false" ht="15.75" hidden="false" customHeight="false" outlineLevel="0" collapsed="false"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</row>
    <row r="372" customFormat="false" ht="15.75" hidden="false" customHeight="false" outlineLevel="0" collapsed="false"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</row>
    <row r="373" customFormat="false" ht="15.75" hidden="false" customHeight="false" outlineLevel="0" collapsed="false"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</row>
    <row r="374" customFormat="false" ht="15.75" hidden="false" customHeight="false" outlineLevel="0" collapsed="false"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</row>
    <row r="375" customFormat="false" ht="15.75" hidden="false" customHeight="false" outlineLevel="0" collapsed="false"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</row>
    <row r="376" customFormat="false" ht="15.75" hidden="false" customHeight="false" outlineLevel="0" collapsed="false"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</row>
    <row r="377" customFormat="false" ht="15.75" hidden="false" customHeight="false" outlineLevel="0" collapsed="false"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</row>
    <row r="378" customFormat="false" ht="15.75" hidden="false" customHeight="false" outlineLevel="0" collapsed="false"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</row>
    <row r="379" customFormat="false" ht="15.75" hidden="false" customHeight="false" outlineLevel="0" collapsed="false"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</row>
    <row r="380" customFormat="false" ht="15.75" hidden="false" customHeight="false" outlineLevel="0" collapsed="false"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</row>
    <row r="381" customFormat="false" ht="15.75" hidden="false" customHeight="false" outlineLevel="0" collapsed="false"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</row>
    <row r="382" customFormat="false" ht="15.75" hidden="false" customHeight="false" outlineLevel="0" collapsed="false"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</row>
    <row r="383" customFormat="false" ht="15.75" hidden="false" customHeight="false" outlineLevel="0" collapsed="false"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</row>
    <row r="384" customFormat="false" ht="15.75" hidden="false" customHeight="false" outlineLevel="0" collapsed="false"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</row>
    <row r="385" customFormat="false" ht="15.75" hidden="false" customHeight="false" outlineLevel="0" collapsed="false"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</row>
    <row r="386" customFormat="false" ht="15.75" hidden="false" customHeight="false" outlineLevel="0" collapsed="false"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</row>
    <row r="387" customFormat="false" ht="15.75" hidden="false" customHeight="false" outlineLevel="0" collapsed="false"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</row>
    <row r="388" customFormat="false" ht="15.75" hidden="false" customHeight="false" outlineLevel="0" collapsed="false"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</row>
    <row r="389" customFormat="false" ht="15.75" hidden="false" customHeight="false" outlineLevel="0" collapsed="false"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</row>
    <row r="390" customFormat="false" ht="15.75" hidden="false" customHeight="false" outlineLevel="0" collapsed="false"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</row>
    <row r="391" customFormat="false" ht="15.75" hidden="false" customHeight="false" outlineLevel="0" collapsed="false"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</row>
    <row r="392" customFormat="false" ht="15.75" hidden="false" customHeight="false" outlineLevel="0" collapsed="false"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</row>
    <row r="393" customFormat="false" ht="15.75" hidden="false" customHeight="false" outlineLevel="0" collapsed="false"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</row>
    <row r="394" customFormat="false" ht="15.75" hidden="false" customHeight="false" outlineLevel="0" collapsed="false"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</row>
    <row r="395" customFormat="false" ht="15.75" hidden="false" customHeight="false" outlineLevel="0" collapsed="false"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</row>
    <row r="396" customFormat="false" ht="15.75" hidden="false" customHeight="false" outlineLevel="0" collapsed="false"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</row>
    <row r="397" customFormat="false" ht="15.75" hidden="false" customHeight="false" outlineLevel="0" collapsed="false"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</row>
    <row r="398" customFormat="false" ht="15.75" hidden="false" customHeight="false" outlineLevel="0" collapsed="false"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</row>
    <row r="399" customFormat="false" ht="15.75" hidden="false" customHeight="false" outlineLevel="0" collapsed="false"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</row>
    <row r="400" customFormat="false" ht="15.75" hidden="false" customHeight="false" outlineLevel="0" collapsed="false"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</row>
    <row r="401" customFormat="false" ht="15.75" hidden="false" customHeight="false" outlineLevel="0" collapsed="false"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</row>
    <row r="402" customFormat="false" ht="15.75" hidden="false" customHeight="false" outlineLevel="0" collapsed="false"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</row>
    <row r="403" customFormat="false" ht="15.75" hidden="false" customHeight="false" outlineLevel="0" collapsed="false"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</row>
    <row r="404" customFormat="false" ht="15.75" hidden="false" customHeight="false" outlineLevel="0" collapsed="false"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</row>
    <row r="405" customFormat="false" ht="15.75" hidden="false" customHeight="false" outlineLevel="0" collapsed="false"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</row>
    <row r="406" customFormat="false" ht="15.75" hidden="false" customHeight="false" outlineLevel="0" collapsed="false"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</row>
    <row r="407" customFormat="false" ht="15.75" hidden="false" customHeight="false" outlineLevel="0" collapsed="false"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</row>
    <row r="408" customFormat="false" ht="15.75" hidden="false" customHeight="false" outlineLevel="0" collapsed="false"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</row>
    <row r="409" customFormat="false" ht="15.75" hidden="false" customHeight="false" outlineLevel="0" collapsed="false"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</row>
    <row r="410" customFormat="false" ht="15.75" hidden="false" customHeight="false" outlineLevel="0" collapsed="false"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</row>
    <row r="411" customFormat="false" ht="15.75" hidden="false" customHeight="false" outlineLevel="0" collapsed="false"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</row>
    <row r="412" customFormat="false" ht="15.75" hidden="false" customHeight="false" outlineLevel="0" collapsed="false"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</row>
    <row r="413" customFormat="false" ht="15.75" hidden="false" customHeight="false" outlineLevel="0" collapsed="false"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</row>
    <row r="414" customFormat="false" ht="15.75" hidden="false" customHeight="false" outlineLevel="0" collapsed="false"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</row>
    <row r="415" customFormat="false" ht="15.75" hidden="false" customHeight="false" outlineLevel="0" collapsed="false"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</row>
    <row r="416" customFormat="false" ht="15.75" hidden="false" customHeight="false" outlineLevel="0" collapsed="false"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</row>
    <row r="417" customFormat="false" ht="15.75" hidden="false" customHeight="false" outlineLevel="0" collapsed="false"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</row>
    <row r="418" customFormat="false" ht="15.75" hidden="false" customHeight="false" outlineLevel="0" collapsed="false"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</row>
    <row r="419" customFormat="false" ht="15.75" hidden="false" customHeight="false" outlineLevel="0" collapsed="false"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</row>
    <row r="420" customFormat="false" ht="15.75" hidden="false" customHeight="false" outlineLevel="0" collapsed="false"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</row>
    <row r="421" customFormat="false" ht="15.75" hidden="false" customHeight="false" outlineLevel="0" collapsed="false"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</row>
    <row r="422" customFormat="false" ht="15.75" hidden="false" customHeight="false" outlineLevel="0" collapsed="false"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</row>
    <row r="423" customFormat="false" ht="15.75" hidden="false" customHeight="false" outlineLevel="0" collapsed="false"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</row>
    <row r="424" customFormat="false" ht="15.75" hidden="false" customHeight="false" outlineLevel="0" collapsed="false"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</row>
    <row r="425" customFormat="false" ht="15.75" hidden="false" customHeight="false" outlineLevel="0" collapsed="false"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</row>
    <row r="426" customFormat="false" ht="15.75" hidden="false" customHeight="false" outlineLevel="0" collapsed="false"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</row>
    <row r="427" customFormat="false" ht="15.75" hidden="false" customHeight="false" outlineLevel="0" collapsed="false"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</row>
    <row r="428" customFormat="false" ht="15.75" hidden="false" customHeight="false" outlineLevel="0" collapsed="false"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</row>
    <row r="429" customFormat="false" ht="15.75" hidden="false" customHeight="false" outlineLevel="0" collapsed="false"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</row>
    <row r="430" customFormat="false" ht="15.75" hidden="false" customHeight="false" outlineLevel="0" collapsed="false"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</row>
    <row r="431" customFormat="false" ht="15.75" hidden="false" customHeight="false" outlineLevel="0" collapsed="false"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</row>
    <row r="432" customFormat="false" ht="15.75" hidden="false" customHeight="false" outlineLevel="0" collapsed="false"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</row>
    <row r="433" customFormat="false" ht="15.75" hidden="false" customHeight="false" outlineLevel="0" collapsed="false"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</row>
    <row r="434" customFormat="false" ht="15.75" hidden="false" customHeight="false" outlineLevel="0" collapsed="false"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</row>
    <row r="435" customFormat="false" ht="15.75" hidden="false" customHeight="false" outlineLevel="0" collapsed="false"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</row>
    <row r="436" customFormat="false" ht="15.75" hidden="false" customHeight="false" outlineLevel="0" collapsed="false"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</row>
    <row r="437" customFormat="false" ht="15.75" hidden="false" customHeight="false" outlineLevel="0" collapsed="false"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</row>
    <row r="438" customFormat="false" ht="15.75" hidden="false" customHeight="false" outlineLevel="0" collapsed="false"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</row>
    <row r="439" customFormat="false" ht="15.75" hidden="false" customHeight="false" outlineLevel="0" collapsed="false"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</row>
    <row r="440" customFormat="false" ht="15.75" hidden="false" customHeight="false" outlineLevel="0" collapsed="false"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</row>
    <row r="441" customFormat="false" ht="15.75" hidden="false" customHeight="false" outlineLevel="0" collapsed="false"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</row>
    <row r="442" customFormat="false" ht="15.75" hidden="false" customHeight="false" outlineLevel="0" collapsed="false"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</row>
    <row r="443" customFormat="false" ht="15.75" hidden="false" customHeight="false" outlineLevel="0" collapsed="false"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</row>
    <row r="444" customFormat="false" ht="15.75" hidden="false" customHeight="false" outlineLevel="0" collapsed="false"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</row>
    <row r="445" customFormat="false" ht="15.75" hidden="false" customHeight="false" outlineLevel="0" collapsed="false"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</row>
    <row r="446" customFormat="false" ht="15.75" hidden="false" customHeight="false" outlineLevel="0" collapsed="false"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</row>
    <row r="447" customFormat="false" ht="15.75" hidden="false" customHeight="false" outlineLevel="0" collapsed="false"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</row>
    <row r="448" customFormat="false" ht="15.75" hidden="false" customHeight="false" outlineLevel="0" collapsed="false"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</row>
    <row r="449" customFormat="false" ht="15.75" hidden="false" customHeight="false" outlineLevel="0" collapsed="false"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</row>
    <row r="450" customFormat="false" ht="15.75" hidden="false" customHeight="false" outlineLevel="0" collapsed="false"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</row>
    <row r="451" customFormat="false" ht="15.75" hidden="false" customHeight="false" outlineLevel="0" collapsed="false"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</row>
    <row r="452" customFormat="false" ht="15.75" hidden="false" customHeight="false" outlineLevel="0" collapsed="false"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</row>
    <row r="453" customFormat="false" ht="15.75" hidden="false" customHeight="false" outlineLevel="0" collapsed="false"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</row>
    <row r="454" customFormat="false" ht="15.75" hidden="false" customHeight="false" outlineLevel="0" collapsed="false"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</row>
    <row r="455" customFormat="false" ht="15.75" hidden="false" customHeight="false" outlineLevel="0" collapsed="false"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</row>
    <row r="456" customFormat="false" ht="15.75" hidden="false" customHeight="false" outlineLevel="0" collapsed="false"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</row>
    <row r="457" customFormat="false" ht="15.75" hidden="false" customHeight="false" outlineLevel="0" collapsed="false"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</row>
    <row r="458" customFormat="false" ht="15.75" hidden="false" customHeight="false" outlineLevel="0" collapsed="false"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</row>
    <row r="459" customFormat="false" ht="15.75" hidden="false" customHeight="false" outlineLevel="0" collapsed="false"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</row>
    <row r="460" customFormat="false" ht="15.75" hidden="false" customHeight="false" outlineLevel="0" collapsed="false"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</row>
    <row r="461" customFormat="false" ht="15.75" hidden="false" customHeight="false" outlineLevel="0" collapsed="false"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</row>
    <row r="462" customFormat="false" ht="15.75" hidden="false" customHeight="false" outlineLevel="0" collapsed="false"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</row>
    <row r="463" customFormat="false" ht="15.75" hidden="false" customHeight="false" outlineLevel="0" collapsed="false"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</row>
    <row r="464" customFormat="false" ht="15.75" hidden="false" customHeight="false" outlineLevel="0" collapsed="false"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</row>
    <row r="465" customFormat="false" ht="15.75" hidden="false" customHeight="false" outlineLevel="0" collapsed="false"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</row>
    <row r="466" customFormat="false" ht="15.75" hidden="false" customHeight="false" outlineLevel="0" collapsed="false"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</row>
    <row r="467" customFormat="false" ht="15.75" hidden="false" customHeight="false" outlineLevel="0" collapsed="false"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</row>
    <row r="468" customFormat="false" ht="15.75" hidden="false" customHeight="false" outlineLevel="0" collapsed="false"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</row>
    <row r="469" customFormat="false" ht="15.75" hidden="false" customHeight="false" outlineLevel="0" collapsed="false"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</row>
    <row r="470" customFormat="false" ht="15.75" hidden="false" customHeight="false" outlineLevel="0" collapsed="false"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</row>
    <row r="471" customFormat="false" ht="15.75" hidden="false" customHeight="false" outlineLevel="0" collapsed="false"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</row>
    <row r="472" customFormat="false" ht="15.75" hidden="false" customHeight="false" outlineLevel="0" collapsed="false"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</row>
    <row r="473" customFormat="false" ht="15.75" hidden="false" customHeight="false" outlineLevel="0" collapsed="false"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</row>
    <row r="474" customFormat="false" ht="15.75" hidden="false" customHeight="false" outlineLevel="0" collapsed="false"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</row>
    <row r="475" customFormat="false" ht="15.75" hidden="false" customHeight="false" outlineLevel="0" collapsed="false"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</row>
    <row r="476" customFormat="false" ht="15.75" hidden="false" customHeight="false" outlineLevel="0" collapsed="false"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</row>
    <row r="477" customFormat="false" ht="15.75" hidden="false" customHeight="false" outlineLevel="0" collapsed="false"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</row>
    <row r="478" customFormat="false" ht="15.75" hidden="false" customHeight="false" outlineLevel="0" collapsed="false"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</row>
    <row r="479" customFormat="false" ht="15.75" hidden="false" customHeight="false" outlineLevel="0" collapsed="false"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</row>
    <row r="480" customFormat="false" ht="15.75" hidden="false" customHeight="false" outlineLevel="0" collapsed="false"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</row>
    <row r="481" customFormat="false" ht="15.75" hidden="false" customHeight="false" outlineLevel="0" collapsed="false"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</row>
    <row r="482" customFormat="false" ht="15.75" hidden="false" customHeight="false" outlineLevel="0" collapsed="false"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</row>
    <row r="483" customFormat="false" ht="15.75" hidden="false" customHeight="false" outlineLevel="0" collapsed="false"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</row>
    <row r="484" customFormat="false" ht="15.75" hidden="false" customHeight="false" outlineLevel="0" collapsed="false"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</row>
    <row r="485" customFormat="false" ht="15.75" hidden="false" customHeight="false" outlineLevel="0" collapsed="false"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</row>
    <row r="486" customFormat="false" ht="15.75" hidden="false" customHeight="false" outlineLevel="0" collapsed="false"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</row>
    <row r="487" customFormat="false" ht="15.75" hidden="false" customHeight="false" outlineLevel="0" collapsed="false"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</row>
    <row r="488" customFormat="false" ht="15.75" hidden="false" customHeight="false" outlineLevel="0" collapsed="false"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</row>
    <row r="489" customFormat="false" ht="15.75" hidden="false" customHeight="false" outlineLevel="0" collapsed="false"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</row>
    <row r="490" customFormat="false" ht="15.75" hidden="false" customHeight="false" outlineLevel="0" collapsed="false"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</row>
    <row r="491" customFormat="false" ht="15.75" hidden="false" customHeight="false" outlineLevel="0" collapsed="false"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</row>
    <row r="492" customFormat="false" ht="15.75" hidden="false" customHeight="false" outlineLevel="0" collapsed="false"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</row>
    <row r="493" customFormat="false" ht="15.75" hidden="false" customHeight="false" outlineLevel="0" collapsed="false"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</row>
    <row r="494" customFormat="false" ht="15.75" hidden="false" customHeight="false" outlineLevel="0" collapsed="false"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</row>
    <row r="495" customFormat="false" ht="15.75" hidden="false" customHeight="false" outlineLevel="0" collapsed="false"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</row>
    <row r="496" customFormat="false" ht="15.75" hidden="false" customHeight="false" outlineLevel="0" collapsed="false"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</row>
    <row r="497" customFormat="false" ht="15.75" hidden="false" customHeight="false" outlineLevel="0" collapsed="false"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</row>
    <row r="498" customFormat="false" ht="15.75" hidden="false" customHeight="false" outlineLevel="0" collapsed="false"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</row>
    <row r="499" customFormat="false" ht="15.75" hidden="false" customHeight="false" outlineLevel="0" collapsed="false"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</row>
    <row r="500" customFormat="false" ht="15.75" hidden="false" customHeight="false" outlineLevel="0" collapsed="false"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</row>
    <row r="501" customFormat="false" ht="15.75" hidden="false" customHeight="false" outlineLevel="0" collapsed="false"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</row>
    <row r="502" customFormat="false" ht="15.75" hidden="false" customHeight="false" outlineLevel="0" collapsed="false"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</row>
    <row r="503" customFormat="false" ht="15.75" hidden="false" customHeight="false" outlineLevel="0" collapsed="false"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</row>
    <row r="504" customFormat="false" ht="15.75" hidden="false" customHeight="false" outlineLevel="0" collapsed="false"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</row>
    <row r="505" customFormat="false" ht="15.75" hidden="false" customHeight="false" outlineLevel="0" collapsed="false"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</row>
    <row r="506" customFormat="false" ht="15.75" hidden="false" customHeight="false" outlineLevel="0" collapsed="false"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</row>
    <row r="507" customFormat="false" ht="15.75" hidden="false" customHeight="false" outlineLevel="0" collapsed="false"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</row>
    <row r="508" customFormat="false" ht="15.75" hidden="false" customHeight="false" outlineLevel="0" collapsed="false"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</row>
    <row r="509" customFormat="false" ht="15.75" hidden="false" customHeight="false" outlineLevel="0" collapsed="false"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</row>
    <row r="510" customFormat="false" ht="15.75" hidden="false" customHeight="false" outlineLevel="0" collapsed="false"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</row>
    <row r="511" customFormat="false" ht="15.75" hidden="false" customHeight="false" outlineLevel="0" collapsed="false"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</row>
    <row r="512" customFormat="false" ht="15.75" hidden="false" customHeight="false" outlineLevel="0" collapsed="false"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</row>
    <row r="513" customFormat="false" ht="15.75" hidden="false" customHeight="false" outlineLevel="0" collapsed="false"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</row>
    <row r="514" customFormat="false" ht="15.75" hidden="false" customHeight="false" outlineLevel="0" collapsed="false"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</row>
    <row r="515" customFormat="false" ht="15.75" hidden="false" customHeight="false" outlineLevel="0" collapsed="false"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</row>
    <row r="516" customFormat="false" ht="15.75" hidden="false" customHeight="false" outlineLevel="0" collapsed="false"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</row>
    <row r="517" customFormat="false" ht="15.75" hidden="false" customHeight="false" outlineLevel="0" collapsed="false"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</row>
    <row r="518" customFormat="false" ht="15.75" hidden="false" customHeight="false" outlineLevel="0" collapsed="false"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</row>
    <row r="519" customFormat="false" ht="15.75" hidden="false" customHeight="false" outlineLevel="0" collapsed="false"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</row>
    <row r="520" customFormat="false" ht="15.75" hidden="false" customHeight="false" outlineLevel="0" collapsed="false"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</row>
    <row r="521" customFormat="false" ht="15.75" hidden="false" customHeight="false" outlineLevel="0" collapsed="false"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</row>
    <row r="522" customFormat="false" ht="15.75" hidden="false" customHeight="false" outlineLevel="0" collapsed="false"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</row>
    <row r="523" customFormat="false" ht="15.75" hidden="false" customHeight="false" outlineLevel="0" collapsed="false"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</row>
    <row r="524" customFormat="false" ht="15.75" hidden="false" customHeight="false" outlineLevel="0" collapsed="false"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</row>
    <row r="525" customFormat="false" ht="15.75" hidden="false" customHeight="false" outlineLevel="0" collapsed="false"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</row>
    <row r="526" customFormat="false" ht="15.75" hidden="false" customHeight="false" outlineLevel="0" collapsed="false"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</row>
    <row r="527" customFormat="false" ht="15.75" hidden="false" customHeight="false" outlineLevel="0" collapsed="false"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</row>
    <row r="528" customFormat="false" ht="15.75" hidden="false" customHeight="false" outlineLevel="0" collapsed="false"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</row>
    <row r="529" customFormat="false" ht="15.75" hidden="false" customHeight="false" outlineLevel="0" collapsed="false"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</row>
    <row r="530" customFormat="false" ht="15.75" hidden="false" customHeight="false" outlineLevel="0" collapsed="false"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</row>
    <row r="531" customFormat="false" ht="15.75" hidden="false" customHeight="false" outlineLevel="0" collapsed="false"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</row>
    <row r="532" customFormat="false" ht="15.75" hidden="false" customHeight="false" outlineLevel="0" collapsed="false"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</row>
    <row r="533" customFormat="false" ht="15.75" hidden="false" customHeight="false" outlineLevel="0" collapsed="false"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</row>
    <row r="534" customFormat="false" ht="15.75" hidden="false" customHeight="false" outlineLevel="0" collapsed="false"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</row>
    <row r="535" customFormat="false" ht="15.75" hidden="false" customHeight="false" outlineLevel="0" collapsed="false"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</row>
    <row r="536" customFormat="false" ht="15.75" hidden="false" customHeight="false" outlineLevel="0" collapsed="false"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</row>
    <row r="537" customFormat="false" ht="15.75" hidden="false" customHeight="false" outlineLevel="0" collapsed="false"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</row>
    <row r="538" customFormat="false" ht="15.75" hidden="false" customHeight="false" outlineLevel="0" collapsed="false"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</row>
    <row r="539" customFormat="false" ht="15.75" hidden="false" customHeight="false" outlineLevel="0" collapsed="false"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</row>
    <row r="540" customFormat="false" ht="15.75" hidden="false" customHeight="false" outlineLevel="0" collapsed="false"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</row>
    <row r="541" customFormat="false" ht="15.75" hidden="false" customHeight="false" outlineLevel="0" collapsed="false"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</row>
    <row r="542" customFormat="false" ht="15.75" hidden="false" customHeight="false" outlineLevel="0" collapsed="false"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</row>
    <row r="543" customFormat="false" ht="15.75" hidden="false" customHeight="false" outlineLevel="0" collapsed="false"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</row>
    <row r="544" customFormat="false" ht="15.75" hidden="false" customHeight="false" outlineLevel="0" collapsed="false"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</row>
    <row r="545" customFormat="false" ht="15.75" hidden="false" customHeight="false" outlineLevel="0" collapsed="false"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</row>
    <row r="546" customFormat="false" ht="15.75" hidden="false" customHeight="false" outlineLevel="0" collapsed="false"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</row>
    <row r="547" customFormat="false" ht="15.75" hidden="false" customHeight="false" outlineLevel="0" collapsed="false"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</row>
    <row r="548" customFormat="false" ht="15.75" hidden="false" customHeight="false" outlineLevel="0" collapsed="false"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</row>
    <row r="549" customFormat="false" ht="15.75" hidden="false" customHeight="false" outlineLevel="0" collapsed="false"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</row>
    <row r="550" customFormat="false" ht="15.75" hidden="false" customHeight="false" outlineLevel="0" collapsed="false"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</row>
    <row r="551" customFormat="false" ht="15.75" hidden="false" customHeight="false" outlineLevel="0" collapsed="false"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</row>
    <row r="552" customFormat="false" ht="15.75" hidden="false" customHeight="false" outlineLevel="0" collapsed="false"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</row>
    <row r="553" customFormat="false" ht="15.75" hidden="false" customHeight="false" outlineLevel="0" collapsed="false"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</row>
    <row r="554" customFormat="false" ht="15.75" hidden="false" customHeight="false" outlineLevel="0" collapsed="false"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</row>
    <row r="555" customFormat="false" ht="15.75" hidden="false" customHeight="false" outlineLevel="0" collapsed="false"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</row>
    <row r="556" customFormat="false" ht="15.75" hidden="false" customHeight="false" outlineLevel="0" collapsed="false"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</row>
    <row r="557" customFormat="false" ht="15.75" hidden="false" customHeight="false" outlineLevel="0" collapsed="false"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</row>
    <row r="558" customFormat="false" ht="15.75" hidden="false" customHeight="false" outlineLevel="0" collapsed="false"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</row>
    <row r="559" customFormat="false" ht="15.75" hidden="false" customHeight="false" outlineLevel="0" collapsed="false"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</row>
    <row r="560" customFormat="false" ht="15.75" hidden="false" customHeight="false" outlineLevel="0" collapsed="false"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</row>
    <row r="561" customFormat="false" ht="15.75" hidden="false" customHeight="false" outlineLevel="0" collapsed="false"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</row>
    <row r="562" customFormat="false" ht="15.75" hidden="false" customHeight="false" outlineLevel="0" collapsed="false"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</row>
    <row r="563" customFormat="false" ht="15.75" hidden="false" customHeight="false" outlineLevel="0" collapsed="false"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</row>
    <row r="564" customFormat="false" ht="15.75" hidden="false" customHeight="false" outlineLevel="0" collapsed="false"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</row>
    <row r="565" customFormat="false" ht="15.75" hidden="false" customHeight="false" outlineLevel="0" collapsed="false"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</row>
    <row r="566" customFormat="false" ht="15.75" hidden="false" customHeight="false" outlineLevel="0" collapsed="false"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</row>
    <row r="567" customFormat="false" ht="15.75" hidden="false" customHeight="false" outlineLevel="0" collapsed="false"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</row>
    <row r="568" customFormat="false" ht="15.75" hidden="false" customHeight="false" outlineLevel="0" collapsed="false"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</row>
    <row r="569" customFormat="false" ht="15.75" hidden="false" customHeight="false" outlineLevel="0" collapsed="false"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</row>
    <row r="570" customFormat="false" ht="15.75" hidden="false" customHeight="false" outlineLevel="0" collapsed="false"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</row>
    <row r="571" customFormat="false" ht="15.75" hidden="false" customHeight="false" outlineLevel="0" collapsed="false"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</row>
    <row r="572" customFormat="false" ht="15.75" hidden="false" customHeight="false" outlineLevel="0" collapsed="false"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</row>
    <row r="573" customFormat="false" ht="15.75" hidden="false" customHeight="false" outlineLevel="0" collapsed="false"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</row>
    <row r="574" customFormat="false" ht="15.75" hidden="false" customHeight="false" outlineLevel="0" collapsed="false"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</row>
    <row r="575" customFormat="false" ht="15.75" hidden="false" customHeight="false" outlineLevel="0" collapsed="false"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</row>
    <row r="576" customFormat="false" ht="15.75" hidden="false" customHeight="false" outlineLevel="0" collapsed="false"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</row>
    <row r="577" customFormat="false" ht="15.75" hidden="false" customHeight="false" outlineLevel="0" collapsed="false"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</row>
    <row r="578" customFormat="false" ht="15.75" hidden="false" customHeight="false" outlineLevel="0" collapsed="false"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</row>
    <row r="579" customFormat="false" ht="15.75" hidden="false" customHeight="false" outlineLevel="0" collapsed="false"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</row>
    <row r="580" customFormat="false" ht="15.75" hidden="false" customHeight="false" outlineLevel="0" collapsed="false"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</row>
    <row r="581" customFormat="false" ht="15.75" hidden="false" customHeight="false" outlineLevel="0" collapsed="false"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</row>
    <row r="582" customFormat="false" ht="15.75" hidden="false" customHeight="false" outlineLevel="0" collapsed="false"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</row>
    <row r="583" customFormat="false" ht="15.75" hidden="false" customHeight="false" outlineLevel="0" collapsed="false"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</row>
    <row r="584" customFormat="false" ht="15.75" hidden="false" customHeight="false" outlineLevel="0" collapsed="false"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</row>
    <row r="585" customFormat="false" ht="15.75" hidden="false" customHeight="false" outlineLevel="0" collapsed="false"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</row>
    <row r="586" customFormat="false" ht="15.75" hidden="false" customHeight="false" outlineLevel="0" collapsed="false"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</row>
    <row r="587" customFormat="false" ht="15.75" hidden="false" customHeight="false" outlineLevel="0" collapsed="false"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</row>
    <row r="588" customFormat="false" ht="15.75" hidden="false" customHeight="false" outlineLevel="0" collapsed="false"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</row>
    <row r="589" customFormat="false" ht="15.75" hidden="false" customHeight="false" outlineLevel="0" collapsed="false"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</row>
    <row r="590" customFormat="false" ht="15.75" hidden="false" customHeight="false" outlineLevel="0" collapsed="false"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</row>
    <row r="591" customFormat="false" ht="15.75" hidden="false" customHeight="false" outlineLevel="0" collapsed="false"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</row>
    <row r="592" customFormat="false" ht="15.75" hidden="false" customHeight="false" outlineLevel="0" collapsed="false"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</row>
    <row r="593" customFormat="false" ht="15.75" hidden="false" customHeight="false" outlineLevel="0" collapsed="false"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</row>
    <row r="594" customFormat="false" ht="15.75" hidden="false" customHeight="false" outlineLevel="0" collapsed="false"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</row>
    <row r="595" customFormat="false" ht="15.75" hidden="false" customHeight="false" outlineLevel="0" collapsed="false"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</row>
    <row r="596" customFormat="false" ht="15.75" hidden="false" customHeight="false" outlineLevel="0" collapsed="false"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</row>
    <row r="597" customFormat="false" ht="15.75" hidden="false" customHeight="false" outlineLevel="0" collapsed="false"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</row>
    <row r="598" customFormat="false" ht="15.75" hidden="false" customHeight="false" outlineLevel="0" collapsed="false"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</row>
    <row r="599" customFormat="false" ht="15.75" hidden="false" customHeight="false" outlineLevel="0" collapsed="false"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</row>
    <row r="600" customFormat="false" ht="15.75" hidden="false" customHeight="false" outlineLevel="0" collapsed="false"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</row>
    <row r="601" customFormat="false" ht="15.75" hidden="false" customHeight="false" outlineLevel="0" collapsed="false"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</row>
    <row r="602" customFormat="false" ht="15.75" hidden="false" customHeight="false" outlineLevel="0" collapsed="false"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</row>
    <row r="603" customFormat="false" ht="15.75" hidden="false" customHeight="false" outlineLevel="0" collapsed="false"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</row>
    <row r="604" customFormat="false" ht="15.75" hidden="false" customHeight="false" outlineLevel="0" collapsed="false"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</row>
    <row r="605" customFormat="false" ht="15.75" hidden="false" customHeight="false" outlineLevel="0" collapsed="false"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</row>
    <row r="606" customFormat="false" ht="15.75" hidden="false" customHeight="false" outlineLevel="0" collapsed="false"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</row>
    <row r="607" customFormat="false" ht="15.75" hidden="false" customHeight="false" outlineLevel="0" collapsed="false"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</row>
    <row r="608" customFormat="false" ht="15.75" hidden="false" customHeight="false" outlineLevel="0" collapsed="false"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</row>
    <row r="609" customFormat="false" ht="15.75" hidden="false" customHeight="false" outlineLevel="0" collapsed="false"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</row>
    <row r="610" customFormat="false" ht="15.75" hidden="false" customHeight="false" outlineLevel="0" collapsed="false"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</row>
    <row r="611" customFormat="false" ht="15.75" hidden="false" customHeight="false" outlineLevel="0" collapsed="false"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</row>
    <row r="612" customFormat="false" ht="15.75" hidden="false" customHeight="false" outlineLevel="0" collapsed="false"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</row>
    <row r="613" customFormat="false" ht="15.75" hidden="false" customHeight="false" outlineLevel="0" collapsed="false"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</row>
    <row r="614" customFormat="false" ht="15.75" hidden="false" customHeight="false" outlineLevel="0" collapsed="false"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</row>
    <row r="615" customFormat="false" ht="15.75" hidden="false" customHeight="false" outlineLevel="0" collapsed="false"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</row>
    <row r="616" customFormat="false" ht="15.75" hidden="false" customHeight="false" outlineLevel="0" collapsed="false"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</row>
    <row r="617" customFormat="false" ht="15.75" hidden="false" customHeight="false" outlineLevel="0" collapsed="false"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</row>
    <row r="618" customFormat="false" ht="15.75" hidden="false" customHeight="false" outlineLevel="0" collapsed="false"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</row>
    <row r="619" customFormat="false" ht="15.75" hidden="false" customHeight="false" outlineLevel="0" collapsed="false"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</row>
    <row r="620" customFormat="false" ht="15.75" hidden="false" customHeight="false" outlineLevel="0" collapsed="false"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</row>
    <row r="621" customFormat="false" ht="15.75" hidden="false" customHeight="false" outlineLevel="0" collapsed="false"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</row>
    <row r="622" customFormat="false" ht="15.75" hidden="false" customHeight="false" outlineLevel="0" collapsed="false"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</row>
    <row r="623" customFormat="false" ht="15.75" hidden="false" customHeight="false" outlineLevel="0" collapsed="false"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</row>
    <row r="624" customFormat="false" ht="15.75" hidden="false" customHeight="false" outlineLevel="0" collapsed="false"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</row>
    <row r="625" customFormat="false" ht="15.75" hidden="false" customHeight="false" outlineLevel="0" collapsed="false"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</row>
    <row r="626" customFormat="false" ht="15.75" hidden="false" customHeight="false" outlineLevel="0" collapsed="false"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</row>
    <row r="627" customFormat="false" ht="15.75" hidden="false" customHeight="false" outlineLevel="0" collapsed="false"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</row>
    <row r="628" customFormat="false" ht="15.75" hidden="false" customHeight="false" outlineLevel="0" collapsed="false"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</row>
    <row r="629" customFormat="false" ht="15.75" hidden="false" customHeight="false" outlineLevel="0" collapsed="false"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</row>
    <row r="630" customFormat="false" ht="15.75" hidden="false" customHeight="false" outlineLevel="0" collapsed="false"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</row>
    <row r="631" customFormat="false" ht="15.75" hidden="false" customHeight="false" outlineLevel="0" collapsed="false"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</row>
    <row r="632" customFormat="false" ht="15.75" hidden="false" customHeight="false" outlineLevel="0" collapsed="false"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</row>
    <row r="633" customFormat="false" ht="15.75" hidden="false" customHeight="false" outlineLevel="0" collapsed="false"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</row>
    <row r="634" customFormat="false" ht="15.75" hidden="false" customHeight="false" outlineLevel="0" collapsed="false"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</row>
    <row r="635" customFormat="false" ht="15.75" hidden="false" customHeight="false" outlineLevel="0" collapsed="false"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</row>
    <row r="636" customFormat="false" ht="15.75" hidden="false" customHeight="false" outlineLevel="0" collapsed="false"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</row>
    <row r="637" customFormat="false" ht="15.75" hidden="false" customHeight="false" outlineLevel="0" collapsed="false"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</row>
    <row r="638" customFormat="false" ht="15.75" hidden="false" customHeight="false" outlineLevel="0" collapsed="false"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</row>
    <row r="639" customFormat="false" ht="15.75" hidden="false" customHeight="false" outlineLevel="0" collapsed="false"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</row>
    <row r="640" customFormat="false" ht="15.75" hidden="false" customHeight="false" outlineLevel="0" collapsed="false"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</row>
    <row r="641" customFormat="false" ht="15.75" hidden="false" customHeight="false" outlineLevel="0" collapsed="false"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</row>
    <row r="642" customFormat="false" ht="15.75" hidden="false" customHeight="false" outlineLevel="0" collapsed="false"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</row>
    <row r="643" customFormat="false" ht="15.75" hidden="false" customHeight="false" outlineLevel="0" collapsed="false"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</row>
    <row r="644" customFormat="false" ht="15.75" hidden="false" customHeight="false" outlineLevel="0" collapsed="false"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</row>
    <row r="645" customFormat="false" ht="15.75" hidden="false" customHeight="false" outlineLevel="0" collapsed="false"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</row>
    <row r="646" customFormat="false" ht="15.75" hidden="false" customHeight="false" outlineLevel="0" collapsed="false"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</row>
    <row r="647" customFormat="false" ht="15.75" hidden="false" customHeight="false" outlineLevel="0" collapsed="false"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</row>
    <row r="648" customFormat="false" ht="15.75" hidden="false" customHeight="false" outlineLevel="0" collapsed="false"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</row>
    <row r="649" customFormat="false" ht="15.75" hidden="false" customHeight="false" outlineLevel="0" collapsed="false"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</row>
    <row r="650" customFormat="false" ht="15.75" hidden="false" customHeight="false" outlineLevel="0" collapsed="false"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</row>
    <row r="651" customFormat="false" ht="15.75" hidden="false" customHeight="false" outlineLevel="0" collapsed="false"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</row>
    <row r="652" customFormat="false" ht="15.75" hidden="false" customHeight="false" outlineLevel="0" collapsed="false"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</row>
    <row r="653" customFormat="false" ht="15.75" hidden="false" customHeight="false" outlineLevel="0" collapsed="false"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</row>
    <row r="654" customFormat="false" ht="15.75" hidden="false" customHeight="false" outlineLevel="0" collapsed="false"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</row>
    <row r="655" customFormat="false" ht="15.75" hidden="false" customHeight="false" outlineLevel="0" collapsed="false"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</row>
    <row r="656" customFormat="false" ht="15.75" hidden="false" customHeight="false" outlineLevel="0" collapsed="false"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</row>
    <row r="657" customFormat="false" ht="15.75" hidden="false" customHeight="false" outlineLevel="0" collapsed="false"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</row>
    <row r="658" customFormat="false" ht="15.75" hidden="false" customHeight="false" outlineLevel="0" collapsed="false"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</row>
    <row r="659" customFormat="false" ht="15.75" hidden="false" customHeight="false" outlineLevel="0" collapsed="false"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</row>
    <row r="660" customFormat="false" ht="15.75" hidden="false" customHeight="false" outlineLevel="0" collapsed="false"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</row>
    <row r="661" customFormat="false" ht="15.75" hidden="false" customHeight="false" outlineLevel="0" collapsed="false"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</row>
    <row r="662" customFormat="false" ht="15.75" hidden="false" customHeight="false" outlineLevel="0" collapsed="false"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</row>
    <row r="663" customFormat="false" ht="15.75" hidden="false" customHeight="false" outlineLevel="0" collapsed="false"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</row>
    <row r="664" customFormat="false" ht="15.75" hidden="false" customHeight="false" outlineLevel="0" collapsed="false"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</row>
    <row r="665" customFormat="false" ht="15.75" hidden="false" customHeight="false" outlineLevel="0" collapsed="false"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</row>
    <row r="666" customFormat="false" ht="15.75" hidden="false" customHeight="false" outlineLevel="0" collapsed="false"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</row>
    <row r="667" customFormat="false" ht="15.75" hidden="false" customHeight="false" outlineLevel="0" collapsed="false"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</row>
    <row r="668" customFormat="false" ht="15.75" hidden="false" customHeight="false" outlineLevel="0" collapsed="false"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</row>
    <row r="669" customFormat="false" ht="15.75" hidden="false" customHeight="false" outlineLevel="0" collapsed="false"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</row>
    <row r="670" customFormat="false" ht="15.75" hidden="false" customHeight="false" outlineLevel="0" collapsed="false"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</row>
    <row r="671" customFormat="false" ht="15.75" hidden="false" customHeight="false" outlineLevel="0" collapsed="false"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</row>
    <row r="672" customFormat="false" ht="15.75" hidden="false" customHeight="false" outlineLevel="0" collapsed="false"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</row>
    <row r="673" customFormat="false" ht="15.75" hidden="false" customHeight="false" outlineLevel="0" collapsed="false"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</row>
    <row r="674" customFormat="false" ht="15.75" hidden="false" customHeight="false" outlineLevel="0" collapsed="false"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</row>
    <row r="675" customFormat="false" ht="15.75" hidden="false" customHeight="false" outlineLevel="0" collapsed="false"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</row>
    <row r="676" customFormat="false" ht="15.75" hidden="false" customHeight="false" outlineLevel="0" collapsed="false"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</row>
    <row r="677" customFormat="false" ht="15.75" hidden="false" customHeight="false" outlineLevel="0" collapsed="false"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</row>
    <row r="678" customFormat="false" ht="15.75" hidden="false" customHeight="false" outlineLevel="0" collapsed="false"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</row>
    <row r="679" customFormat="false" ht="15.75" hidden="false" customHeight="false" outlineLevel="0" collapsed="false"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</row>
    <row r="680" customFormat="false" ht="15.75" hidden="false" customHeight="false" outlineLevel="0" collapsed="false"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</row>
    <row r="681" customFormat="false" ht="15.75" hidden="false" customHeight="false" outlineLevel="0" collapsed="false"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</row>
    <row r="682" customFormat="false" ht="15.75" hidden="false" customHeight="false" outlineLevel="0" collapsed="false"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</row>
    <row r="683" customFormat="false" ht="15.75" hidden="false" customHeight="false" outlineLevel="0" collapsed="false"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</row>
    <row r="684" customFormat="false" ht="15.75" hidden="false" customHeight="false" outlineLevel="0" collapsed="false"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</row>
    <row r="685" customFormat="false" ht="15.75" hidden="false" customHeight="false" outlineLevel="0" collapsed="false"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</row>
    <row r="686" customFormat="false" ht="15.75" hidden="false" customHeight="false" outlineLevel="0" collapsed="false"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</row>
    <row r="687" customFormat="false" ht="15.75" hidden="false" customHeight="false" outlineLevel="0" collapsed="false"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</row>
    <row r="688" customFormat="false" ht="15.75" hidden="false" customHeight="false" outlineLevel="0" collapsed="false"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</row>
    <row r="689" customFormat="false" ht="15.75" hidden="false" customHeight="false" outlineLevel="0" collapsed="false"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</row>
    <row r="690" customFormat="false" ht="15.75" hidden="false" customHeight="false" outlineLevel="0" collapsed="false"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</row>
    <row r="691" customFormat="false" ht="15.75" hidden="false" customHeight="false" outlineLevel="0" collapsed="false"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</row>
    <row r="692" customFormat="false" ht="15.75" hidden="false" customHeight="false" outlineLevel="0" collapsed="false"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</row>
    <row r="693" customFormat="false" ht="15.75" hidden="false" customHeight="false" outlineLevel="0" collapsed="false"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</row>
    <row r="694" customFormat="false" ht="15.75" hidden="false" customHeight="false" outlineLevel="0" collapsed="false"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</row>
    <row r="695" customFormat="false" ht="15.75" hidden="false" customHeight="false" outlineLevel="0" collapsed="false"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</row>
    <row r="696" customFormat="false" ht="15.75" hidden="false" customHeight="false" outlineLevel="0" collapsed="false"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</row>
    <row r="697" customFormat="false" ht="15.75" hidden="false" customHeight="false" outlineLevel="0" collapsed="false"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</row>
    <row r="698" customFormat="false" ht="15.75" hidden="false" customHeight="false" outlineLevel="0" collapsed="false"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</row>
    <row r="699" customFormat="false" ht="15.75" hidden="false" customHeight="false" outlineLevel="0" collapsed="false"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</row>
    <row r="700" customFormat="false" ht="15.75" hidden="false" customHeight="false" outlineLevel="0" collapsed="false"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</row>
    <row r="701" customFormat="false" ht="15.75" hidden="false" customHeight="false" outlineLevel="0" collapsed="false"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</row>
    <row r="702" customFormat="false" ht="15.75" hidden="false" customHeight="false" outlineLevel="0" collapsed="false"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</row>
    <row r="703" customFormat="false" ht="15.75" hidden="false" customHeight="false" outlineLevel="0" collapsed="false"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</row>
    <row r="704" customFormat="false" ht="15.75" hidden="false" customHeight="false" outlineLevel="0" collapsed="false"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</row>
    <row r="705" customFormat="false" ht="15.75" hidden="false" customHeight="false" outlineLevel="0" collapsed="false"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</row>
    <row r="706" customFormat="false" ht="15.75" hidden="false" customHeight="false" outlineLevel="0" collapsed="false"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</row>
    <row r="707" customFormat="false" ht="15.75" hidden="false" customHeight="false" outlineLevel="0" collapsed="false"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</row>
    <row r="708" customFormat="false" ht="15.75" hidden="false" customHeight="false" outlineLevel="0" collapsed="false"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</row>
    <row r="709" customFormat="false" ht="15.75" hidden="false" customHeight="false" outlineLevel="0" collapsed="false"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</row>
    <row r="710" customFormat="false" ht="15.75" hidden="false" customHeight="false" outlineLevel="0" collapsed="false"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</row>
    <row r="711" customFormat="false" ht="15.75" hidden="false" customHeight="false" outlineLevel="0" collapsed="false"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</row>
    <row r="712" customFormat="false" ht="15.75" hidden="false" customHeight="false" outlineLevel="0" collapsed="false"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</row>
    <row r="713" customFormat="false" ht="15.75" hidden="false" customHeight="false" outlineLevel="0" collapsed="false"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</row>
    <row r="714" customFormat="false" ht="15.75" hidden="false" customHeight="false" outlineLevel="0" collapsed="false"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</row>
    <row r="715" customFormat="false" ht="15.75" hidden="false" customHeight="false" outlineLevel="0" collapsed="false"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</row>
    <row r="716" customFormat="false" ht="15.75" hidden="false" customHeight="false" outlineLevel="0" collapsed="false"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</row>
    <row r="717" customFormat="false" ht="15.75" hidden="false" customHeight="false" outlineLevel="0" collapsed="false"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</row>
    <row r="718" customFormat="false" ht="15.75" hidden="false" customHeight="false" outlineLevel="0" collapsed="false"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</row>
    <row r="719" customFormat="false" ht="15.75" hidden="false" customHeight="false" outlineLevel="0" collapsed="false"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</row>
    <row r="720" customFormat="false" ht="15.75" hidden="false" customHeight="false" outlineLevel="0" collapsed="false"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</row>
    <row r="721" customFormat="false" ht="15.75" hidden="false" customHeight="false" outlineLevel="0" collapsed="false"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</row>
    <row r="722" customFormat="false" ht="15.75" hidden="false" customHeight="false" outlineLevel="0" collapsed="false"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</row>
    <row r="723" customFormat="false" ht="15.75" hidden="false" customHeight="false" outlineLevel="0" collapsed="false"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</row>
    <row r="724" customFormat="false" ht="15.75" hidden="false" customHeight="false" outlineLevel="0" collapsed="false"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</row>
    <row r="725" customFormat="false" ht="15.75" hidden="false" customHeight="false" outlineLevel="0" collapsed="false"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</row>
    <row r="726" customFormat="false" ht="15.75" hidden="false" customHeight="false" outlineLevel="0" collapsed="false"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</row>
    <row r="727" customFormat="false" ht="15.75" hidden="false" customHeight="false" outlineLevel="0" collapsed="false"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</row>
    <row r="728" customFormat="false" ht="15.75" hidden="false" customHeight="false" outlineLevel="0" collapsed="false"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</row>
    <row r="729" customFormat="false" ht="15.75" hidden="false" customHeight="false" outlineLevel="0" collapsed="false"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</row>
    <row r="730" customFormat="false" ht="15.75" hidden="false" customHeight="false" outlineLevel="0" collapsed="false"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</row>
    <row r="731" customFormat="false" ht="15.75" hidden="false" customHeight="false" outlineLevel="0" collapsed="false"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</row>
    <row r="732" customFormat="false" ht="15.75" hidden="false" customHeight="false" outlineLevel="0" collapsed="false"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</row>
    <row r="733" customFormat="false" ht="15.75" hidden="false" customHeight="false" outlineLevel="0" collapsed="false"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</row>
    <row r="734" customFormat="false" ht="15.75" hidden="false" customHeight="false" outlineLevel="0" collapsed="false"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</row>
    <row r="735" customFormat="false" ht="15.75" hidden="false" customHeight="false" outlineLevel="0" collapsed="false"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</row>
    <row r="736" customFormat="false" ht="15.75" hidden="false" customHeight="false" outlineLevel="0" collapsed="false"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</row>
    <row r="737" customFormat="false" ht="15.75" hidden="false" customHeight="false" outlineLevel="0" collapsed="false"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</row>
    <row r="738" customFormat="false" ht="15.75" hidden="false" customHeight="false" outlineLevel="0" collapsed="false"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</row>
    <row r="739" customFormat="false" ht="15.75" hidden="false" customHeight="false" outlineLevel="0" collapsed="false"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</row>
    <row r="740" customFormat="false" ht="15.75" hidden="false" customHeight="false" outlineLevel="0" collapsed="false"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</row>
    <row r="741" customFormat="false" ht="15.75" hidden="false" customHeight="false" outlineLevel="0" collapsed="false"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</row>
    <row r="742" customFormat="false" ht="15.75" hidden="false" customHeight="false" outlineLevel="0" collapsed="false"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</row>
    <row r="743" customFormat="false" ht="15.75" hidden="false" customHeight="false" outlineLevel="0" collapsed="false"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</row>
    <row r="744" customFormat="false" ht="15.75" hidden="false" customHeight="false" outlineLevel="0" collapsed="false"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</row>
    <row r="745" customFormat="false" ht="15.75" hidden="false" customHeight="false" outlineLevel="0" collapsed="false"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</row>
    <row r="746" customFormat="false" ht="15.75" hidden="false" customHeight="false" outlineLevel="0" collapsed="false"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</row>
    <row r="747" customFormat="false" ht="15.75" hidden="false" customHeight="false" outlineLevel="0" collapsed="false"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</row>
    <row r="748" customFormat="false" ht="15.75" hidden="false" customHeight="false" outlineLevel="0" collapsed="false"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</row>
    <row r="749" customFormat="false" ht="15.75" hidden="false" customHeight="false" outlineLevel="0" collapsed="false"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</row>
    <row r="750" customFormat="false" ht="15.75" hidden="false" customHeight="false" outlineLevel="0" collapsed="false"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</row>
    <row r="751" customFormat="false" ht="15.75" hidden="false" customHeight="false" outlineLevel="0" collapsed="false"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</row>
    <row r="752" customFormat="false" ht="15.75" hidden="false" customHeight="false" outlineLevel="0" collapsed="false"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</row>
    <row r="753" customFormat="false" ht="15.75" hidden="false" customHeight="false" outlineLevel="0" collapsed="false"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</row>
    <row r="754" customFormat="false" ht="15.75" hidden="false" customHeight="false" outlineLevel="0" collapsed="false"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</row>
    <row r="755" customFormat="false" ht="15.75" hidden="false" customHeight="false" outlineLevel="0" collapsed="false"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</row>
    <row r="756" customFormat="false" ht="15.75" hidden="false" customHeight="false" outlineLevel="0" collapsed="false"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</row>
    <row r="757" customFormat="false" ht="15.75" hidden="false" customHeight="false" outlineLevel="0" collapsed="false"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</row>
    <row r="758" customFormat="false" ht="15.75" hidden="false" customHeight="false" outlineLevel="0" collapsed="false"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</row>
    <row r="759" customFormat="false" ht="15.75" hidden="false" customHeight="false" outlineLevel="0" collapsed="false"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</row>
    <row r="760" customFormat="false" ht="15.75" hidden="false" customHeight="false" outlineLevel="0" collapsed="false"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</row>
    <row r="761" customFormat="false" ht="15.75" hidden="false" customHeight="false" outlineLevel="0" collapsed="false"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</row>
    <row r="762" customFormat="false" ht="15.75" hidden="false" customHeight="false" outlineLevel="0" collapsed="false"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</row>
    <row r="763" customFormat="false" ht="15.75" hidden="false" customHeight="false" outlineLevel="0" collapsed="false"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</row>
    <row r="764" customFormat="false" ht="15.75" hidden="false" customHeight="false" outlineLevel="0" collapsed="false"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</row>
    <row r="765" customFormat="false" ht="15.75" hidden="false" customHeight="false" outlineLevel="0" collapsed="false"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</row>
    <row r="766" customFormat="false" ht="15.75" hidden="false" customHeight="false" outlineLevel="0" collapsed="false"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</row>
    <row r="767" customFormat="false" ht="15.75" hidden="false" customHeight="false" outlineLevel="0" collapsed="false"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</row>
    <row r="768" customFormat="false" ht="15.75" hidden="false" customHeight="false" outlineLevel="0" collapsed="false"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</row>
    <row r="769" customFormat="false" ht="15.75" hidden="false" customHeight="false" outlineLevel="0" collapsed="false"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</row>
    <row r="770" customFormat="false" ht="15.75" hidden="false" customHeight="false" outlineLevel="0" collapsed="false"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</row>
    <row r="771" customFormat="false" ht="15.75" hidden="false" customHeight="false" outlineLevel="0" collapsed="false"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</row>
    <row r="772" customFormat="false" ht="15.75" hidden="false" customHeight="false" outlineLevel="0" collapsed="false"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</row>
    <row r="773" customFormat="false" ht="15.75" hidden="false" customHeight="false" outlineLevel="0" collapsed="false"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</row>
    <row r="774" customFormat="false" ht="15.75" hidden="false" customHeight="false" outlineLevel="0" collapsed="false"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</row>
    <row r="775" customFormat="false" ht="15.75" hidden="false" customHeight="false" outlineLevel="0" collapsed="false"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</row>
    <row r="776" customFormat="false" ht="15.75" hidden="false" customHeight="false" outlineLevel="0" collapsed="false"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</row>
    <row r="777" customFormat="false" ht="15.75" hidden="false" customHeight="false" outlineLevel="0" collapsed="false"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</row>
    <row r="778" customFormat="false" ht="15.75" hidden="false" customHeight="false" outlineLevel="0" collapsed="false"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</row>
    <row r="779" customFormat="false" ht="15.75" hidden="false" customHeight="false" outlineLevel="0" collapsed="false"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</row>
    <row r="780" customFormat="false" ht="15.75" hidden="false" customHeight="false" outlineLevel="0" collapsed="false"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</row>
    <row r="781" customFormat="false" ht="15.75" hidden="false" customHeight="false" outlineLevel="0" collapsed="false"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</row>
    <row r="782" customFormat="false" ht="15.75" hidden="false" customHeight="false" outlineLevel="0" collapsed="false"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</row>
    <row r="783" customFormat="false" ht="15.75" hidden="false" customHeight="false" outlineLevel="0" collapsed="false"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</row>
    <row r="784" customFormat="false" ht="15.75" hidden="false" customHeight="false" outlineLevel="0" collapsed="false"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</row>
    <row r="785" customFormat="false" ht="15.75" hidden="false" customHeight="false" outlineLevel="0" collapsed="false"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</row>
    <row r="786" customFormat="false" ht="15.75" hidden="false" customHeight="false" outlineLevel="0" collapsed="false"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</row>
    <row r="787" customFormat="false" ht="15.75" hidden="false" customHeight="false" outlineLevel="0" collapsed="false"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</row>
    <row r="788" customFormat="false" ht="15.75" hidden="false" customHeight="false" outlineLevel="0" collapsed="false"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</row>
    <row r="789" customFormat="false" ht="15.75" hidden="false" customHeight="false" outlineLevel="0" collapsed="false"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</row>
    <row r="790" customFormat="false" ht="15.75" hidden="false" customHeight="false" outlineLevel="0" collapsed="false"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</row>
    <row r="791" customFormat="false" ht="15.75" hidden="false" customHeight="false" outlineLevel="0" collapsed="false"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</row>
    <row r="792" customFormat="false" ht="15.75" hidden="false" customHeight="false" outlineLevel="0" collapsed="false"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</row>
    <row r="793" customFormat="false" ht="15.75" hidden="false" customHeight="false" outlineLevel="0" collapsed="false"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</row>
    <row r="794" customFormat="false" ht="15.75" hidden="false" customHeight="false" outlineLevel="0" collapsed="false"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</row>
    <row r="795" customFormat="false" ht="15.75" hidden="false" customHeight="false" outlineLevel="0" collapsed="false"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</row>
    <row r="796" customFormat="false" ht="15.75" hidden="false" customHeight="false" outlineLevel="0" collapsed="false"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</row>
    <row r="797" customFormat="false" ht="15.75" hidden="false" customHeight="false" outlineLevel="0" collapsed="false"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</row>
    <row r="798" customFormat="false" ht="15.75" hidden="false" customHeight="false" outlineLevel="0" collapsed="false"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</row>
    <row r="799" customFormat="false" ht="15.75" hidden="false" customHeight="false" outlineLevel="0" collapsed="false"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</row>
    <row r="800" customFormat="false" ht="15.75" hidden="false" customHeight="false" outlineLevel="0" collapsed="false"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</row>
    <row r="801" customFormat="false" ht="15.75" hidden="false" customHeight="false" outlineLevel="0" collapsed="false"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</row>
    <row r="802" customFormat="false" ht="15.75" hidden="false" customHeight="false" outlineLevel="0" collapsed="false"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</row>
    <row r="803" customFormat="false" ht="15.75" hidden="false" customHeight="false" outlineLevel="0" collapsed="false"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</row>
    <row r="804" customFormat="false" ht="15.75" hidden="false" customHeight="false" outlineLevel="0" collapsed="false"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</row>
    <row r="805" customFormat="false" ht="15.75" hidden="false" customHeight="false" outlineLevel="0" collapsed="false"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</row>
    <row r="806" customFormat="false" ht="15.75" hidden="false" customHeight="false" outlineLevel="0" collapsed="false"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</row>
    <row r="807" customFormat="false" ht="15.75" hidden="false" customHeight="false" outlineLevel="0" collapsed="false"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</row>
    <row r="808" customFormat="false" ht="15.75" hidden="false" customHeight="false" outlineLevel="0" collapsed="false"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</row>
    <row r="809" customFormat="false" ht="15.75" hidden="false" customHeight="false" outlineLevel="0" collapsed="false"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</row>
    <row r="810" customFormat="false" ht="15.75" hidden="false" customHeight="false" outlineLevel="0" collapsed="false"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</row>
    <row r="811" customFormat="false" ht="15.75" hidden="false" customHeight="false" outlineLevel="0" collapsed="false"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</row>
    <row r="812" customFormat="false" ht="15.75" hidden="false" customHeight="false" outlineLevel="0" collapsed="false"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</row>
    <row r="813" customFormat="false" ht="15.75" hidden="false" customHeight="false" outlineLevel="0" collapsed="false"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</row>
    <row r="814" customFormat="false" ht="15.75" hidden="false" customHeight="false" outlineLevel="0" collapsed="false"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</row>
    <row r="815" customFormat="false" ht="15.75" hidden="false" customHeight="false" outlineLevel="0" collapsed="false"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</row>
    <row r="816" customFormat="false" ht="15.75" hidden="false" customHeight="false" outlineLevel="0" collapsed="false"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</row>
    <row r="817" customFormat="false" ht="15.75" hidden="false" customHeight="false" outlineLevel="0" collapsed="false"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</row>
    <row r="818" customFormat="false" ht="15.75" hidden="false" customHeight="false" outlineLevel="0" collapsed="false"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</row>
    <row r="819" customFormat="false" ht="15.75" hidden="false" customHeight="false" outlineLevel="0" collapsed="false"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</row>
    <row r="820" customFormat="false" ht="15.75" hidden="false" customHeight="false" outlineLevel="0" collapsed="false"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</row>
    <row r="821" customFormat="false" ht="15.75" hidden="false" customHeight="false" outlineLevel="0" collapsed="false"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</row>
    <row r="822" customFormat="false" ht="15.75" hidden="false" customHeight="false" outlineLevel="0" collapsed="false"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</row>
    <row r="823" customFormat="false" ht="15.75" hidden="false" customHeight="false" outlineLevel="0" collapsed="false"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</row>
    <row r="824" customFormat="false" ht="15.75" hidden="false" customHeight="false" outlineLevel="0" collapsed="false"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</row>
    <row r="825" customFormat="false" ht="15.75" hidden="false" customHeight="false" outlineLevel="0" collapsed="false"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</row>
    <row r="826" customFormat="false" ht="15.75" hidden="false" customHeight="false" outlineLevel="0" collapsed="false"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</row>
    <row r="827" customFormat="false" ht="15.75" hidden="false" customHeight="false" outlineLevel="0" collapsed="false"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</row>
    <row r="828" customFormat="false" ht="15.75" hidden="false" customHeight="false" outlineLevel="0" collapsed="false"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</row>
    <row r="829" customFormat="false" ht="15.75" hidden="false" customHeight="false" outlineLevel="0" collapsed="false"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</row>
    <row r="830" customFormat="false" ht="15.75" hidden="false" customHeight="false" outlineLevel="0" collapsed="false"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</row>
    <row r="831" customFormat="false" ht="15.75" hidden="false" customHeight="false" outlineLevel="0" collapsed="false"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</row>
    <row r="832" customFormat="false" ht="15.75" hidden="false" customHeight="false" outlineLevel="0" collapsed="false"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</row>
    <row r="833" customFormat="false" ht="15.75" hidden="false" customHeight="false" outlineLevel="0" collapsed="false"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</row>
    <row r="834" customFormat="false" ht="15.75" hidden="false" customHeight="false" outlineLevel="0" collapsed="false"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</row>
    <row r="835" customFormat="false" ht="15.75" hidden="false" customHeight="false" outlineLevel="0" collapsed="false"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</row>
    <row r="836" customFormat="false" ht="15.75" hidden="false" customHeight="false" outlineLevel="0" collapsed="false"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</row>
    <row r="837" customFormat="false" ht="15.75" hidden="false" customHeight="false" outlineLevel="0" collapsed="false"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</row>
    <row r="838" customFormat="false" ht="15.75" hidden="false" customHeight="false" outlineLevel="0" collapsed="false"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</row>
    <row r="839" customFormat="false" ht="15.75" hidden="false" customHeight="false" outlineLevel="0" collapsed="false"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</row>
    <row r="840" customFormat="false" ht="15.75" hidden="false" customHeight="false" outlineLevel="0" collapsed="false"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</row>
    <row r="841" customFormat="false" ht="15.75" hidden="false" customHeight="false" outlineLevel="0" collapsed="false"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</row>
    <row r="842" customFormat="false" ht="15.75" hidden="false" customHeight="false" outlineLevel="0" collapsed="false"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</row>
    <row r="843" customFormat="false" ht="15.75" hidden="false" customHeight="false" outlineLevel="0" collapsed="false"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</row>
    <row r="844" customFormat="false" ht="15.75" hidden="false" customHeight="false" outlineLevel="0" collapsed="false"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</row>
    <row r="845" customFormat="false" ht="15.75" hidden="false" customHeight="false" outlineLevel="0" collapsed="false"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</row>
    <row r="846" customFormat="false" ht="15.75" hidden="false" customHeight="false" outlineLevel="0" collapsed="false"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</row>
    <row r="847" customFormat="false" ht="15.75" hidden="false" customHeight="false" outlineLevel="0" collapsed="false"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</row>
    <row r="848" customFormat="false" ht="15.75" hidden="false" customHeight="false" outlineLevel="0" collapsed="false"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</row>
    <row r="849" customFormat="false" ht="15.75" hidden="false" customHeight="false" outlineLevel="0" collapsed="false"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</row>
    <row r="850" customFormat="false" ht="15.75" hidden="false" customHeight="false" outlineLevel="0" collapsed="false"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</row>
    <row r="851" customFormat="false" ht="15.75" hidden="false" customHeight="false" outlineLevel="0" collapsed="false"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</row>
    <row r="852" customFormat="false" ht="15.75" hidden="false" customHeight="false" outlineLevel="0" collapsed="false"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</row>
    <row r="853" customFormat="false" ht="15.75" hidden="false" customHeight="false" outlineLevel="0" collapsed="false"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</row>
    <row r="854" customFormat="false" ht="15.75" hidden="false" customHeight="false" outlineLevel="0" collapsed="false"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</row>
    <row r="855" customFormat="false" ht="15.75" hidden="false" customHeight="false" outlineLevel="0" collapsed="false"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</row>
    <row r="856" customFormat="false" ht="15.75" hidden="false" customHeight="false" outlineLevel="0" collapsed="false"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</row>
    <row r="857" customFormat="false" ht="15.75" hidden="false" customHeight="false" outlineLevel="0" collapsed="false"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</row>
    <row r="858" customFormat="false" ht="15.75" hidden="false" customHeight="false" outlineLevel="0" collapsed="false"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</row>
    <row r="859" customFormat="false" ht="15.75" hidden="false" customHeight="false" outlineLevel="0" collapsed="false"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</row>
    <row r="860" customFormat="false" ht="15.75" hidden="false" customHeight="false" outlineLevel="0" collapsed="false"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</row>
    <row r="861" customFormat="false" ht="15.75" hidden="false" customHeight="false" outlineLevel="0" collapsed="false"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</row>
    <row r="862" customFormat="false" ht="15.75" hidden="false" customHeight="false" outlineLevel="0" collapsed="false"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</row>
    <row r="863" customFormat="false" ht="15.75" hidden="false" customHeight="false" outlineLevel="0" collapsed="false"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</row>
    <row r="864" customFormat="false" ht="15.75" hidden="false" customHeight="false" outlineLevel="0" collapsed="false"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</row>
    <row r="865" customFormat="false" ht="15.75" hidden="false" customHeight="false" outlineLevel="0" collapsed="false"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</row>
    <row r="866" customFormat="false" ht="15.75" hidden="false" customHeight="false" outlineLevel="0" collapsed="false"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</row>
    <row r="867" customFormat="false" ht="15.75" hidden="false" customHeight="false" outlineLevel="0" collapsed="false"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</row>
    <row r="868" customFormat="false" ht="15.75" hidden="false" customHeight="false" outlineLevel="0" collapsed="false"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</row>
    <row r="869" customFormat="false" ht="15.75" hidden="false" customHeight="false" outlineLevel="0" collapsed="false"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</row>
    <row r="870" customFormat="false" ht="15.75" hidden="false" customHeight="false" outlineLevel="0" collapsed="false"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</row>
    <row r="871" customFormat="false" ht="15.75" hidden="false" customHeight="false" outlineLevel="0" collapsed="false"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</row>
    <row r="872" customFormat="false" ht="15.75" hidden="false" customHeight="false" outlineLevel="0" collapsed="false"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</row>
    <row r="873" customFormat="false" ht="15.75" hidden="false" customHeight="false" outlineLevel="0" collapsed="false"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</row>
    <row r="874" customFormat="false" ht="15.75" hidden="false" customHeight="false" outlineLevel="0" collapsed="false"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</row>
    <row r="875" customFormat="false" ht="15.75" hidden="false" customHeight="false" outlineLevel="0" collapsed="false"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</row>
    <row r="876" customFormat="false" ht="15.75" hidden="false" customHeight="false" outlineLevel="0" collapsed="false"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</row>
    <row r="877" customFormat="false" ht="15.75" hidden="false" customHeight="false" outlineLevel="0" collapsed="false"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</row>
    <row r="878" customFormat="false" ht="15.75" hidden="false" customHeight="false" outlineLevel="0" collapsed="false"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</row>
    <row r="879" customFormat="false" ht="15.75" hidden="false" customHeight="false" outlineLevel="0" collapsed="false"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</row>
    <row r="880" customFormat="false" ht="15.75" hidden="false" customHeight="false" outlineLevel="0" collapsed="false"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</row>
    <row r="881" customFormat="false" ht="15.75" hidden="false" customHeight="false" outlineLevel="0" collapsed="false"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</row>
    <row r="882" customFormat="false" ht="15.75" hidden="false" customHeight="false" outlineLevel="0" collapsed="false"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</row>
    <row r="883" customFormat="false" ht="15.75" hidden="false" customHeight="false" outlineLevel="0" collapsed="false"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</row>
    <row r="884" customFormat="false" ht="15.75" hidden="false" customHeight="false" outlineLevel="0" collapsed="false"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</row>
    <row r="885" customFormat="false" ht="15.75" hidden="false" customHeight="false" outlineLevel="0" collapsed="false"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</row>
    <row r="886" customFormat="false" ht="15.75" hidden="false" customHeight="false" outlineLevel="0" collapsed="false"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</row>
    <row r="887" customFormat="false" ht="15.75" hidden="false" customHeight="false" outlineLevel="0" collapsed="false"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</row>
    <row r="888" customFormat="false" ht="15.75" hidden="false" customHeight="false" outlineLevel="0" collapsed="false"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</row>
    <row r="889" customFormat="false" ht="15.75" hidden="false" customHeight="false" outlineLevel="0" collapsed="false"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</row>
    <row r="890" customFormat="false" ht="15.75" hidden="false" customHeight="false" outlineLevel="0" collapsed="false"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</row>
    <row r="891" customFormat="false" ht="15.75" hidden="false" customHeight="false" outlineLevel="0" collapsed="false"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</row>
    <row r="892" customFormat="false" ht="15.75" hidden="false" customHeight="false" outlineLevel="0" collapsed="false"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</row>
    <row r="893" customFormat="false" ht="15.75" hidden="false" customHeight="false" outlineLevel="0" collapsed="false"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</row>
    <row r="894" customFormat="false" ht="15.75" hidden="false" customHeight="false" outlineLevel="0" collapsed="false"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</row>
    <row r="895" customFormat="false" ht="15.75" hidden="false" customHeight="false" outlineLevel="0" collapsed="false"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</row>
    <row r="896" customFormat="false" ht="15.75" hidden="false" customHeight="false" outlineLevel="0" collapsed="false"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</row>
    <row r="897" customFormat="false" ht="15.75" hidden="false" customHeight="false" outlineLevel="0" collapsed="false"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</row>
    <row r="898" customFormat="false" ht="15.75" hidden="false" customHeight="false" outlineLevel="0" collapsed="false"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</row>
    <row r="899" customFormat="false" ht="15.75" hidden="false" customHeight="false" outlineLevel="0" collapsed="false"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</row>
    <row r="900" customFormat="false" ht="15.75" hidden="false" customHeight="false" outlineLevel="0" collapsed="false"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</row>
    <row r="901" customFormat="false" ht="15.75" hidden="false" customHeight="false" outlineLevel="0" collapsed="false"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</row>
    <row r="902" customFormat="false" ht="15.75" hidden="false" customHeight="false" outlineLevel="0" collapsed="false"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</row>
    <row r="903" customFormat="false" ht="15.75" hidden="false" customHeight="false" outlineLevel="0" collapsed="false"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</row>
    <row r="904" customFormat="false" ht="15.75" hidden="false" customHeight="false" outlineLevel="0" collapsed="false"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</row>
    <row r="905" customFormat="false" ht="15.75" hidden="false" customHeight="false" outlineLevel="0" collapsed="false"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</row>
    <row r="906" customFormat="false" ht="15.75" hidden="false" customHeight="false" outlineLevel="0" collapsed="false"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</row>
    <row r="907" customFormat="false" ht="15.75" hidden="false" customHeight="false" outlineLevel="0" collapsed="false"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</row>
    <row r="908" customFormat="false" ht="15.75" hidden="false" customHeight="false" outlineLevel="0" collapsed="false"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</row>
    <row r="909" customFormat="false" ht="15.75" hidden="false" customHeight="false" outlineLevel="0" collapsed="false"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</row>
    <row r="910" customFormat="false" ht="15.75" hidden="false" customHeight="false" outlineLevel="0" collapsed="false"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</row>
    <row r="911" customFormat="false" ht="15.75" hidden="false" customHeight="false" outlineLevel="0" collapsed="false"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</row>
    <row r="912" customFormat="false" ht="15.75" hidden="false" customHeight="false" outlineLevel="0" collapsed="false"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</row>
    <row r="913" customFormat="false" ht="15.75" hidden="false" customHeight="false" outlineLevel="0" collapsed="false"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</row>
    <row r="914" customFormat="false" ht="15.75" hidden="false" customHeight="false" outlineLevel="0" collapsed="false"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</row>
    <row r="915" customFormat="false" ht="15.75" hidden="false" customHeight="false" outlineLevel="0" collapsed="false"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</row>
    <row r="916" customFormat="false" ht="15.75" hidden="false" customHeight="false" outlineLevel="0" collapsed="false"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</row>
    <row r="917" customFormat="false" ht="15.75" hidden="false" customHeight="false" outlineLevel="0" collapsed="false"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</row>
    <row r="918" customFormat="false" ht="15.75" hidden="false" customHeight="false" outlineLevel="0" collapsed="false"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</row>
    <row r="919" customFormat="false" ht="15.75" hidden="false" customHeight="false" outlineLevel="0" collapsed="false"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</row>
    <row r="920" customFormat="false" ht="15.75" hidden="false" customHeight="false" outlineLevel="0" collapsed="false"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</row>
    <row r="921" customFormat="false" ht="15.75" hidden="false" customHeight="false" outlineLevel="0" collapsed="false"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</row>
    <row r="922" customFormat="false" ht="15.75" hidden="false" customHeight="false" outlineLevel="0" collapsed="false"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</row>
    <row r="923" customFormat="false" ht="15.75" hidden="false" customHeight="false" outlineLevel="0" collapsed="false"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</row>
    <row r="924" customFormat="false" ht="15.75" hidden="false" customHeight="false" outlineLevel="0" collapsed="false"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</row>
    <row r="925" customFormat="false" ht="15.75" hidden="false" customHeight="false" outlineLevel="0" collapsed="false"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</row>
    <row r="926" customFormat="false" ht="15.75" hidden="false" customHeight="false" outlineLevel="0" collapsed="false"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</row>
    <row r="927" customFormat="false" ht="15.75" hidden="false" customHeight="false" outlineLevel="0" collapsed="false"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</row>
    <row r="928" customFormat="false" ht="15.75" hidden="false" customHeight="false" outlineLevel="0" collapsed="false"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</row>
    <row r="929" customFormat="false" ht="15.75" hidden="false" customHeight="false" outlineLevel="0" collapsed="false"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</row>
    <row r="930" customFormat="false" ht="15.75" hidden="false" customHeight="false" outlineLevel="0" collapsed="false"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</row>
    <row r="931" customFormat="false" ht="15.75" hidden="false" customHeight="false" outlineLevel="0" collapsed="false"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</row>
    <row r="932" customFormat="false" ht="15.75" hidden="false" customHeight="false" outlineLevel="0" collapsed="false"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</row>
    <row r="933" customFormat="false" ht="15.75" hidden="false" customHeight="false" outlineLevel="0" collapsed="false"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</row>
    <row r="934" customFormat="false" ht="15.75" hidden="false" customHeight="false" outlineLevel="0" collapsed="false"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</row>
    <row r="935" customFormat="false" ht="15.75" hidden="false" customHeight="false" outlineLevel="0" collapsed="false"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</row>
    <row r="936" customFormat="false" ht="15.75" hidden="false" customHeight="false" outlineLevel="0" collapsed="false"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</row>
    <row r="937" customFormat="false" ht="15.75" hidden="false" customHeight="false" outlineLevel="0" collapsed="false"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</row>
    <row r="938" customFormat="false" ht="15.75" hidden="false" customHeight="false" outlineLevel="0" collapsed="false"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</row>
    <row r="939" customFormat="false" ht="15.75" hidden="false" customHeight="false" outlineLevel="0" collapsed="false"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</row>
    <row r="940" customFormat="false" ht="15.75" hidden="false" customHeight="false" outlineLevel="0" collapsed="false"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</row>
    <row r="941" customFormat="false" ht="15.75" hidden="false" customHeight="false" outlineLevel="0" collapsed="false"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</row>
    <row r="942" customFormat="false" ht="15.75" hidden="false" customHeight="false" outlineLevel="0" collapsed="false"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</row>
    <row r="943" customFormat="false" ht="15.75" hidden="false" customHeight="false" outlineLevel="0" collapsed="false"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</row>
    <row r="944" customFormat="false" ht="15.75" hidden="false" customHeight="false" outlineLevel="0" collapsed="false"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</row>
    <row r="945" customFormat="false" ht="15.75" hidden="false" customHeight="false" outlineLevel="0" collapsed="false"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</row>
    <row r="946" customFormat="false" ht="15.75" hidden="false" customHeight="false" outlineLevel="0" collapsed="false"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</row>
    <row r="947" customFormat="false" ht="15.75" hidden="false" customHeight="false" outlineLevel="0" collapsed="false"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</row>
    <row r="948" customFormat="false" ht="15.75" hidden="false" customHeight="false" outlineLevel="0" collapsed="false"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</row>
    <row r="949" customFormat="false" ht="15.75" hidden="false" customHeight="false" outlineLevel="0" collapsed="false"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</row>
    <row r="950" customFormat="false" ht="15.75" hidden="false" customHeight="false" outlineLevel="0" collapsed="false"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</row>
    <row r="951" customFormat="false" ht="15.75" hidden="false" customHeight="false" outlineLevel="0" collapsed="false"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</row>
    <row r="952" customFormat="false" ht="15.75" hidden="false" customHeight="false" outlineLevel="0" collapsed="false"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</row>
    <row r="953" customFormat="false" ht="15.75" hidden="false" customHeight="false" outlineLevel="0" collapsed="false"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</row>
    <row r="954" customFormat="false" ht="15.75" hidden="false" customHeight="false" outlineLevel="0" collapsed="false"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</row>
    <row r="955" customFormat="false" ht="15.75" hidden="false" customHeight="false" outlineLevel="0" collapsed="false"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</row>
    <row r="956" customFormat="false" ht="15.75" hidden="false" customHeight="false" outlineLevel="0" collapsed="false"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</row>
    <row r="957" customFormat="false" ht="15.75" hidden="false" customHeight="false" outlineLevel="0" collapsed="false"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</row>
    <row r="958" customFormat="false" ht="15.75" hidden="false" customHeight="false" outlineLevel="0" collapsed="false"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</row>
    <row r="959" customFormat="false" ht="15.75" hidden="false" customHeight="false" outlineLevel="0" collapsed="false"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</row>
    <row r="960" customFormat="false" ht="15.75" hidden="false" customHeight="false" outlineLevel="0" collapsed="false"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</row>
    <row r="961" customFormat="false" ht="15.75" hidden="false" customHeight="false" outlineLevel="0" collapsed="false"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</row>
    <row r="962" customFormat="false" ht="15.75" hidden="false" customHeight="false" outlineLevel="0" collapsed="false"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</row>
    <row r="963" customFormat="false" ht="15.75" hidden="false" customHeight="false" outlineLevel="0" collapsed="false"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</row>
    <row r="964" customFormat="false" ht="15.75" hidden="false" customHeight="false" outlineLevel="0" collapsed="false"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</row>
    <row r="965" customFormat="false" ht="15.75" hidden="false" customHeight="false" outlineLevel="0" collapsed="false"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</row>
    <row r="966" customFormat="false" ht="15.75" hidden="false" customHeight="false" outlineLevel="0" collapsed="false"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</row>
    <row r="967" customFormat="false" ht="15.75" hidden="false" customHeight="false" outlineLevel="0" collapsed="false"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</row>
    <row r="968" customFormat="false" ht="15.75" hidden="false" customHeight="false" outlineLevel="0" collapsed="false"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</row>
    <row r="969" customFormat="false" ht="15.75" hidden="false" customHeight="false" outlineLevel="0" collapsed="false"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</row>
    <row r="970" customFormat="false" ht="15.75" hidden="false" customHeight="false" outlineLevel="0" collapsed="false"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</row>
    <row r="971" customFormat="false" ht="15.75" hidden="false" customHeight="false" outlineLevel="0" collapsed="false"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</row>
    <row r="972" customFormat="false" ht="15.75" hidden="false" customHeight="false" outlineLevel="0" collapsed="false"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</row>
    <row r="973" customFormat="false" ht="15.75" hidden="false" customHeight="false" outlineLevel="0" collapsed="false"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</row>
    <row r="974" customFormat="false" ht="15.75" hidden="false" customHeight="false" outlineLevel="0" collapsed="false"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</row>
    <row r="975" customFormat="false" ht="15.75" hidden="false" customHeight="false" outlineLevel="0" collapsed="false"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  <c r="AA975" s="127"/>
      <c r="AB975" s="127"/>
      <c r="AC975" s="127"/>
      <c r="AD975" s="127"/>
    </row>
    <row r="976" customFormat="false" ht="15.75" hidden="false" customHeight="false" outlineLevel="0" collapsed="false"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  <c r="AA976" s="127"/>
      <c r="AB976" s="127"/>
      <c r="AC976" s="127"/>
      <c r="AD976" s="127"/>
    </row>
    <row r="977" customFormat="false" ht="15.75" hidden="false" customHeight="false" outlineLevel="0" collapsed="false"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  <c r="AA977" s="127"/>
      <c r="AB977" s="127"/>
      <c r="AC977" s="127"/>
      <c r="AD977" s="127"/>
    </row>
    <row r="978" customFormat="false" ht="15.75" hidden="false" customHeight="false" outlineLevel="0" collapsed="false"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  <c r="AA978" s="127"/>
      <c r="AB978" s="127"/>
      <c r="AC978" s="127"/>
      <c r="AD978" s="127"/>
    </row>
    <row r="979" customFormat="false" ht="15.75" hidden="false" customHeight="false" outlineLevel="0" collapsed="false"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  <c r="AA979" s="127"/>
      <c r="AB979" s="127"/>
      <c r="AC979" s="127"/>
      <c r="AD979" s="127"/>
    </row>
    <row r="980" customFormat="false" ht="15.75" hidden="false" customHeight="false" outlineLevel="0" collapsed="false"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  <c r="AA980" s="127"/>
      <c r="AB980" s="127"/>
      <c r="AC980" s="127"/>
      <c r="AD980" s="127"/>
    </row>
    <row r="981" customFormat="false" ht="15.75" hidden="false" customHeight="false" outlineLevel="0" collapsed="false"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  <c r="AA981" s="127"/>
      <c r="AB981" s="127"/>
      <c r="AC981" s="127"/>
      <c r="AD981" s="127"/>
    </row>
    <row r="982" customFormat="false" ht="15.75" hidden="false" customHeight="false" outlineLevel="0" collapsed="false"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  <c r="AA982" s="127"/>
      <c r="AB982" s="127"/>
      <c r="AC982" s="127"/>
      <c r="AD982" s="127"/>
    </row>
    <row r="983" customFormat="false" ht="15.75" hidden="false" customHeight="false" outlineLevel="0" collapsed="false"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  <c r="AA983" s="127"/>
      <c r="AB983" s="127"/>
      <c r="AC983" s="127"/>
      <c r="AD983" s="127"/>
    </row>
    <row r="984" customFormat="false" ht="15.75" hidden="false" customHeight="false" outlineLevel="0" collapsed="false"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  <c r="AA984" s="127"/>
      <c r="AB984" s="127"/>
      <c r="AC984" s="127"/>
      <c r="AD984" s="127"/>
    </row>
    <row r="985" customFormat="false" ht="15.75" hidden="false" customHeight="false" outlineLevel="0" collapsed="false"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  <c r="AA985" s="127"/>
      <c r="AB985" s="127"/>
      <c r="AC985" s="127"/>
      <c r="AD985" s="127"/>
    </row>
    <row r="986" customFormat="false" ht="15.75" hidden="false" customHeight="false" outlineLevel="0" collapsed="false"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  <c r="AA986" s="127"/>
      <c r="AB986" s="127"/>
      <c r="AC986" s="127"/>
      <c r="AD986" s="127"/>
    </row>
    <row r="987" customFormat="false" ht="15.75" hidden="false" customHeight="false" outlineLevel="0" collapsed="false"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  <c r="AA987" s="127"/>
      <c r="AB987" s="127"/>
      <c r="AC987" s="127"/>
      <c r="AD987" s="127"/>
    </row>
    <row r="988" customFormat="false" ht="15.75" hidden="false" customHeight="false" outlineLevel="0" collapsed="false"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  <c r="AA988" s="127"/>
      <c r="AB988" s="127"/>
      <c r="AC988" s="127"/>
      <c r="AD988" s="127"/>
    </row>
    <row r="989" customFormat="false" ht="15.75" hidden="false" customHeight="false" outlineLevel="0" collapsed="false"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  <c r="AA989" s="127"/>
      <c r="AB989" s="127"/>
      <c r="AC989" s="127"/>
      <c r="AD989" s="127"/>
    </row>
    <row r="990" customFormat="false" ht="15.75" hidden="false" customHeight="false" outlineLevel="0" collapsed="false"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  <c r="AA990" s="127"/>
      <c r="AB990" s="127"/>
      <c r="AC990" s="127"/>
      <c r="AD990" s="127"/>
    </row>
    <row r="991" customFormat="false" ht="15.75" hidden="false" customHeight="false" outlineLevel="0" collapsed="false"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  <c r="AA991" s="127"/>
      <c r="AB991" s="127"/>
      <c r="AC991" s="127"/>
      <c r="AD991" s="127"/>
    </row>
    <row r="992" customFormat="false" ht="15.75" hidden="false" customHeight="false" outlineLevel="0" collapsed="false"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  <c r="AA992" s="127"/>
      <c r="AB992" s="127"/>
      <c r="AC992" s="127"/>
      <c r="AD992" s="127"/>
    </row>
    <row r="993" customFormat="false" ht="15.75" hidden="false" customHeight="false" outlineLevel="0" collapsed="false"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  <c r="AA993" s="127"/>
      <c r="AB993" s="127"/>
      <c r="AC993" s="127"/>
      <c r="AD993" s="127"/>
    </row>
    <row r="994" customFormat="false" ht="15.75" hidden="false" customHeight="false" outlineLevel="0" collapsed="false"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  <c r="AA994" s="127"/>
      <c r="AB994" s="127"/>
      <c r="AC994" s="127"/>
      <c r="AD994" s="127"/>
    </row>
    <row r="995" customFormat="false" ht="15.75" hidden="false" customHeight="false" outlineLevel="0" collapsed="false"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  <c r="AA995" s="127"/>
      <c r="AB995" s="127"/>
      <c r="AC995" s="127"/>
      <c r="AD995" s="127"/>
    </row>
    <row r="996" customFormat="false" ht="15.75" hidden="false" customHeight="false" outlineLevel="0" collapsed="false"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  <c r="AA996" s="127"/>
      <c r="AB996" s="127"/>
      <c r="AC996" s="127"/>
      <c r="AD996" s="127"/>
    </row>
    <row r="997" customFormat="false" ht="15.75" hidden="false" customHeight="false" outlineLevel="0" collapsed="false"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  <c r="AA997" s="127"/>
      <c r="AB997" s="127"/>
      <c r="AC997" s="127"/>
      <c r="AD997" s="127"/>
    </row>
    <row r="998" customFormat="false" ht="15.75" hidden="false" customHeight="false" outlineLevel="0" collapsed="false"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  <c r="AA998" s="127"/>
      <c r="AB998" s="127"/>
      <c r="AC998" s="127"/>
      <c r="AD998" s="127"/>
    </row>
    <row r="999" customFormat="false" ht="15.75" hidden="false" customHeight="false" outlineLevel="0" collapsed="false"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  <c r="AA999" s="127"/>
      <c r="AB999" s="127"/>
      <c r="AC999" s="127"/>
      <c r="AD999" s="127"/>
    </row>
    <row r="1000" customFormat="false" ht="15.75" hidden="false" customHeight="false" outlineLevel="0" collapsed="false"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  <c r="AA1000" s="127"/>
      <c r="AB1000" s="127"/>
      <c r="AC1000" s="127"/>
      <c r="AD1000" s="127"/>
    </row>
    <row r="1001" customFormat="false" ht="15.75" hidden="false" customHeight="false" outlineLevel="0" collapsed="false">
      <c r="P1001" s="127"/>
      <c r="Q1001" s="127"/>
      <c r="R1001" s="127"/>
      <c r="S1001" s="127"/>
      <c r="T1001" s="127"/>
      <c r="U1001" s="127"/>
      <c r="V1001" s="127"/>
      <c r="W1001" s="127"/>
      <c r="X1001" s="127"/>
      <c r="Y1001" s="127"/>
      <c r="Z1001" s="127"/>
      <c r="AA1001" s="127"/>
      <c r="AB1001" s="127"/>
      <c r="AC1001" s="127"/>
      <c r="AD1001" s="127"/>
    </row>
    <row r="1002" customFormat="false" ht="15.75" hidden="false" customHeight="false" outlineLevel="0" collapsed="false">
      <c r="P1002" s="127"/>
      <c r="Q1002" s="127"/>
      <c r="R1002" s="127"/>
      <c r="S1002" s="127"/>
      <c r="T1002" s="127"/>
      <c r="U1002" s="127"/>
      <c r="V1002" s="127"/>
      <c r="W1002" s="127"/>
      <c r="X1002" s="127"/>
      <c r="Y1002" s="127"/>
      <c r="Z1002" s="127"/>
      <c r="AA1002" s="127"/>
      <c r="AB1002" s="127"/>
      <c r="AC1002" s="127"/>
      <c r="AD1002" s="127"/>
    </row>
  </sheetData>
  <mergeCells count="18">
    <mergeCell ref="J1:K2"/>
    <mergeCell ref="B2:D2"/>
    <mergeCell ref="F2:H2"/>
    <mergeCell ref="J18:L20"/>
    <mergeCell ref="J22:L23"/>
    <mergeCell ref="J32:L33"/>
    <mergeCell ref="J46:L47"/>
    <mergeCell ref="J60:L61"/>
    <mergeCell ref="J74:L75"/>
    <mergeCell ref="J88:L89"/>
    <mergeCell ref="J102:L103"/>
    <mergeCell ref="J116:L117"/>
    <mergeCell ref="J130:L131"/>
    <mergeCell ref="J144:L145"/>
    <mergeCell ref="J158:L159"/>
    <mergeCell ref="J172:L173"/>
    <mergeCell ref="J186:L187"/>
    <mergeCell ref="J200:L20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2023-02-18T12:14:45Z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