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65" tabRatio="932"/>
  </bookViews>
  <sheets>
    <sheet name="险种" sheetId="3" r:id="rId1"/>
    <sheet name="保单" sheetId="8" r:id="rId2"/>
    <sheet name="营服" sheetId="5" r:id="rId3"/>
    <sheet name="营业部" sheetId="6" r:id="rId4"/>
    <sheet name="营业组" sheetId="7" r:id="rId5"/>
    <sheet name="代理人" sheetId="2" r:id="rId6"/>
    <sheet name="认购返还案" sheetId="4" r:id="rId7"/>
    <sheet name="方案加佣" sheetId="12" r:id="rId8"/>
    <sheet name="龙虾节方案" sheetId="15" r:id="rId9"/>
    <sheet name="件件有礼" sheetId="16" r:id="rId10"/>
    <sheet name="好习惯" sheetId="11" r:id="rId11"/>
    <sheet name="透视" sheetId="17" r:id="rId12"/>
    <sheet name="网址" sheetId="1" r:id="rId13"/>
    <sheet name="Sheet2" sheetId="18" r:id="rId14"/>
    <sheet name="Sheet3" sheetId="19" r:id="rId15"/>
  </sheets>
  <definedNames>
    <definedName name="_xlnm._FilterDatabase" localSheetId="0" hidden="1">险种!$A$1:$AA$502</definedName>
    <definedName name="_xlnm._FilterDatabase" localSheetId="1" hidden="1">保单!$A$1:$BE$109</definedName>
    <definedName name="_xlnm._FilterDatabase" localSheetId="5" hidden="1">代理人!$A$1:$AP$307</definedName>
    <definedName name="_xlnm._FilterDatabase" localSheetId="6" hidden="1">认购返还案!$A$2:$K$72</definedName>
    <definedName name="_xlnm._FilterDatabase" localSheetId="7" hidden="1">方案加佣!$A$2:$J$311</definedName>
    <definedName name="_xlnm._FilterDatabase" localSheetId="8" hidden="1">龙虾节方案!$A$2:$G$311</definedName>
    <definedName name="_xlnm._FilterDatabase" localSheetId="9" hidden="1">件件有礼!$A$2:$F$72</definedName>
    <definedName name="_xlnm._FilterDatabase" localSheetId="4" hidden="1">营业组!$A$2:$P$22</definedName>
    <definedName name="_xlnm._FilterDatabase" localSheetId="13" hidden="1">Sheet2!$A$1:$H$68</definedName>
  </definedNames>
  <calcPr calcId="144525"/>
  <pivotCaches>
    <pivotCache cacheId="0" r:id="rId16"/>
  </pivotCaches>
</workbook>
</file>

<file path=xl/sharedStrings.xml><?xml version="1.0" encoding="utf-8"?>
<sst xmlns="http://schemas.openxmlformats.org/spreadsheetml/2006/main" count="8642" uniqueCount="590">
  <si>
    <t>四级机构名称</t>
  </si>
  <si>
    <t>部名称</t>
  </si>
  <si>
    <t>组名称</t>
  </si>
  <si>
    <t>业务员姓名</t>
  </si>
  <si>
    <t>业务员代码</t>
  </si>
  <si>
    <t>投保单号</t>
  </si>
  <si>
    <t>实际险种ID</t>
  </si>
  <si>
    <t>险种名称</t>
  </si>
  <si>
    <t>是否自保件</t>
  </si>
  <si>
    <t>预收时间</t>
  </si>
  <si>
    <t>承保时间</t>
  </si>
  <si>
    <t>保单状态</t>
  </si>
  <si>
    <t>交费期</t>
  </si>
  <si>
    <t>险种状态</t>
  </si>
  <si>
    <t>预收FYC</t>
  </si>
  <si>
    <t>预收保额</t>
  </si>
  <si>
    <t>预收价值/NBV</t>
  </si>
  <si>
    <t>预收期交保费</t>
  </si>
  <si>
    <t>预收规模保费</t>
  </si>
  <si>
    <t>转账时间</t>
  </si>
  <si>
    <t>保单责任状态</t>
  </si>
  <si>
    <t>时间</t>
  </si>
  <si>
    <t>是否3000P</t>
  </si>
  <si>
    <t>福禄20保单号</t>
  </si>
  <si>
    <t>首周3000P</t>
  </si>
  <si>
    <t>10-20号3000P</t>
  </si>
  <si>
    <t>龙虾节名额</t>
  </si>
  <si>
    <t>凤台</t>
  </si>
  <si>
    <t>陈桂美部</t>
  </si>
  <si>
    <t>陈桂美部陈桂美组</t>
  </si>
  <si>
    <t>陈桂美</t>
  </si>
  <si>
    <t>福禄20两全</t>
  </si>
  <si>
    <t>否</t>
  </si>
  <si>
    <t>已录入，待复核确认</t>
  </si>
  <si>
    <t>待核保</t>
  </si>
  <si>
    <t>爱安心</t>
  </si>
  <si>
    <t>医安心</t>
  </si>
  <si>
    <t>和谐部</t>
  </si>
  <si>
    <t>胡本阁组</t>
  </si>
  <si>
    <t>胡本阁</t>
  </si>
  <si>
    <t>真爱健康2021</t>
  </si>
  <si>
    <t>首期待承保</t>
  </si>
  <si>
    <t>淮南本部</t>
  </si>
  <si>
    <t>飞越部</t>
  </si>
  <si>
    <t>飞越部陈宏霞组</t>
  </si>
  <si>
    <t>陈宏霞</t>
  </si>
  <si>
    <t>药无忧2021医疗</t>
  </si>
  <si>
    <t>福禄欣禧</t>
  </si>
  <si>
    <t>谢家集</t>
  </si>
  <si>
    <t>志信部</t>
  </si>
  <si>
    <t>叶琳组</t>
  </si>
  <si>
    <t>张彩云</t>
  </si>
  <si>
    <t>飞龙部</t>
  </si>
  <si>
    <t>圣绍锦组</t>
  </si>
  <si>
    <t>康菊</t>
  </si>
  <si>
    <t>保单进入正常有效状态</t>
  </si>
  <si>
    <t>承保生效</t>
  </si>
  <si>
    <t>有效</t>
  </si>
  <si>
    <t>飞翔部</t>
  </si>
  <si>
    <t>刘康丽组</t>
  </si>
  <si>
    <t>刘康丽</t>
  </si>
  <si>
    <t>超e保2021</t>
  </si>
  <si>
    <t>程文侠部</t>
  </si>
  <si>
    <t>程文侠部王沁组</t>
  </si>
  <si>
    <t>程楠</t>
  </si>
  <si>
    <t>鑫如意</t>
  </si>
  <si>
    <t>东风部</t>
  </si>
  <si>
    <t>东风部杨书珍组</t>
  </si>
  <si>
    <t>杨书珍</t>
  </si>
  <si>
    <t>福禄顺禧</t>
  </si>
  <si>
    <t>飞越部方林组</t>
  </si>
  <si>
    <t>方林</t>
  </si>
  <si>
    <t>程文侠部宋业凤组</t>
  </si>
  <si>
    <t>程梅</t>
  </si>
  <si>
    <t>董慧慧</t>
  </si>
  <si>
    <t>飞越部吴苑组</t>
  </si>
  <si>
    <t>吴苑</t>
  </si>
  <si>
    <t>飞越部刘继英组</t>
  </si>
  <si>
    <t>宗林</t>
  </si>
  <si>
    <t>柏祖林</t>
  </si>
  <si>
    <t>承保前撤件</t>
  </si>
  <si>
    <t>撤件</t>
  </si>
  <si>
    <t>志信部陆彬组</t>
  </si>
  <si>
    <t>刘锐</t>
  </si>
  <si>
    <t>爱相伴意外医疗</t>
  </si>
  <si>
    <t>爱相伴意外住院津贴</t>
  </si>
  <si>
    <t>程文侠部程文侠组</t>
  </si>
  <si>
    <t>程文侠</t>
  </si>
  <si>
    <t>医无忧2021</t>
  </si>
  <si>
    <t>王来艳</t>
  </si>
  <si>
    <t>樊琦</t>
  </si>
  <si>
    <t>杨琴</t>
  </si>
  <si>
    <t>程文侠部童会组</t>
  </si>
  <si>
    <t>王毅铭</t>
  </si>
  <si>
    <t>超越部</t>
  </si>
  <si>
    <t>蒋忠茹组</t>
  </si>
  <si>
    <t>缪玉玲</t>
  </si>
  <si>
    <t>王来如</t>
  </si>
  <si>
    <t>志信部杨娟组</t>
  </si>
  <si>
    <t>王新雯</t>
  </si>
  <si>
    <t>佳慧部</t>
  </si>
  <si>
    <t>左颖组</t>
  </si>
  <si>
    <t>李玲</t>
  </si>
  <si>
    <t>是</t>
  </si>
  <si>
    <t>杨娟</t>
  </si>
  <si>
    <t>富贵尊账户</t>
  </si>
  <si>
    <t>郑皓月</t>
  </si>
  <si>
    <t>张文粉</t>
  </si>
  <si>
    <t>程文侠部何静组</t>
  </si>
  <si>
    <t>张秀丽</t>
  </si>
  <si>
    <t>和谐部花志勇组</t>
  </si>
  <si>
    <t>花志勇</t>
  </si>
  <si>
    <t>区域</t>
  </si>
  <si>
    <t>分公司ID</t>
  </si>
  <si>
    <t>分公司</t>
  </si>
  <si>
    <t>中支ID</t>
  </si>
  <si>
    <t>中支名称</t>
  </si>
  <si>
    <t>四级机构ID</t>
  </si>
  <si>
    <t>营服ID</t>
  </si>
  <si>
    <t>营服名称</t>
  </si>
  <si>
    <t>区ID</t>
  </si>
  <si>
    <t>区名称</t>
  </si>
  <si>
    <t>部ID</t>
  </si>
  <si>
    <t>组ID</t>
  </si>
  <si>
    <t>业务员ID</t>
  </si>
  <si>
    <t>业务员职级ID</t>
  </si>
  <si>
    <t>业务员职级名称</t>
  </si>
  <si>
    <t>代理人出生日期</t>
  </si>
  <si>
    <t>性别</t>
  </si>
  <si>
    <t>入司日期</t>
  </si>
  <si>
    <t>离司日期</t>
  </si>
  <si>
    <t>试用开始时间</t>
  </si>
  <si>
    <t>人员渠道</t>
  </si>
  <si>
    <t>学历ID</t>
  </si>
  <si>
    <t>学历</t>
  </si>
  <si>
    <t>人员状态</t>
  </si>
  <si>
    <t>保单号</t>
  </si>
  <si>
    <t>第一主险</t>
  </si>
  <si>
    <t>第一主险名称</t>
  </si>
  <si>
    <t>主险缴费期</t>
  </si>
  <si>
    <t>出单方式</t>
  </si>
  <si>
    <t>投保人ID</t>
  </si>
  <si>
    <t>投保人CIF号</t>
  </si>
  <si>
    <t>被保人ID</t>
  </si>
  <si>
    <t>被保人CIF号</t>
  </si>
  <si>
    <t>投保人出生日期</t>
  </si>
  <si>
    <t>第一被保人出生日期</t>
  </si>
  <si>
    <t>投保人性别</t>
  </si>
  <si>
    <t>第一被保人性别</t>
  </si>
  <si>
    <t>转账日期</t>
  </si>
  <si>
    <t>保单当前状态</t>
  </si>
  <si>
    <t>保单终止原因</t>
  </si>
  <si>
    <t>3000价值</t>
  </si>
  <si>
    <t>机构领先北区</t>
  </si>
  <si>
    <t>安徽</t>
  </si>
  <si>
    <t>安徽淮南</t>
  </si>
  <si>
    <t>淮南</t>
  </si>
  <si>
    <t>淮南二区</t>
  </si>
  <si>
    <t>试用业务员</t>
  </si>
  <si>
    <t>女</t>
  </si>
  <si>
    <t>传统个险</t>
  </si>
  <si>
    <t>高中</t>
  </si>
  <si>
    <t>在职</t>
  </si>
  <si>
    <t>立保通</t>
  </si>
  <si>
    <t>男</t>
  </si>
  <si>
    <t>业务经理一级</t>
  </si>
  <si>
    <t>业务主任</t>
  </si>
  <si>
    <t>高级经理一级</t>
  </si>
  <si>
    <t>正式业务员</t>
  </si>
  <si>
    <t>淮南一区</t>
  </si>
  <si>
    <t>大专</t>
  </si>
  <si>
    <t>中专</t>
  </si>
  <si>
    <t>潘集区</t>
  </si>
  <si>
    <t>太平保宝</t>
  </si>
  <si>
    <t>降级试用业务代表</t>
  </si>
  <si>
    <t>本科</t>
  </si>
  <si>
    <t>5月营服数据追踪表</t>
  </si>
  <si>
    <t>营服</t>
  </si>
  <si>
    <t>月初人力</t>
  </si>
  <si>
    <t>现有人力</t>
  </si>
  <si>
    <t>预收实动人力</t>
  </si>
  <si>
    <t>预收实动率</t>
  </si>
  <si>
    <t>目标价值</t>
  </si>
  <si>
    <t>预收价值</t>
  </si>
  <si>
    <t>预收达成率</t>
  </si>
  <si>
    <t>承保价值</t>
  </si>
  <si>
    <t>承保达成率</t>
  </si>
  <si>
    <t>10号阶段
目标价值</t>
  </si>
  <si>
    <t>阶段预收价值</t>
  </si>
  <si>
    <t>阶段预收达成率</t>
  </si>
  <si>
    <t>阶段承保价值</t>
  </si>
  <si>
    <t>阶段承保达成率</t>
  </si>
  <si>
    <t>中支</t>
  </si>
  <si>
    <t>2021年5月10日15:32:13</t>
  </si>
  <si>
    <t>营服一阶段日平台追踪表</t>
  </si>
  <si>
    <t>7-10号
阶段目标</t>
  </si>
  <si>
    <t>阶段预收</t>
  </si>
  <si>
    <t>阶段达成率</t>
  </si>
  <si>
    <t>7-9号日目标</t>
  </si>
  <si>
    <t>7号预收</t>
  </si>
  <si>
    <t>7日达成率</t>
  </si>
  <si>
    <t>8号预收</t>
  </si>
  <si>
    <t>8日达成率</t>
  </si>
  <si>
    <t>9号预收</t>
  </si>
  <si>
    <t>9日达成率</t>
  </si>
  <si>
    <t>10日目标</t>
  </si>
  <si>
    <t>10号预收</t>
  </si>
  <si>
    <t>10日达成率</t>
  </si>
  <si>
    <t>营业部报表</t>
  </si>
  <si>
    <t>营业部</t>
  </si>
  <si>
    <t>10号阶段目标价值</t>
  </si>
  <si>
    <t>本人预收</t>
  </si>
  <si>
    <t>本人承保</t>
  </si>
  <si>
    <t>本部</t>
  </si>
  <si>
    <t>城区</t>
  </si>
  <si>
    <t>营业组报表</t>
  </si>
  <si>
    <t>王沁</t>
  </si>
  <si>
    <t>叶琳</t>
  </si>
  <si>
    <t>宋业凤</t>
  </si>
  <si>
    <t>陆彬</t>
  </si>
  <si>
    <t>刘继英</t>
  </si>
  <si>
    <t>左颖</t>
  </si>
  <si>
    <t>童会</t>
  </si>
  <si>
    <t>何静</t>
  </si>
  <si>
    <t>陈桂美部陈娟组</t>
  </si>
  <si>
    <t>陈娟</t>
  </si>
  <si>
    <t>和谐部李开梅组</t>
  </si>
  <si>
    <t>李开梅</t>
  </si>
  <si>
    <t>程文侠部录爱丽组</t>
  </si>
  <si>
    <t>录爱丽</t>
  </si>
  <si>
    <t>职级简称</t>
  </si>
  <si>
    <t>全月预收规保</t>
  </si>
  <si>
    <t>全月承保规保</t>
  </si>
  <si>
    <t>全月预收价值</t>
  </si>
  <si>
    <t>全月预收英雄榜</t>
  </si>
  <si>
    <t>全月承保价值</t>
  </si>
  <si>
    <t>全月承保英雄榜</t>
  </si>
  <si>
    <t>3000P件数</t>
  </si>
  <si>
    <t>是否实动</t>
  </si>
  <si>
    <t>当日英雄榜</t>
  </si>
  <si>
    <t>排名简述</t>
  </si>
  <si>
    <t>5.1-5.6预收</t>
  </si>
  <si>
    <t>5.1-5.6承保</t>
  </si>
  <si>
    <t>5.1-5.10预收</t>
  </si>
  <si>
    <t>5.1-5.10承保</t>
  </si>
  <si>
    <t>5.1-5.10未承保</t>
  </si>
  <si>
    <t>首周预收3000P件数</t>
  </si>
  <si>
    <t>预收拟加佣</t>
  </si>
  <si>
    <t>首周加佣方案追踪简述</t>
  </si>
  <si>
    <t>10-20号3000P件数</t>
  </si>
  <si>
    <t>龙虾节预收名额</t>
  </si>
  <si>
    <t>龙虾节承保名额</t>
  </si>
  <si>
    <t>龙虾节方案追踪简述</t>
  </si>
  <si>
    <t>冲锋队缴费金额</t>
  </si>
  <si>
    <t>预收拟返还</t>
  </si>
  <si>
    <t>承保拟返还</t>
  </si>
  <si>
    <t>返还方案追踪简述</t>
  </si>
  <si>
    <t>冲锋队按摩仪</t>
  </si>
  <si>
    <t>承保获得按摩仪</t>
  </si>
  <si>
    <t>按摩仪方案简述</t>
  </si>
  <si>
    <t>吴在芝</t>
  </si>
  <si>
    <t>储丽娜</t>
  </si>
  <si>
    <t>张少琴</t>
  </si>
  <si>
    <t>马保</t>
  </si>
  <si>
    <t>任永生</t>
  </si>
  <si>
    <t>李廷廷</t>
  </si>
  <si>
    <t>谢丽</t>
  </si>
  <si>
    <t>王思齐</t>
  </si>
  <si>
    <t>钮芳</t>
  </si>
  <si>
    <t>杨海山</t>
  </si>
  <si>
    <t>庄山菊</t>
  </si>
  <si>
    <t>陈利媛</t>
  </si>
  <si>
    <t>蔡瑞群</t>
  </si>
  <si>
    <t>张洪娟</t>
  </si>
  <si>
    <t>徐贺</t>
  </si>
  <si>
    <t>单红侠</t>
  </si>
  <si>
    <t>丁静</t>
  </si>
  <si>
    <t>王芸芸</t>
  </si>
  <si>
    <t>陈连梅</t>
  </si>
  <si>
    <t>缪国龙</t>
  </si>
  <si>
    <t>王平</t>
  </si>
  <si>
    <t>王花花</t>
  </si>
  <si>
    <t>杨晶晶</t>
  </si>
  <si>
    <t>郁银芳</t>
  </si>
  <si>
    <t>陈雯雯</t>
  </si>
  <si>
    <t>褚恋恋</t>
  </si>
  <si>
    <t>刘艳</t>
  </si>
  <si>
    <t>张君志</t>
  </si>
  <si>
    <t>王梅芝</t>
  </si>
  <si>
    <t>王朋</t>
  </si>
  <si>
    <t>李芳芳</t>
  </si>
  <si>
    <t>程娇娇</t>
  </si>
  <si>
    <t>陈晓艳</t>
  </si>
  <si>
    <t>陶松梅</t>
  </si>
  <si>
    <t>凤翔部</t>
  </si>
  <si>
    <t>张保敬组</t>
  </si>
  <si>
    <t>刘杰</t>
  </si>
  <si>
    <t>黄玲</t>
  </si>
  <si>
    <t>姚守四</t>
  </si>
  <si>
    <t>杨积莹</t>
  </si>
  <si>
    <t>程单单</t>
  </si>
  <si>
    <t>夏海力</t>
  </si>
  <si>
    <t>胡美华</t>
  </si>
  <si>
    <t>姚昌梅</t>
  </si>
  <si>
    <t>沈金悦</t>
  </si>
  <si>
    <t>丁杰</t>
  </si>
  <si>
    <t>李洋</t>
  </si>
  <si>
    <t>王静</t>
  </si>
  <si>
    <t>陈家甫</t>
  </si>
  <si>
    <t>李悦</t>
  </si>
  <si>
    <t>李玲俐</t>
  </si>
  <si>
    <t>胡文卿</t>
  </si>
  <si>
    <t>段艳勤</t>
  </si>
  <si>
    <t>程晋远</t>
  </si>
  <si>
    <t>陈莎莎</t>
  </si>
  <si>
    <t>孙艳霞</t>
  </si>
  <si>
    <t>徐基云</t>
  </si>
  <si>
    <t>张辉</t>
  </si>
  <si>
    <t>李敬腾</t>
  </si>
  <si>
    <t>刘金金</t>
  </si>
  <si>
    <t>段传颖</t>
  </si>
  <si>
    <t>胡奇珍</t>
  </si>
  <si>
    <t>徐梅</t>
  </si>
  <si>
    <t>吴妮妮</t>
  </si>
  <si>
    <t>信萍</t>
  </si>
  <si>
    <t>刘鹤</t>
  </si>
  <si>
    <t>侯素良</t>
  </si>
  <si>
    <t>魏娟</t>
  </si>
  <si>
    <t>郑悦</t>
  </si>
  <si>
    <t>程路路</t>
  </si>
  <si>
    <t>刘金萍</t>
  </si>
  <si>
    <t>徐杏</t>
  </si>
  <si>
    <t>张兴珍</t>
  </si>
  <si>
    <t>夏继梅</t>
  </si>
  <si>
    <t>褚孝妹</t>
  </si>
  <si>
    <t>魏茂盛</t>
  </si>
  <si>
    <t>高秀梅</t>
  </si>
  <si>
    <t>万其红</t>
  </si>
  <si>
    <t>杨洋</t>
  </si>
  <si>
    <t>曹素光</t>
  </si>
  <si>
    <t>谷玲</t>
  </si>
  <si>
    <t>米莲</t>
  </si>
  <si>
    <t>胡程程</t>
  </si>
  <si>
    <t>东风部尹桂玉组</t>
  </si>
  <si>
    <t>刘卫国</t>
  </si>
  <si>
    <t>周蓓</t>
  </si>
  <si>
    <t>王秀芹</t>
  </si>
  <si>
    <t>彭丽杰</t>
  </si>
  <si>
    <t>陈尚</t>
  </si>
  <si>
    <t>陈斌</t>
  </si>
  <si>
    <t>叶艳</t>
  </si>
  <si>
    <t>王宏</t>
  </si>
  <si>
    <t>高岑</t>
  </si>
  <si>
    <t>刘庆楠</t>
  </si>
  <si>
    <t>高菊秋</t>
  </si>
  <si>
    <t>吕荣刚</t>
  </si>
  <si>
    <t>陈利娜</t>
  </si>
  <si>
    <t>冯春莲</t>
  </si>
  <si>
    <t>潘明月</t>
  </si>
  <si>
    <t>谢齐安</t>
  </si>
  <si>
    <t>范春霞</t>
  </si>
  <si>
    <t>陶莎</t>
  </si>
  <si>
    <t>刘翠</t>
  </si>
  <si>
    <t>陈苗苗</t>
  </si>
  <si>
    <t>石秀凤</t>
  </si>
  <si>
    <t>叶文兰</t>
  </si>
  <si>
    <t>陈利萍</t>
  </si>
  <si>
    <t>陈艳</t>
  </si>
  <si>
    <t>孙艳</t>
  </si>
  <si>
    <t>高文龙</t>
  </si>
  <si>
    <t>王芝斌</t>
  </si>
  <si>
    <t>夏大鹏</t>
  </si>
  <si>
    <t>祁玉苗</t>
  </si>
  <si>
    <t>胡成梅</t>
  </si>
  <si>
    <t>李萍</t>
  </si>
  <si>
    <t>段军平</t>
  </si>
  <si>
    <t>曹建航</t>
  </si>
  <si>
    <t>王克侠</t>
  </si>
  <si>
    <t>李芹</t>
  </si>
  <si>
    <t>钟秀丽</t>
  </si>
  <si>
    <t>张萍</t>
  </si>
  <si>
    <t>荣树红</t>
  </si>
  <si>
    <t>宋德永</t>
  </si>
  <si>
    <t>宋芳丽</t>
  </si>
  <si>
    <t>焦玉荣</t>
  </si>
  <si>
    <t>刘盼盼</t>
  </si>
  <si>
    <t>张玲</t>
  </si>
  <si>
    <t>吴怀兰</t>
  </si>
  <si>
    <t>汪嘉维</t>
  </si>
  <si>
    <t>宫丽曼</t>
  </si>
  <si>
    <t>王凤</t>
  </si>
  <si>
    <t>谢雨晨</t>
  </si>
  <si>
    <t>袁萍萍</t>
  </si>
  <si>
    <t>聂慧慧</t>
  </si>
  <si>
    <t>周元元</t>
  </si>
  <si>
    <t>高媛</t>
  </si>
  <si>
    <t>王雪</t>
  </si>
  <si>
    <t>孙漫</t>
  </si>
  <si>
    <t>黄月媛</t>
  </si>
  <si>
    <t>程业云</t>
  </si>
  <si>
    <t>倪小平</t>
  </si>
  <si>
    <t>樊荣</t>
  </si>
  <si>
    <t>赵肖</t>
  </si>
  <si>
    <t>刘红梅</t>
  </si>
  <si>
    <t>陈静</t>
  </si>
  <si>
    <t>王小燕</t>
  </si>
  <si>
    <t>刘春艳</t>
  </si>
  <si>
    <t>王洁</t>
  </si>
  <si>
    <t>王宛宛</t>
  </si>
  <si>
    <t>魏春生</t>
  </si>
  <si>
    <t>梁栋</t>
  </si>
  <si>
    <t>荣向芹</t>
  </si>
  <si>
    <t>孙传宏</t>
  </si>
  <si>
    <t>陈凯</t>
  </si>
  <si>
    <t>金家好</t>
  </si>
  <si>
    <t>吴程程</t>
  </si>
  <si>
    <t>管国群</t>
  </si>
  <si>
    <t>吴煜</t>
  </si>
  <si>
    <t>常宏利</t>
  </si>
  <si>
    <t>徐婉婉</t>
  </si>
  <si>
    <t>方若瑜</t>
  </si>
  <si>
    <t>李梅</t>
  </si>
  <si>
    <t>杨之义</t>
  </si>
  <si>
    <t>郑兆喜</t>
  </si>
  <si>
    <t>李范勤</t>
  </si>
  <si>
    <t>方杰</t>
  </si>
  <si>
    <t>吴家美</t>
  </si>
  <si>
    <t>王秀美</t>
  </si>
  <si>
    <t>陈榕华</t>
  </si>
  <si>
    <t>叶永艳</t>
  </si>
  <si>
    <t>李连秀</t>
  </si>
  <si>
    <t>陈佳敏</t>
  </si>
  <si>
    <t>张玉霞</t>
  </si>
  <si>
    <t>裴华</t>
  </si>
  <si>
    <t>马强</t>
  </si>
  <si>
    <t>胡莺莺</t>
  </si>
  <si>
    <t>芦鸿文</t>
  </si>
  <si>
    <t>缪龙宇</t>
  </si>
  <si>
    <t>范晓丽</t>
  </si>
  <si>
    <t>张丽</t>
  </si>
  <si>
    <t>陈桂侠</t>
  </si>
  <si>
    <t>万德清</t>
  </si>
  <si>
    <t>王利利</t>
  </si>
  <si>
    <t>倪荣跃</t>
  </si>
  <si>
    <t>刘祥</t>
  </si>
  <si>
    <t>刘洁君</t>
  </si>
  <si>
    <t>蔡影</t>
  </si>
  <si>
    <t>陆梅</t>
  </si>
  <si>
    <t>李青青</t>
  </si>
  <si>
    <t>聂晓梅</t>
  </si>
  <si>
    <t>王宗波</t>
  </si>
  <si>
    <t>梁可敏</t>
  </si>
  <si>
    <t>仲静静</t>
  </si>
  <si>
    <t>缪侠</t>
  </si>
  <si>
    <t>蒋中云</t>
  </si>
  <si>
    <t>童明明</t>
  </si>
  <si>
    <t>潘集</t>
  </si>
  <si>
    <t>直辖二部</t>
  </si>
  <si>
    <t>直辖二部杨旭组</t>
  </si>
  <si>
    <t>朱磊磊</t>
  </si>
  <si>
    <t>杨军</t>
  </si>
  <si>
    <t>李晓珍</t>
  </si>
  <si>
    <t>孙敏</t>
  </si>
  <si>
    <t>吴迎雪</t>
  </si>
  <si>
    <t>方国兵</t>
  </si>
  <si>
    <t>施燕群</t>
  </si>
  <si>
    <t>苏磊</t>
  </si>
  <si>
    <t>张磊</t>
  </si>
  <si>
    <t>孙雪萍</t>
  </si>
  <si>
    <t>李晓寒</t>
  </si>
  <si>
    <t>付双勤</t>
  </si>
  <si>
    <t>王旭旭</t>
  </si>
  <si>
    <t>胡婷</t>
  </si>
  <si>
    <t>石秀钰</t>
  </si>
  <si>
    <t>梁仁芳</t>
  </si>
  <si>
    <t>周淮霞</t>
  </si>
  <si>
    <t>董利</t>
  </si>
  <si>
    <t>周家萍</t>
  </si>
  <si>
    <t>顾正莉</t>
  </si>
  <si>
    <t>胡孝萍</t>
  </si>
  <si>
    <t>曹化利</t>
  </si>
  <si>
    <t>代伟伟</t>
  </si>
  <si>
    <t>李克勤</t>
  </si>
  <si>
    <t>刘庆书</t>
  </si>
  <si>
    <t>王蓓凤</t>
  </si>
  <si>
    <t>孙雅莉</t>
  </si>
  <si>
    <t>刘庆涛</t>
  </si>
  <si>
    <t>刘松</t>
  </si>
  <si>
    <t>韩彦霞</t>
  </si>
  <si>
    <t>刘东</t>
  </si>
  <si>
    <t>陈军</t>
  </si>
  <si>
    <t>刘耀强</t>
  </si>
  <si>
    <t>叶永茂</t>
  </si>
  <si>
    <t>沈宏荣</t>
  </si>
  <si>
    <t>程永华</t>
  </si>
  <si>
    <t>叶燕燕</t>
  </si>
  <si>
    <t>梁燕群</t>
  </si>
  <si>
    <t>叶龙</t>
  </si>
  <si>
    <t>柏楠</t>
  </si>
  <si>
    <t>况红梅</t>
  </si>
  <si>
    <t>唐晓燕</t>
  </si>
  <si>
    <t>宗友杰</t>
  </si>
  <si>
    <t>宋玉华</t>
  </si>
  <si>
    <t>常红霞</t>
  </si>
  <si>
    <t>万雪梅</t>
  </si>
  <si>
    <t>陶兰</t>
  </si>
  <si>
    <t>李娜</t>
  </si>
  <si>
    <t>刘振云</t>
  </si>
  <si>
    <t>姚文俊</t>
  </si>
  <si>
    <t>王康玉</t>
  </si>
  <si>
    <t>尹淑玉</t>
  </si>
  <si>
    <t>王娜</t>
  </si>
  <si>
    <t>王道格</t>
  </si>
  <si>
    <t>周游</t>
  </si>
  <si>
    <t>张静</t>
  </si>
  <si>
    <t>万传秀</t>
  </si>
  <si>
    <t>张银银</t>
  </si>
  <si>
    <t>何建军</t>
  </si>
  <si>
    <t>王牌部</t>
  </si>
  <si>
    <t>韦丽丽组</t>
  </si>
  <si>
    <t>邹怀霞</t>
  </si>
  <si>
    <t>许广纺</t>
  </si>
  <si>
    <t>韦丽丽</t>
  </si>
  <si>
    <t>颜世霞</t>
  </si>
  <si>
    <t>杨会玲</t>
  </si>
  <si>
    <t>张林组</t>
  </si>
  <si>
    <t>武保米</t>
  </si>
  <si>
    <t>常萍</t>
  </si>
  <si>
    <t>蔡士兰</t>
  </si>
  <si>
    <t>孙庆梅</t>
  </si>
  <si>
    <t>刘川凤</t>
  </si>
  <si>
    <t>营服认购返还案追踪表</t>
  </si>
  <si>
    <t>部</t>
  </si>
  <si>
    <t>姓名</t>
  </si>
  <si>
    <t>代码</t>
  </si>
  <si>
    <t>金额</t>
  </si>
  <si>
    <t>预收距离100%返还差距</t>
  </si>
  <si>
    <t>承保距离100%返还差距</t>
  </si>
  <si>
    <t>①</t>
  </si>
  <si>
    <t>②</t>
  </si>
  <si>
    <t>③</t>
  </si>
  <si>
    <t>加佣方案追踪表</t>
  </si>
  <si>
    <t>10-20预收3000P件数</t>
  </si>
  <si>
    <t>加佣比例</t>
  </si>
  <si>
    <t>龙虾节方案追踪表</t>
  </si>
  <si>
    <t>件件有礼追踪表</t>
  </si>
  <si>
    <t>预收拟获得按摩仪件数</t>
  </si>
  <si>
    <t>承保拟获得按摩仪件数</t>
  </si>
  <si>
    <t>五级机构名称</t>
  </si>
  <si>
    <t>出勤人力</t>
  </si>
  <si>
    <t>填写人力</t>
  </si>
  <si>
    <t>活动率</t>
  </si>
  <si>
    <t>代理人内网</t>
  </si>
  <si>
    <t>http://10.25.2.2/rptapp/#main?id=8546135924535795498&amp;type=share</t>
  </si>
  <si>
    <t>险种内网</t>
  </si>
  <si>
    <t>http://10.25.2.2/rptapp/#main?id=8097246255290259056&amp;type=share</t>
  </si>
  <si>
    <t>保单内网</t>
  </si>
  <si>
    <t>http://10.25.2.2/rptapp/#main?id=6413829940266250970&amp;type=share</t>
  </si>
  <si>
    <t>代理人外网</t>
  </si>
  <si>
    <t>险种外网</t>
  </si>
  <si>
    <t>保单外网</t>
  </si>
  <si>
    <t>https://show.life.cntaiping.com/rptapp/#main?id=5188324682331546129&amp;type=share</t>
  </si>
  <si>
    <t>目标</t>
  </si>
  <si>
    <t>好习惯</t>
  </si>
  <si>
    <t>达成率</t>
  </si>
  <si>
    <t>入司时间</t>
  </si>
  <si>
    <t>离司时间</t>
  </si>
  <si>
    <t>是否同业引进</t>
  </si>
  <si>
    <t>录入天数</t>
  </si>
  <si>
    <t>录入三访天数</t>
  </si>
  <si>
    <t>拜访计划</t>
  </si>
  <si>
    <t>拜访记录</t>
  </si>
  <si>
    <t>拜访记录-方式</t>
  </si>
  <si>
    <t>拜访记录-目的</t>
  </si>
  <si>
    <t>应被批阅人次</t>
  </si>
  <si>
    <t>已被批阅人次</t>
  </si>
  <si>
    <t>未被批阅人次</t>
  </si>
  <si>
    <t>面访</t>
  </si>
  <si>
    <t>电话</t>
  </si>
  <si>
    <t>微信</t>
  </si>
  <si>
    <t>短信</t>
  </si>
  <si>
    <t>其他（即未录）</t>
  </si>
  <si>
    <t>加温</t>
  </si>
  <si>
    <t>销售</t>
  </si>
  <si>
    <t>服务</t>
  </si>
  <si>
    <t>转介绍</t>
  </si>
  <si>
    <t>增员</t>
  </si>
  <si>
    <t>约访</t>
  </si>
  <si>
    <t>陪访</t>
  </si>
  <si>
    <t>初中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</si>
</sst>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0.0_ "/>
    <numFmt numFmtId="179" formatCode="0.00_);[Red]\(0.00\)"/>
    <numFmt numFmtId="180" formatCode="0.00_ "/>
    <numFmt numFmtId="181" formatCode="0_);[Red]\(0\)"/>
  </numFmts>
  <fonts count="5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u/>
      <sz val="11"/>
      <color theme="1"/>
      <name val="宋体"/>
      <charset val="0"/>
      <scheme val="minor"/>
    </font>
    <font>
      <b/>
      <sz val="24"/>
      <color rgb="FFFF0000"/>
      <name val="微软雅黑"/>
      <charset val="134"/>
    </font>
    <font>
      <b/>
      <sz val="2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26"/>
      <color theme="1"/>
      <name val="微软雅黑"/>
      <charset val="134"/>
    </font>
    <font>
      <b/>
      <sz val="14"/>
      <color theme="0"/>
      <name val="微软雅黑"/>
      <charset val="134"/>
    </font>
    <font>
      <b/>
      <sz val="22"/>
      <color theme="1"/>
      <name val="微软雅黑"/>
      <charset val="134"/>
    </font>
    <font>
      <b/>
      <sz val="20"/>
      <color theme="1"/>
      <name val="微软雅黑"/>
      <charset val="134"/>
    </font>
    <font>
      <b/>
      <sz val="2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b/>
      <sz val="18"/>
      <color theme="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26"/>
      <color theme="1"/>
      <name val="微软雅黑"/>
      <charset val="134"/>
    </font>
    <font>
      <sz val="2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FF00"/>
      <name val="微软雅黑"/>
      <charset val="134"/>
    </font>
    <font>
      <b/>
      <sz val="48"/>
      <color theme="1"/>
      <name val="微软雅黑"/>
      <charset val="134"/>
    </font>
    <font>
      <b/>
      <sz val="18"/>
      <color theme="0"/>
      <name val="微软雅黑"/>
      <charset val="134"/>
    </font>
    <font>
      <b/>
      <sz val="18"/>
      <color rgb="FFFFFF00"/>
      <name val="微软雅黑"/>
      <charset val="134"/>
    </font>
    <font>
      <b/>
      <sz val="18"/>
      <color rgb="FFFF0000"/>
      <name val="微软雅黑"/>
      <charset val="134"/>
    </font>
    <font>
      <b/>
      <sz val="36"/>
      <color theme="1"/>
      <name val="微软雅黑"/>
      <charset val="134"/>
    </font>
    <font>
      <b/>
      <sz val="14"/>
      <color rgb="FFFF0000"/>
      <name val="微软雅黑"/>
      <charset val="134"/>
    </font>
    <font>
      <b/>
      <sz val="14"/>
      <color theme="1"/>
      <name val="微软雅黑"/>
      <charset val="134"/>
    </font>
    <font>
      <sz val="28"/>
      <color theme="1"/>
      <name val="微软雅黑"/>
      <charset val="134"/>
    </font>
    <font>
      <sz val="36"/>
      <color theme="1"/>
      <name val="微软雅黑"/>
      <charset val="134"/>
    </font>
    <font>
      <b/>
      <sz val="16"/>
      <color rgb="FFFFFF00"/>
      <name val="微软雅黑"/>
      <charset val="134"/>
    </font>
    <font>
      <b/>
      <sz val="14"/>
      <color rgb="FFFFFF0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3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1" borderId="19" applyNumberFormat="0" applyFon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6" borderId="15" applyNumberFormat="0" applyAlignment="0" applyProtection="0">
      <alignment vertical="center"/>
    </xf>
    <xf numFmtId="0" fontId="41" fillId="16" borderId="17" applyNumberFormat="0" applyAlignment="0" applyProtection="0">
      <alignment vertical="center"/>
    </xf>
    <xf numFmtId="0" fontId="49" fillId="40" borderId="20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10" applyFont="1">
      <alignment vertical="center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6" fillId="0" borderId="0" xfId="0" applyFont="1">
      <alignment vertical="center"/>
    </xf>
    <xf numFmtId="0" fontId="1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77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177" fontId="21" fillId="2" borderId="1" xfId="0" applyNumberFormat="1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180" fontId="14" fillId="0" borderId="1" xfId="0" applyNumberFormat="1" applyFont="1" applyBorder="1" applyAlignment="1">
      <alignment horizontal="center" vertical="center"/>
    </xf>
    <xf numFmtId="177" fontId="24" fillId="9" borderId="1" xfId="0" applyNumberFormat="1" applyFont="1" applyFill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/>
    </xf>
    <xf numFmtId="177" fontId="14" fillId="1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0" fontId="29" fillId="0" borderId="1" xfId="0" applyNumberFormat="1" applyFont="1" applyBorder="1" applyAlignment="1">
      <alignment horizontal="center" vertical="center"/>
    </xf>
    <xf numFmtId="179" fontId="29" fillId="0" borderId="1" xfId="0" applyNumberFormat="1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0" fontId="29" fillId="4" borderId="1" xfId="0" applyNumberFormat="1" applyFont="1" applyFill="1" applyBorder="1" applyAlignment="1">
      <alignment horizontal="center" vertical="center"/>
    </xf>
    <xf numFmtId="179" fontId="29" fillId="4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177" fontId="16" fillId="12" borderId="1" xfId="0" applyNumberFormat="1" applyFon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77" fontId="16" fillId="13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180" fontId="29" fillId="0" borderId="1" xfId="0" applyNumberFormat="1" applyFont="1" applyBorder="1" applyAlignment="1">
      <alignment horizontal="center" vertical="center"/>
    </xf>
    <xf numFmtId="180" fontId="29" fillId="4" borderId="1" xfId="0" applyNumberFormat="1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177" fontId="34" fillId="11" borderId="1" xfId="0" applyNumberFormat="1" applyFon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181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7"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b val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b val="1"/>
      </font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8" formatCode="0.0_ 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8" formatCode="0.0_ 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6" formatCode="0.0%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7" formatCode="0_ "/>
      <alignment horizontal="center" vertical="center"/>
    </dxf>
    <dxf>
      <font>
        <name val="微软雅黑"/>
        <scheme val="none"/>
        <charset val="134"/>
        <family val="0"/>
        <b val="1"/>
        <i val="0"/>
        <strike val="0"/>
        <u val="none"/>
        <sz val="11"/>
        <color theme="1"/>
      </font>
      <numFmt numFmtId="177" formatCode="0_ "/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alignment horizontal="center"/>
    </dxf>
    <dxf>
      <font>
        <name val="微软雅黑"/>
        <scheme val="none"/>
        <b val="1"/>
      </font>
      <numFmt numFmtId="10" formatCode="0.00%"/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pivotCacheDefinition" Target="pivotCache/pivotCacheDefinition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31</xdr:col>
      <xdr:colOff>295275</xdr:colOff>
      <xdr:row>17</xdr:row>
      <xdr:rowOff>50800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34725" y="0"/>
          <a:ext cx="13325475" cy="7658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358140</xdr:colOff>
      <xdr:row>0</xdr:row>
      <xdr:rowOff>635</xdr:rowOff>
    </xdr:from>
    <xdr:to>
      <xdr:col>32</xdr:col>
      <xdr:colOff>662940</xdr:colOff>
      <xdr:row>37</xdr:row>
      <xdr:rowOff>178435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21615" y="635"/>
          <a:ext cx="13335000" cy="7658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27</xdr:col>
      <xdr:colOff>247650</xdr:colOff>
      <xdr:row>329</xdr:row>
      <xdr:rowOff>155575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05900" y="0"/>
          <a:ext cx="13277850" cy="7486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26</xdr:col>
      <xdr:colOff>323850</xdr:colOff>
      <xdr:row>82</xdr:row>
      <xdr:rowOff>136525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0350" y="0"/>
          <a:ext cx="13354050" cy="746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26.4082291667" refreshedBy="未定义" recordCount="306">
  <cacheSource type="worksheet">
    <worksheetSource ref="A1:AL307" sheet="代理人"/>
  </cacheSource>
  <cacheFields count="36">
    <cacheField name="四级机构名称" numFmtId="0">
      <sharedItems count="4">
        <s v="淮南本部"/>
        <s v="谢家集"/>
        <s v="凤台"/>
        <s v="潘集"/>
      </sharedItems>
    </cacheField>
    <cacheField name="部名称" numFmtId="0">
      <sharedItems count="13">
        <s v="程文侠部"/>
        <s v="飞越部"/>
        <s v="东风部"/>
        <s v="志信部"/>
        <s v="飞翔部"/>
        <s v="飞龙部"/>
        <s v="佳慧部"/>
        <s v="和谐部"/>
        <s v="陈桂美部"/>
        <s v="超越部"/>
        <s v="凤翔部"/>
        <s v="直辖二部"/>
        <s v="王牌部"/>
      </sharedItems>
    </cacheField>
    <cacheField name="组名称" numFmtId="0">
      <sharedItems count="28">
        <s v="程文侠部王沁组"/>
        <s v="飞越部方林组"/>
        <s v="程文侠部宋业凤组"/>
        <s v="东风部杨书珍组"/>
        <s v="叶琳组"/>
        <s v="刘康丽组"/>
        <s v="志信部杨娟组"/>
        <s v="飞越部陈宏霞组"/>
        <s v="程文侠部程文侠组"/>
        <s v="飞越部吴苑组"/>
        <s v="圣绍锦组"/>
        <s v="左颖组"/>
        <s v="程文侠部童会组"/>
        <s v="和谐部花志勇组"/>
        <s v="程文侠部何静组"/>
        <s v="陈桂美部陈桂美组"/>
        <s v="蒋忠茹组"/>
        <s v="飞越部刘继英组"/>
        <s v="和谐部李开梅组"/>
        <s v="张保敬组"/>
        <s v="志信部陆彬组"/>
        <s v="程文侠部录爱丽组"/>
        <s v="东风部尹桂玉组"/>
        <s v="陈桂美部陈娟组"/>
        <s v="胡本阁组"/>
        <s v="直辖二部杨旭组"/>
        <s v="韦丽丽组"/>
        <s v="张林组"/>
      </sharedItems>
    </cacheField>
    <cacheField name="业务员姓名" numFmtId="0">
      <sharedItems count="302">
        <s v="程楠"/>
        <s v="方林"/>
        <s v="程梅"/>
        <s v="杨书珍"/>
        <s v="杨琴"/>
        <s v="刘康丽"/>
        <s v="杨娟"/>
        <s v="陈宏霞"/>
        <s v="王来如"/>
        <s v="程文侠"/>
        <s v="吴苑"/>
        <s v="康菊"/>
        <s v="李玲"/>
        <s v="王毅铭"/>
        <s v="花志勇"/>
        <s v="张秀丽"/>
        <s v="张文粉"/>
        <s v="吴在芝"/>
        <s v="储丽娜"/>
        <s v="张少琴"/>
        <s v="马保"/>
        <s v="任永生"/>
        <s v="李廷廷"/>
        <s v="谢丽"/>
        <s v="王思齐"/>
        <s v="钮芳"/>
        <s v="杨海山"/>
        <s v="庄山菊"/>
        <s v="陈利媛"/>
        <s v="蔡瑞群"/>
        <s v="张洪娟"/>
        <s v="徐贺"/>
        <s v="单红侠"/>
        <s v="丁静"/>
        <s v="王芸芸"/>
        <s v="陈连梅"/>
        <s v="缪国龙"/>
        <s v="王平"/>
        <s v="王花花"/>
        <s v="杨晶晶"/>
        <s v="郁银芳"/>
        <s v="陈雯雯"/>
        <s v="褚恋恋"/>
        <s v="柏祖林"/>
        <s v="刘艳"/>
        <s v="张君志"/>
        <s v="王梅芝"/>
        <s v="王朋"/>
        <s v="李芳芳"/>
        <s v="程娇娇"/>
        <s v="陈晓艳"/>
        <s v="郑皓月"/>
        <s v="陶松梅"/>
        <s v="刘杰"/>
        <s v="黄玲"/>
        <s v="刘锐"/>
        <s v="姚守四"/>
        <s v="杨积莹"/>
        <s v="程单单"/>
        <s v="夏海力"/>
        <s v="胡美华"/>
        <s v="姚昌梅"/>
        <s v="沈金悦"/>
        <s v="丁杰"/>
        <s v="李洋"/>
        <s v="王静"/>
        <s v="陈家甫"/>
        <s v="李悦"/>
        <s v="李玲俐"/>
        <s v="胡文卿"/>
        <s v="段艳勤"/>
        <s v="程晋远"/>
        <s v="陈莎莎"/>
        <s v="孙艳霞"/>
        <s v="徐基云"/>
        <s v="张辉"/>
        <s v="李敬腾"/>
        <s v="刘金金"/>
        <s v="段传颖"/>
        <s v="胡奇珍"/>
        <s v="徐梅"/>
        <s v="吴妮妮"/>
        <s v="信萍"/>
        <s v="刘鹤"/>
        <s v="侯素良"/>
        <s v="魏娟"/>
        <s v="郑悦"/>
        <s v="程路路"/>
        <s v="刘金萍"/>
        <s v="徐杏"/>
        <s v="张兴珍"/>
        <s v="夏继梅"/>
        <s v="褚孝妹"/>
        <s v="魏茂盛"/>
        <s v="高秀梅"/>
        <s v="万其红"/>
        <s v="杨洋"/>
        <s v="曹素光"/>
        <s v="谷玲"/>
        <s v="米莲"/>
        <s v="胡程程"/>
        <s v="刘卫国"/>
        <s v="周蓓"/>
        <s v="王秀芹"/>
        <s v="彭丽杰"/>
        <s v="陈尚"/>
        <s v="陈斌"/>
        <s v="叶艳"/>
        <s v="王宏"/>
        <s v="高岑"/>
        <s v="刘庆楠"/>
        <s v="高菊秋"/>
        <s v="吕荣刚"/>
        <s v="陈利娜"/>
        <s v="冯春莲"/>
        <s v="潘明月"/>
        <s v="谢齐安"/>
        <s v="范春霞"/>
        <s v="陶莎"/>
        <s v="刘翠"/>
        <s v="陈苗苗"/>
        <s v="石秀凤"/>
        <s v="叶文兰"/>
        <s v="陈利萍"/>
        <s v="陈艳"/>
        <s v="孙艳"/>
        <s v="高文龙"/>
        <s v="王芝斌"/>
        <s v="宋业凤"/>
        <s v="夏大鹏"/>
        <s v="祁玉苗"/>
        <s v="胡成梅"/>
        <s v="李萍"/>
        <s v="段军平"/>
        <s v="曹建航"/>
        <s v="王沁"/>
        <s v="王克侠"/>
        <s v="李芹"/>
        <s v="钟秀丽"/>
        <s v="张萍"/>
        <s v="荣树红"/>
        <s v="宋德永"/>
        <s v="宋芳丽"/>
        <s v="焦玉荣"/>
        <s v="刘盼盼"/>
        <s v="张玲"/>
        <s v="吴怀兰"/>
        <s v="汪嘉维"/>
        <s v="宫丽曼"/>
        <s v="王凤"/>
        <s v="谢雨晨"/>
        <s v="袁萍萍"/>
        <s v="聂慧慧"/>
        <s v="周元元"/>
        <s v="高媛"/>
        <s v="王雪"/>
        <s v="孙漫"/>
        <s v="黄月媛"/>
        <s v="程业云"/>
        <s v="倪小平"/>
        <s v="樊荣"/>
        <s v="赵肖"/>
        <s v="刘红梅"/>
        <s v="陈静"/>
        <s v="王小燕"/>
        <s v="刘春艳"/>
        <s v="王洁"/>
        <s v="王宛宛"/>
        <s v="魏春生"/>
        <s v="梁栋"/>
        <s v="荣向芹"/>
        <s v="孙传宏"/>
        <s v="陈凯"/>
        <s v="金家好"/>
        <s v="吴程程"/>
        <s v="管国群"/>
        <s v="吴煜"/>
        <s v="常宏利"/>
        <s v="徐婉婉"/>
        <s v="方若瑜"/>
        <s v="李梅"/>
        <s v="杨之义"/>
        <s v="郑兆喜"/>
        <s v="李范勤"/>
        <s v="方杰"/>
        <s v="吴家美"/>
        <s v="王秀美"/>
        <s v="陈榕华"/>
        <s v="叶永艳"/>
        <s v="李连秀"/>
        <s v="陈佳敏"/>
        <s v="张玉霞"/>
        <s v="裴华"/>
        <s v="马强"/>
        <s v="胡莺莺"/>
        <s v="芦鸿文"/>
        <s v="缪龙宇"/>
        <s v="范晓丽"/>
        <s v="张丽"/>
        <s v="陈桂侠"/>
        <s v="万德清"/>
        <s v="王利利"/>
        <s v="倪荣跃"/>
        <s v="刘祥"/>
        <s v="刘洁君"/>
        <s v="蔡影"/>
        <s v="陆梅"/>
        <s v="李青青"/>
        <s v="陈娟"/>
        <s v="聂晓梅"/>
        <s v="王宗波"/>
        <s v="梁可敏"/>
        <s v="仲静静"/>
        <s v="缪侠"/>
        <s v="蒋中云"/>
        <s v="童明明"/>
        <s v="朱磊磊"/>
        <s v="杨军"/>
        <s v="李晓珍"/>
        <s v="孙敏"/>
        <s v="吴迎雪"/>
        <s v="方国兵"/>
        <s v="施燕群"/>
        <s v="苏磊"/>
        <s v="张磊"/>
        <s v="孙雪萍"/>
        <s v="李晓寒"/>
        <s v="童会"/>
        <s v="付双勤"/>
        <s v="王旭旭"/>
        <s v="胡婷"/>
        <s v="石秀钰"/>
        <s v="梁仁芳"/>
        <s v="周淮霞"/>
        <s v="董利"/>
        <s v="周家萍"/>
        <s v="顾正莉"/>
        <s v="胡孝萍"/>
        <s v="曹化利"/>
        <s v="代伟伟"/>
        <s v="李克勤"/>
        <s v="刘庆书"/>
        <s v="王蓓凤"/>
        <s v="孙雅莉"/>
        <s v="刘庆涛"/>
        <s v="刘松"/>
        <s v="韩彦霞"/>
        <s v="刘东"/>
        <s v="李开梅"/>
        <s v="陈军"/>
        <s v="刘耀强"/>
        <s v="叶永茂"/>
        <s v="何静"/>
        <s v="沈宏荣"/>
        <s v="程永华"/>
        <s v="张彩云"/>
        <s v="陆彬"/>
        <s v="叶燕燕"/>
        <s v="梁燕群"/>
        <s v="叶龙"/>
        <s v="柏楠"/>
        <s v="况红梅"/>
        <s v="唐晓燕"/>
        <s v="宗友杰"/>
        <s v="宋玉华"/>
        <s v="常红霞"/>
        <s v="万雪梅"/>
        <s v="录爱丽"/>
        <s v="陶兰"/>
        <s v="李娜"/>
        <s v="刘振云"/>
        <s v="姚文俊"/>
        <s v="王康玉"/>
        <s v="尹淑玉"/>
        <s v="王娜"/>
        <s v="王道格"/>
        <s v="周游"/>
        <s v="张静"/>
        <s v="陈桂美"/>
        <s v="万传秀"/>
        <s v="张银银"/>
        <s v="何建军"/>
        <s v="邹怀霞"/>
        <s v="宗林"/>
        <s v="刘继英"/>
        <s v="许广纺"/>
        <s v="左颖"/>
        <s v="韦丽丽"/>
        <s v="颜世霞"/>
        <s v="杨会玲"/>
        <s v="武保米"/>
        <s v="常萍"/>
        <s v="蔡士兰"/>
        <s v="孙庆梅"/>
        <s v="胡本阁"/>
        <s v="刘川凤"/>
        <s v="叶琳"/>
        <s v="樊琦"/>
        <s v="王新雯"/>
        <s v="缪玉玲"/>
        <s v="王来艳"/>
        <s v="董慧慧"/>
      </sharedItems>
    </cacheField>
    <cacheField name="业务员代码" numFmtId="0">
      <sharedItems containsSemiMixedTypes="0" containsString="0" containsNumber="1" containsInteger="1" minValue="0" maxValue="6580545282" count="306">
        <n v="6550500692"/>
        <n v="5689072702"/>
        <n v="6487584872"/>
        <n v="55996582"/>
        <n v="157576102"/>
        <n v="51137372"/>
        <n v="5449941392"/>
        <n v="51108342"/>
        <n v="628297282"/>
        <n v="214639732"/>
        <n v="5671371552"/>
        <n v="531925062"/>
        <n v="61598022"/>
        <n v="6559818092"/>
        <n v="477030872"/>
        <n v="5503363952"/>
        <n v="484039162"/>
        <n v="6580196262"/>
        <n v="6580545282"/>
        <n v="6580502702"/>
        <n v="6579892592"/>
        <n v="6578633392"/>
        <n v="6579141032"/>
        <n v="6579086682"/>
        <n v="6578542762"/>
        <n v="6577775832"/>
        <n v="6575257432"/>
        <n v="6567279892"/>
        <n v="6563912032"/>
        <n v="6561874132"/>
        <n v="6561864162"/>
        <n v="6561860562"/>
        <n v="6560423702"/>
        <n v="6560355712"/>
        <n v="6560214262"/>
        <n v="6560149942"/>
        <n v="6560072882"/>
        <n v="6560025732"/>
        <n v="6559333092"/>
        <n v="6556490182"/>
        <n v="6556481112"/>
        <n v="6555905482"/>
        <n v="6554680762"/>
        <n v="6554611872"/>
        <n v="6554598232"/>
        <n v="6554581962"/>
        <n v="6552982812"/>
        <n v="6551184192"/>
        <n v="6551176022"/>
        <n v="6551158852"/>
        <n v="6550477082"/>
        <n v="6550456242"/>
        <n v="6549661202"/>
        <n v="6549233322"/>
        <n v="6549227922"/>
        <n v="6549480842"/>
        <n v="6548957762"/>
        <n v="6547564382"/>
        <n v="6547517232"/>
        <n v="6547493692"/>
        <n v="6545451222"/>
        <n v="6529280332"/>
        <n v="6526885242"/>
        <n v="6524201922"/>
        <n v="6520282942"/>
        <n v="6520274772"/>
        <n v="6520254832"/>
        <n v="6501704222"/>
        <n v="6497433522"/>
        <n v="6497424452"/>
        <n v="6496226942"/>
        <n v="6495945912"/>
        <n v="6495919602"/>
        <n v="6495478082"/>
        <n v="6493243482"/>
        <n v="6487627452"/>
        <n v="6486797032"/>
        <n v="6483119202"/>
        <n v="6482965082"/>
        <n v="6481562702"/>
        <n v="6481010612"/>
        <n v="6478470472"/>
        <n v="6478511252"/>
        <n v="6477994542"/>
        <n v="6476533172"/>
        <n v="6476530472"/>
        <n v="6474412812"/>
        <n v="6472388482"/>
        <n v="6458436822"/>
        <n v="6458315312"/>
        <n v="6457945452"/>
        <n v="6454146112"/>
        <n v="6448088632"/>
        <n v="6448056922"/>
        <n v="6448005202"/>
        <n v="6447214732"/>
        <n v="6442894112"/>
        <n v="6441354852"/>
        <n v="6441321272"/>
        <n v="6438319742"/>
        <n v="6439051292"/>
        <n v="6438293432"/>
        <n v="6438929852"/>
        <n v="6438661492"/>
        <n v="6438544552"/>
        <n v="6437396892"/>
        <n v="6434539442"/>
        <n v="6434509532"/>
        <n v="6433744402"/>
        <n v="6426650732"/>
        <n v="6426594512"/>
        <n v="6426549162"/>
        <n v="6426493912"/>
        <n v="6426457632"/>
        <n v="6426273602"/>
        <n v="6426223752"/>
        <n v="6426198342"/>
        <n v="6425978032"/>
        <n v="6425913712"/>
        <n v="6425876532"/>
        <n v="6425827582"/>
        <n v="6425757792"/>
        <n v="6425575562"/>
        <n v="6425025272"/>
        <n v="6424811332"/>
        <n v="6424700762"/>
        <n v="6417900792"/>
        <n v="6411039132"/>
        <n v="6409592302"/>
        <n v="6409585032"/>
        <n v="6407283342"/>
        <n v="6405516502"/>
        <n v="6401858612"/>
        <n v="6396799172"/>
        <n v="6396794672"/>
        <n v="6396788302"/>
        <n v="6392046172"/>
        <n v="6390989142"/>
        <n v="6390442522"/>
        <n v="6390424382"/>
        <n v="6389324772"/>
        <n v="6389254982"/>
        <n v="6385405792"/>
        <n v="6385849042"/>
        <n v="6376123702"/>
        <n v="6369820502"/>
        <n v="6360574692"/>
        <n v="6360454082"/>
        <n v="6360270052"/>
        <n v="6359975452"/>
        <n v="6359432432"/>
        <n v="6359420662"/>
        <n v="6358462432"/>
        <n v="6354094732"/>
        <n v="6334160782"/>
        <n v="6328826682"/>
        <n v="6328822112"/>
        <n v="6328454052"/>
        <n v="6328447752"/>
        <n v="6328797672"/>
        <n v="6328391532"/>
        <n v="6326344562"/>
        <n v="6324163412"/>
        <n v="6324067312"/>
        <n v="6323934032"/>
        <n v="6323920462"/>
        <n v="6322624082"/>
        <n v="6323154432"/>
        <n v="6321905202"/>
        <n v="6293781572"/>
        <n v="6278827232"/>
        <n v="6273949122"/>
        <n v="6274418752"/>
        <n v="6272495022"/>
        <n v="6271123452"/>
        <n v="6270653892"/>
        <n v="6251499542"/>
        <n v="6240561182"/>
        <n v="6233846442"/>
        <n v="6230817702"/>
        <n v="6230021762"/>
        <n v="6197981852"/>
        <n v="6186306472"/>
        <n v="6183512512"/>
        <n v="6183121812"/>
        <n v="6176568392"/>
        <n v="6173444452"/>
        <n v="6172970322"/>
        <n v="6170483702"/>
        <n v="6165252972"/>
        <n v="6155042562"/>
        <n v="6148870842"/>
        <n v="6145056062"/>
        <n v="6138546192"/>
        <n v="6124158482"/>
        <n v="6116420222"/>
        <n v="6090747902"/>
        <n v="6090081572"/>
        <n v="6089744322"/>
        <n v="6089567562"/>
        <n v="6089161422"/>
        <n v="6088245842"/>
        <n v="6087942102"/>
        <n v="6085146342"/>
        <n v="6084400252"/>
        <n v="6071927132"/>
        <n v="6071625262"/>
        <n v="6071074072"/>
        <n v="6069307232"/>
        <n v="6025042622"/>
        <n v="6025005442"/>
        <n v="5965270682"/>
        <n v="5883198712"/>
        <n v="5860938562"/>
        <n v="5860528822"/>
        <n v="5829841442"/>
        <n v="5829706362"/>
        <n v="5829071812"/>
        <n v="5819539502"/>
        <n v="5819404422"/>
        <n v="5796032892"/>
        <n v="5795082832"/>
        <n v="5795030212"/>
        <n v="5793477312"/>
        <n v="5793398452"/>
        <n v="5786682812"/>
        <n v="5770418522"/>
        <n v="5735066072"/>
        <n v="5733766092"/>
        <n v="5722364542"/>
        <n v="5722340032"/>
        <n v="5721728122"/>
        <n v="5705299812"/>
        <n v="5704433112"/>
        <n v="5704127642"/>
        <n v="5704091362"/>
        <n v="5693445872"/>
        <n v="5689717222"/>
        <n v="5680107922"/>
        <n v="5629751282"/>
        <n v="5596364242"/>
        <n v="5585829322"/>
        <n v="5522384052"/>
        <n v="5508877512"/>
        <n v="5508730662"/>
        <n v="5503212532"/>
        <n v="5502582482"/>
        <n v="5495685512"/>
        <n v="5491410242"/>
        <n v="5463341932"/>
        <n v="5441713632"/>
        <n v="5386683822"/>
        <n v="5323989142"/>
        <n v="5313504072"/>
        <n v="5291541292"/>
        <n v="5250370712"/>
        <n v="5228523972"/>
        <n v="5227952842"/>
        <n v="5225001092"/>
        <n v="5212998502"/>
        <n v="5159113652"/>
        <n v="5154900972"/>
        <n v="5153091482"/>
        <n v="5147890662"/>
        <n v="5118165112"/>
        <n v="5118158812"/>
        <n v="5060890732"/>
        <n v="5037225432"/>
        <n v="865718112"/>
        <n v="864735132"/>
        <n v="846503872"/>
        <n v="786071202"/>
        <n v="780704102"/>
        <n v="756981112"/>
        <n v="733743122"/>
        <n v="733052812"/>
        <n v="695577042"/>
        <n v="628868672"/>
        <n v="623618392"/>
        <n v="604820212"/>
        <n v="601246562"/>
        <n v="591227232"/>
        <n v="588442562"/>
        <n v="553691302"/>
        <n v="481828952"/>
        <n v="475904142"/>
        <n v="456088782"/>
        <n v="430700742"/>
        <n v="362775482"/>
        <n v="360264092"/>
        <n v="283558582"/>
        <n v="217723912"/>
        <n v="216455102"/>
        <n v="164606852"/>
        <n v="105176282"/>
        <n v="87256542"/>
        <n v="86051232"/>
        <n v="70685592"/>
        <n v="68852502"/>
        <n v="51173242"/>
        <n v="51103872"/>
        <n v="6137982332"/>
        <n v="6183615882"/>
        <n v="480193632"/>
        <n v="584648952"/>
        <n v="782700762"/>
      </sharedItems>
    </cacheField>
    <cacheField name="业务员职级名称" numFmtId="0">
      <sharedItems count="6">
        <s v="试用业务员"/>
        <s v="业务经理一级"/>
        <s v="正式业务员"/>
        <s v="业务主任"/>
        <s v="高级经理一级"/>
        <s v="降级试用业务代表"/>
      </sharedItems>
    </cacheField>
    <cacheField name="职级简称" numFmtId="0">
      <sharedItems count="2">
        <s v="伙伴"/>
        <s v="主管"/>
      </sharedItems>
    </cacheField>
    <cacheField name="全月预收规保" numFmtId="178">
      <sharedItems containsSemiMixedTypes="0" containsString="0" containsNumber="1" minValue="0" maxValue="15029" count="25">
        <n v="12000"/>
        <n v="11754"/>
        <n v="6453"/>
        <n v="5333"/>
        <n v="15029"/>
        <n v="10816"/>
        <n v="6000"/>
        <n v="4667"/>
        <n v="4997"/>
        <n v="6097"/>
        <n v="6153"/>
        <n v="5802.1"/>
        <n v="1040"/>
        <n v="88"/>
        <n v="319"/>
        <n v="157"/>
        <n v="149.4"/>
        <n v="0"/>
        <n v="4181"/>
        <n v="1803"/>
        <n v="600"/>
        <n v="1675"/>
        <n v="3028"/>
        <n v="1149"/>
        <n v="2011"/>
      </sharedItems>
    </cacheField>
    <cacheField name="全月承保规保" numFmtId="178">
      <sharedItems containsSemiMixedTypes="0" containsString="0" containsNumber="1" minValue="0" maxValue="10816" count="14">
        <n v="0"/>
        <n v="3300"/>
        <n v="10816"/>
        <n v="6000"/>
        <n v="4667"/>
        <n v="4997"/>
        <n v="1698"/>
        <n v="1040"/>
        <n v="88"/>
        <n v="319"/>
        <n v="157"/>
        <n v="149.4"/>
        <n v="3028"/>
        <n v="1149"/>
      </sharedItems>
    </cacheField>
    <cacheField name="全月预收价值" numFmtId="178">
      <sharedItems containsSemiMixedTypes="0" containsString="0" containsNumber="1" minValue="-259.3" maxValue="11168.7" count="25">
        <n v="11168.7"/>
        <n v="9786.6"/>
        <n v="5341.3"/>
        <n v="3151.8"/>
        <n v="8298.5"/>
        <n v="8116.4"/>
        <n v="5584.1"/>
        <n v="3195.8"/>
        <n v="2607.1"/>
        <n v="1825"/>
        <n v="385.1"/>
        <n v="317.2"/>
        <n v="91"/>
        <n v="31.4"/>
        <n v="27.9"/>
        <n v="13.7"/>
        <n v="5.2"/>
        <n v="0"/>
        <n v="3478.4"/>
        <n v="157.7"/>
        <n v="-45.8"/>
        <n v="-128"/>
        <n v="-231.3"/>
        <n v="-259.3"/>
        <n v="-153.6"/>
      </sharedItems>
    </cacheField>
    <cacheField name="全月预收英雄榜" numFmtId="177">
      <sharedItems containsSemiMixedTypes="0" containsString="0" containsNumber="1" containsInteger="1" minValue="0" maxValue="306" count="25">
        <n v="1"/>
        <n v="2"/>
        <n v="6"/>
        <n v="9"/>
        <n v="3"/>
        <n v="4"/>
        <n v="5"/>
        <n v="8"/>
        <n v="10"/>
        <n v="11"/>
        <n v="12"/>
        <n v="13"/>
        <n v="15"/>
        <n v="16"/>
        <n v="17"/>
        <n v="18"/>
        <n v="19"/>
        <n v="20"/>
        <n v="7"/>
        <n v="14"/>
        <n v="302"/>
        <n v="303"/>
        <n v="305"/>
        <n v="306"/>
        <n v="304"/>
      </sharedItems>
    </cacheField>
    <cacheField name="全月承保价值" numFmtId="178">
      <sharedItems containsSemiMixedTypes="0" containsString="0" containsNumber="1" minValue="-383.2" maxValue="8116.4" count="14">
        <n v="0"/>
        <n v="3373.9"/>
        <n v="8116.4"/>
        <n v="5584.1"/>
        <n v="3195.8"/>
        <n v="2607.1"/>
        <n v="-383.2"/>
        <n v="91"/>
        <n v="31.4"/>
        <n v="27.9"/>
        <n v="13.7"/>
        <n v="5.2"/>
        <n v="-231.3"/>
        <n v="-259.3"/>
      </sharedItems>
    </cacheField>
    <cacheField name="全月承保英雄榜" numFmtId="177">
      <sharedItems containsSemiMixedTypes="0" containsString="0" containsNumber="1" containsInteger="1" minValue="0" maxValue="306" count="14">
        <n v="11"/>
        <n v="3"/>
        <n v="1"/>
        <n v="2"/>
        <n v="4"/>
        <n v="5"/>
        <n v="306"/>
        <n v="6"/>
        <n v="7"/>
        <n v="8"/>
        <n v="9"/>
        <n v="10"/>
        <n v="304"/>
        <n v="305"/>
      </sharedItems>
    </cacheField>
    <cacheField name="3000P件数" numFmtId="177">
      <sharedItems containsSemiMixedTypes="0" containsString="0" containsNumber="1" containsInteger="1" minValue="0" maxValue="2" count="3">
        <n v="1"/>
        <n v="2"/>
        <n v="0"/>
      </sharedItems>
    </cacheField>
    <cacheField name="是否实动" numFmtId="177">
      <sharedItems containsSemiMixedTypes="0" containsString="0" containsNumber="1" containsInteger="1" minValue="0" maxValue="1" count="2">
        <n v="1"/>
        <n v="0"/>
      </sharedItems>
    </cacheField>
    <cacheField name="20210509" numFmtId="178">
      <sharedItems containsSemiMixedTypes="0" containsString="0" containsNumber="1" minValue="-153.6" maxValue="11168.7" count="6">
        <n v="11168.7"/>
        <n v="6412.8"/>
        <n v="5341.3"/>
        <n v="3134.4"/>
        <n v="0"/>
        <n v="-153.6"/>
      </sharedItems>
    </cacheField>
    <cacheField name="当日英雄榜" numFmtId="177">
      <sharedItems containsSemiMixedTypes="0" containsString="0" containsNumber="1" containsInteger="1" minValue="0" maxValue="306" count="6">
        <n v="1"/>
        <n v="2"/>
        <n v="3"/>
        <n v="4"/>
        <n v="5"/>
        <n v="306"/>
      </sharedItems>
    </cacheField>
    <cacheField name="排名简述" numFmtId="177">
      <sharedItems count="304">
        <s v="淮南本部程楠伙伴在20210509预收11168.7排名中支第1位"/>
        <s v="淮南本部方林主管在20210509预收6412.8排名中支第2位"/>
        <s v="淮南本部程梅伙伴在20210509预收5341.3排名中支第3位"/>
        <s v="淮南本部杨书珍主管在20210509预收3134.4排名中支第4位"/>
        <s v="谢家集杨琴伙伴在20210509预收0排名中支第5位"/>
        <s v="凤台刘康丽伙伴在20210509预收0排名中支第5位"/>
        <s v="谢家集杨娟主管在20210509预收0排名中支第5位"/>
        <s v="淮南本部陈宏霞主管在20210509预收0排名中支第5位"/>
        <s v="淮南本部王来如伙伴在20210509预收0排名中支第5位"/>
        <s v="淮南本部程文侠主管在20210509预收0排名中支第5位"/>
        <s v="淮南本部吴苑主管在20210509预收0排名中支第5位"/>
        <s v="凤台康菊伙伴在20210509预收0排名中支第5位"/>
        <s v="凤台李玲伙伴在20210509预收0排名中支第5位"/>
        <s v="淮南本部王毅铭伙伴在20210509预收0排名中支第5位"/>
        <s v="凤台花志勇主管在20210509预收0排名中支第5位"/>
        <s v="淮南本部张秀丽伙伴在20210509预收0排名中支第5位"/>
        <s v="凤台张文粉伙伴在20210509预收0排名中支第5位"/>
        <s v="凤台吴在芝伙伴在20210509预收0排名中支第5位"/>
        <s v="凤台储丽娜伙伴在20210509预收0排名中支第5位"/>
        <s v="淮南本部张少琴伙伴在20210509预收0排名中支第5位"/>
        <s v="凤台马保伙伴在20210509预收0排名中支第5位"/>
        <s v="凤台任永生伙伴在20210509预收0排名中支第5位"/>
        <s v="凤台李廷廷伙伴在20210509预收0排名中支第5位"/>
        <s v="凤台谢丽伙伴在20210509预收0排名中支第5位"/>
        <s v="淮南本部王思齐伙伴在20210509预收0排名中支第5位"/>
        <s v="凤台钮芳伙伴在20210509预收0排名中支第5位"/>
        <s v="淮南本部杨海山伙伴在20210509预收0排名中支第5位"/>
        <s v="谢家集庄山菊伙伴在20210509预收0排名中支第5位"/>
        <s v="淮南本部陈利媛伙伴在20210509预收0排名中支第5位"/>
        <s v="谢家集蔡瑞群伙伴在20210509预收0排名中支第5位"/>
        <s v="淮南本部张洪娟伙伴在20210509预收0排名中支第5位"/>
        <s v="淮南本部徐贺伙伴在20210509预收0排名中支第5位"/>
        <s v="谢家集单红侠伙伴在20210509预收0排名中支第5位"/>
        <s v="淮南本部丁静伙伴在20210509预收0排名中支第5位"/>
        <s v="淮南本部王芸芸伙伴在20210509预收0排名中支第5位"/>
        <s v="谢家集陈连梅伙伴在20210509预收0排名中支第5位"/>
        <s v="凤台缪国龙伙伴在20210509预收0排名中支第5位"/>
        <s v="凤台王平伙伴在20210509预收0排名中支第5位"/>
        <s v="谢家集王花花伙伴在20210509预收0排名中支第5位"/>
        <s v="谢家集杨晶晶伙伴在20210509预收0排名中支第5位"/>
        <s v="谢家集郁银芳伙伴在20210509预收0排名中支第5位"/>
        <s v="淮南本部陈雯雯伙伴在20210509预收0排名中支第5位"/>
        <s v="淮南本部褚恋恋伙伴在20210509预收0排名中支第5位"/>
        <s v="凤台柏祖林伙伴在20210509预收0排名中支第5位"/>
        <s v="凤台刘艳伙伴在20210509预收0排名中支第5位"/>
        <s v="谢家集张君志伙伴在20210509预收0排名中支第5位"/>
        <s v="谢家集王梅芝伙伴在20210509预收0排名中支第5位"/>
        <s v="凤台王朋伙伴在20210509预收0排名中支第5位"/>
        <s v="凤台李芳芳伙伴在20210509预收0排名中支第5位"/>
        <s v="淮南本部程娇娇伙伴在20210509预收0排名中支第5位"/>
        <s v="谢家集陈晓艳伙伴在20210509预收0排名中支第5位"/>
        <s v="凤台郑皓月伙伴在20210509预收0排名中支第5位"/>
        <s v="谢家集陶松梅伙伴在20210509预收0排名中支第5位"/>
        <s v="凤台刘杰伙伴在20210509预收0排名中支第5位"/>
        <s v="凤台黄玲伙伴在20210509预收0排名中支第5位"/>
        <s v="谢家集刘锐伙伴在20210509预收0排名中支第5位"/>
        <s v="淮南本部姚守四伙伴在20210509预收0排名中支第5位"/>
        <s v="淮南本部杨积莹伙伴在20210509预收0排名中支第5位"/>
        <s v="淮南本部程单单伙伴在20210509预收0排名中支第5位"/>
        <s v="淮南本部夏海力伙伴在20210509预收0排名中支第5位"/>
        <s v="淮南本部胡美华伙伴在20210509预收0排名中支第5位"/>
        <s v="淮南本部姚昌梅伙伴在20210509预收0排名中支第5位"/>
        <s v="淮南本部沈金悦伙伴在20210509预收0排名中支第5位"/>
        <s v="谢家集丁杰伙伴在20210509预收0排名中支第5位"/>
        <s v="淮南本部李洋伙伴在20210509预收0排名中支第5位"/>
        <s v="淮南本部王静伙伴在20210509预收0排名中支第5位"/>
        <s v="淮南本部陈家甫伙伴在20210509预收0排名中支第5位"/>
        <s v="凤台李悦伙伴在20210509预收0排名中支第5位"/>
        <s v="淮南本部李玲俐伙伴在20210509预收0排名中支第5位"/>
        <s v="谢家集胡文卿伙伴在20210509预收0排名中支第5位"/>
        <s v="淮南本部段艳勤伙伴在20210509预收0排名中支第5位"/>
        <s v="淮南本部程晋远伙伴在20210509预收0排名中支第5位"/>
        <s v="淮南本部陈莎莎伙伴在20210509预收0排名中支第5位"/>
        <s v="淮南本部孙艳霞伙伴在20210509预收0排名中支第5位"/>
        <s v="淮南本部徐基云伙伴在20210509预收0排名中支第5位"/>
        <s v="淮南本部张辉伙伴在20210509预收0排名中支第5位"/>
        <s v="淮南本部李敬腾伙伴在20210509预收0排名中支第5位"/>
        <s v="凤台刘金金伙伴在20210509预收0排名中支第5位"/>
        <s v="凤台段传颖伙伴在20210509预收0排名中支第5位"/>
        <s v="凤台胡奇珍伙伴在20210509预收0排名中支第5位"/>
        <s v="淮南本部徐梅伙伴在20210509预收0排名中支第5位"/>
        <s v="凤台吴妮妮伙伴在20210509预收0排名中支第5位"/>
        <s v="凤台信萍伙伴在20210509预收0排名中支第5位"/>
        <s v="淮南本部刘鹤伙伴在20210509预收0排名中支第5位"/>
        <s v="谢家集侯素良伙伴在20210509预收0排名中支第5位"/>
        <s v="淮南本部魏娟伙伴在20210509预收0排名中支第5位"/>
        <s v="淮南本部郑悦伙伴在20210509预收0排名中支第5位"/>
        <s v="淮南本部程路路伙伴在20210509预收0排名中支第5位"/>
        <s v="谢家集刘金萍伙伴在20210509预收0排名中支第5位"/>
        <s v="凤台徐杏伙伴在20210509预收0排名中支第5位"/>
        <s v="淮南本部张兴珍伙伴在20210509预收0排名中支第5位"/>
        <s v="谢家集夏继梅伙伴在20210509预收0排名中支第5位"/>
        <s v="淮南本部褚孝妹伙伴在20210509预收0排名中支第5位"/>
        <s v="凤台魏茂盛伙伴在20210509预收0排名中支第5位"/>
        <s v="凤台高秀梅伙伴在20210509预收0排名中支第5位"/>
        <s v="凤台万其红伙伴在20210509预收0排名中支第5位"/>
        <s v="淮南本部杨洋伙伴在20210509预收0排名中支第5位"/>
        <s v="淮南本部曹素光伙伴在20210509预收0排名中支第5位"/>
        <s v="淮南本部谷玲伙伴在20210509预收0排名中支第5位"/>
        <s v="凤台米莲伙伴在20210509预收0排名中支第5位"/>
        <s v="凤台胡程程伙伴在20210509预收0排名中支第5位"/>
        <s v="淮南本部刘卫国伙伴在20210509预收0排名中支第5位"/>
        <s v="淮南本部周蓓伙伴在20210509预收0排名中支第5位"/>
        <s v="凤台王秀芹伙伴在20210509预收0排名中支第5位"/>
        <s v="凤台彭丽杰伙伴在20210509预收0排名中支第5位"/>
        <s v="凤台陈尚伙伴在20210509预收0排名中支第5位"/>
        <s v="凤台陈斌伙伴在20210509预收0排名中支第5位"/>
        <s v="凤台叶艳伙伴在20210509预收0排名中支第5位"/>
        <s v="淮南本部王宏伙伴在20210509预收0排名中支第5位"/>
        <s v="凤台高岑伙伴在20210509预收0排名中支第5位"/>
        <s v="凤台刘庆楠伙伴在20210509预收0排名中支第5位"/>
        <s v="凤台高菊秋伙伴在20210509预收0排名中支第5位"/>
        <s v="凤台吕荣刚伙伴在20210509预收0排名中支第5位"/>
        <s v="凤台陈利娜伙伴在20210509预收0排名中支第5位"/>
        <s v="凤台冯春莲伙伴在20210509预收0排名中支第5位"/>
        <s v="凤台潘明月伙伴在20210509预收0排名中支第5位"/>
        <s v="凤台谢齐安伙伴在20210509预收0排名中支第5位"/>
        <s v="淮南本部范春霞伙伴在20210509预收0排名中支第5位"/>
        <s v="淮南本部陶莎伙伴在20210509预收0排名中支第5位"/>
        <s v="淮南本部刘翠伙伴在20210509预收0排名中支第5位"/>
        <s v="谢家集陈苗苗伙伴在20210509预收0排名中支第5位"/>
        <s v="凤台石秀凤伙伴在20210509预收0排名中支第5位"/>
        <s v="凤台叶文兰伙伴在20210509预收0排名中支第5位"/>
        <s v="凤台陈利萍伙伴在20210509预收0排名中支第5位"/>
        <s v="淮南本部陈艳伙伴在20210509预收0排名中支第5位"/>
        <s v="凤台孙艳伙伴在20210509预收0排名中支第5位"/>
        <s v="淮南本部高文龙伙伴在20210509预收0排名中支第5位"/>
        <s v="淮南本部王芝斌伙伴在20210509预收0排名中支第5位"/>
        <s v="淮南本部宋业凤主管在20210509预收0排名中支第5位"/>
        <s v="淮南本部夏大鹏伙伴在20210509预收0排名中支第5位"/>
        <s v="谢家集祁玉苗伙伴在20210509预收0排名中支第5位"/>
        <s v="淮南本部胡成梅伙伴在20210509预收0排名中支第5位"/>
        <s v="谢家集李萍伙伴在20210509预收0排名中支第5位"/>
        <s v="凤台段军平伙伴在20210509预收0排名中支第5位"/>
        <s v="淮南本部曹建航伙伴在20210509预收0排名中支第5位"/>
        <s v="淮南本部王沁主管在20210509预收0排名中支第5位"/>
        <s v="凤台王克侠伙伴在20210509预收0排名中支第5位"/>
        <s v="凤台李芹伙伴在20210509预收0排名中支第5位"/>
        <s v="淮南本部钟秀丽伙伴在20210509预收0排名中支第5位"/>
        <s v="淮南本部张萍伙伴在20210509预收0排名中支第5位"/>
        <s v="凤台荣树红伙伴在20210509预收0排名中支第5位"/>
        <s v="凤台宋德永伙伴在20210509预收0排名中支第5位"/>
        <s v="淮南本部宋芳丽伙伴在20210509预收0排名中支第5位"/>
        <s v="淮南本部焦玉荣伙伴在20210509预收0排名中支第5位"/>
        <s v="凤台刘盼盼伙伴在20210509预收0排名中支第5位"/>
        <s v="凤台张玲伙伴在20210509预收0排名中支第5位"/>
        <s v="谢家集吴怀兰伙伴在20210509预收0排名中支第5位"/>
        <s v="谢家集汪嘉维伙伴在20210509预收0排名中支第5位"/>
        <s v="淮南本部宫丽曼伙伴在20210509预收0排名中支第5位"/>
        <s v="谢家集王凤伙伴在20210509预收0排名中支第5位"/>
        <s v="淮南本部谢雨晨伙伴在20210509预收0排名中支第5位"/>
        <s v="凤台袁萍萍伙伴在20210509预收0排名中支第5位"/>
        <s v="淮南本部聂慧慧伙伴在20210509预收0排名中支第5位"/>
        <s v="谢家集周元元伙伴在20210509预收0排名中支第5位"/>
        <s v="凤台李萍伙伴在20210509预收0排名中支第5位"/>
        <s v="淮南本部高媛伙伴在20210509预收0排名中支第5位"/>
        <s v="淮南本部王雪伙伴在20210509预收0排名中支第5位"/>
        <s v="凤台孙漫伙伴在20210509预收0排名中支第5位"/>
        <s v="谢家集黄月媛伙伴在20210509预收0排名中支第5位"/>
        <s v="淮南本部程业云伙伴在20210509预收0排名中支第5位"/>
        <s v="谢家集倪小平伙伴在20210509预收0排名中支第5位"/>
        <s v="谢家集樊荣伙伴在20210509预收0排名中支第5位"/>
        <s v="凤台赵肖伙伴在20210509预收0排名中支第5位"/>
        <s v="淮南本部刘红梅伙伴在20210509预收0排名中支第5位"/>
        <s v="淮南本部陈静伙伴在20210509预收0排名中支第5位"/>
        <s v="淮南本部王小燕伙伴在20210509预收0排名中支第5位"/>
        <s v="凤台刘春艳伙伴在20210509预收0排名中支第5位"/>
        <s v="凤台王洁伙伴在20210509预收0排名中支第5位"/>
        <s v="淮南本部王宛宛伙伴在20210509预收0排名中支第5位"/>
        <s v="谢家集魏春生伙伴在20210509预收0排名中支第5位"/>
        <s v="凤台梁栋伙伴在20210509预收0排名中支第5位"/>
        <s v="凤台荣向芹伙伴在20210509预收0排名中支第5位"/>
        <s v="谢家集孙传宏伙伴在20210509预收0排名中支第5位"/>
        <s v="谢家集陈凯伙伴在20210509预收0排名中支第5位"/>
        <s v="凤台金家好伙伴在20210509预收0排名中支第5位"/>
        <s v="淮南本部吴程程伙伴在20210509预收0排名中支第5位"/>
        <s v="谢家集管国群伙伴在20210509预收0排名中支第5位"/>
        <s v="凤台吴煜伙伴在20210509预收0排名中支第5位"/>
        <s v="凤台常宏利伙伴在20210509预收0排名中支第5位"/>
        <s v="淮南本部徐婉婉伙伴在20210509预收0排名中支第5位"/>
        <s v="淮南本部方若瑜伙伴在20210509预收0排名中支第5位"/>
        <s v="凤台李梅伙伴在20210509预收0排名中支第5位"/>
        <s v="淮南本部杨之义伙伴在20210509预收0排名中支第5位"/>
        <s v="谢家集郑兆喜伙伴在20210509预收0排名中支第5位"/>
        <s v="淮南本部李范勤伙伴在20210509预收0排名中支第5位"/>
        <s v="淮南本部方杰伙伴在20210509预收0排名中支第5位"/>
        <s v="谢家集吴家美伙伴在20210509预收0排名中支第5位"/>
        <s v="淮南本部王秀美伙伴在20210509预收0排名中支第5位"/>
        <s v="谢家集陈榕华伙伴在20210509预收0排名中支第5位"/>
        <s v="凤台叶永艳伙伴在20210509预收0排名中支第5位"/>
        <s v="淮南本部李连秀伙伴在20210509预收0排名中支第5位"/>
        <s v="凤台陈佳敏伙伴在20210509预收0排名中支第5位"/>
        <s v="淮南本部张玉霞伙伴在20210509预收0排名中支第5位"/>
        <s v="谢家集裴华伙伴在20210509预收0排名中支第5位"/>
        <s v="谢家集马强伙伴在20210509预收0排名中支第5位"/>
        <s v="凤台胡莺莺伙伴在20210509预收0排名中支第5位"/>
        <s v="淮南本部芦鸿文伙伴在20210509预收0排名中支第5位"/>
        <s v="谢家集缪龙宇伙伴在20210509预收0排名中支第5位"/>
        <s v="谢家集范晓丽伙伴在20210509预收0排名中支第5位"/>
        <s v="谢家集张丽伙伴在20210509预收0排名中支第5位"/>
        <s v="凤台陈桂侠伙伴在20210509预收0排名中支第5位"/>
        <s v="凤台万德清伙伴在20210509预收0排名中支第5位"/>
        <s v="谢家集王利利伙伴在20210509预收0排名中支第5位"/>
        <s v="淮南本部倪荣跃伙伴在20210509预收0排名中支第5位"/>
        <s v="凤台刘祥伙伴在20210509预收0排名中支第5位"/>
        <s v="凤台刘洁君伙伴在20210509预收0排名中支第5位"/>
        <s v="凤台蔡影伙伴在20210509预收0排名中支第5位"/>
        <s v="淮南本部陆梅伙伴在20210509预收0排名中支第5位"/>
        <s v="凤台李青青伙伴在20210509预收0排名中支第5位"/>
        <s v="凤台陈娟主管在20210509预收0排名中支第5位"/>
        <s v="凤台聂晓梅伙伴在20210509预收0排名中支第5位"/>
        <s v="淮南本部王宗波伙伴在20210509预收0排名中支第5位"/>
        <s v="凤台梁可敏伙伴在20210509预收0排名中支第5位"/>
        <s v="凤台仲静静伙伴在20210509预收0排名中支第5位"/>
        <s v="凤台缪侠伙伴在20210509预收0排名中支第5位"/>
        <s v="凤台蒋中云伙伴在20210509预收0排名中支第5位"/>
        <s v="凤台童明明伙伴在20210509预收0排名中支第5位"/>
        <s v="潘集朱磊磊伙伴在20210509预收0排名中支第5位"/>
        <s v="潘集杨军伙伴在20210509预收0排名中支第5位"/>
        <s v="淮南本部李晓珍伙伴在20210509预收0排名中支第5位"/>
        <s v="淮南本部孙敏伙伴在20210509预收0排名中支第5位"/>
        <s v="凤台吴迎雪伙伴在20210509预收0排名中支第5位"/>
        <s v="淮南本部方国兵伙伴在20210509预收0排名中支第5位"/>
        <s v="谢家集施燕群伙伴在20210509预收0排名中支第5位"/>
        <s v="潘集苏磊伙伴在20210509预收0排名中支第5位"/>
        <s v="淮南本部张磊伙伴在20210509预收0排名中支第5位"/>
        <s v="凤台孙雪萍伙伴在20210509预收0排名中支第5位"/>
        <s v="谢家集刘艳伙伴在20210509预收0排名中支第5位"/>
        <s v="淮南本部李晓寒伙伴在20210509预收0排名中支第5位"/>
        <s v="淮南本部童会主管在20210509预收0排名中支第5位"/>
        <s v="潘集付双勤伙伴在20210509预收0排名中支第5位"/>
        <s v="淮南本部王旭旭伙伴在20210509预收0排名中支第5位"/>
        <s v="凤台胡婷伙伴在20210509预收0排名中支第5位"/>
        <s v="凤台石秀钰伙伴在20210509预收0排名中支第5位"/>
        <s v="凤台梁仁芳伙伴在20210509预收0排名中支第5位"/>
        <s v="淮南本部周淮霞伙伴在20210509预收0排名中支第5位"/>
        <s v="凤台董利伙伴在20210509预收0排名中支第5位"/>
        <s v="淮南本部周家萍伙伴在20210509预收0排名中支第5位"/>
        <s v="谢家集顾正莉伙伴在20210509预收0排名中支第5位"/>
        <s v="淮南本部胡孝萍伙伴在20210509预收0排名中支第5位"/>
        <s v="凤台曹化利伙伴在20210509预收0排名中支第5位"/>
        <s v="谢家集代伟伟伙伴在20210509预收0排名中支第5位"/>
        <s v="谢家集李克勤伙伴在20210509预收0排名中支第5位"/>
        <s v="凤台刘庆书伙伴在20210509预收0排名中支第5位"/>
        <s v="谢家集王蓓凤伙伴在20210509预收0排名中支第5位"/>
        <s v="淮南本部孙雅莉伙伴在20210509预收0排名中支第5位"/>
        <s v="凤台刘庆涛伙伴在20210509预收0排名中支第5位"/>
        <s v="淮南本部刘松伙伴在20210509预收0排名中支第5位"/>
        <s v="淮南本部韩彦霞伙伴在20210509预收0排名中支第5位"/>
        <s v="凤台刘东伙伴在20210509预收0排名中支第5位"/>
        <s v="凤台李开梅主管在20210509预收0排名中支第5位"/>
        <s v="凤台陈军伙伴在20210509预收0排名中支第5位"/>
        <s v="谢家集刘耀强伙伴在20210509预收0排名中支第5位"/>
        <s v="凤台叶永茂伙伴在20210509预收0排名中支第5位"/>
        <s v="淮南本部何静主管在20210509预收0排名中支第5位"/>
        <s v="淮南本部沈宏荣伙伴在20210509预收0排名中支第5位"/>
        <s v="淮南本部程永华伙伴在20210509预收0排名中支第5位"/>
        <s v="谢家集张彩云伙伴在20210509预收0排名中支第5位"/>
        <s v="谢家集陆彬主管在20210509预收0排名中支第5位"/>
        <s v="凤台叶燕燕伙伴在20210509预收0排名中支第5位"/>
        <s v="凤台梁燕群伙伴在20210509预收0排名中支第5位"/>
        <s v="凤台叶龙伙伴在20210509预收0排名中支第5位"/>
        <s v="淮南本部柏楠伙伴在20210509预收0排名中支第5位"/>
        <s v="淮南本部况红梅伙伴在20210509预收0排名中支第5位"/>
        <s v="凤台唐晓燕伙伴在20210509预收0排名中支第5位"/>
        <s v="淮南本部宗友杰伙伴在20210509预收0排名中支第5位"/>
        <s v="凤台宋玉华伙伴在20210509预收0排名中支第5位"/>
        <s v="凤台常红霞伙伴在20210509预收0排名中支第5位"/>
        <s v="凤台万雪梅伙伴在20210509预收0排名中支第5位"/>
        <s v="淮南本部录爱丽主管在20210509预收0排名中支第5位"/>
        <s v="淮南本部陶兰伙伴在20210509预收0排名中支第5位"/>
        <s v="淮南本部李娜伙伴在20210509预收0排名中支第5位"/>
        <s v="淮南本部刘振云伙伴在20210509预收0排名中支第5位"/>
        <s v="淮南本部姚文俊伙伴在20210509预收0排名中支第5位"/>
        <s v="凤台王康玉伙伴在20210509预收0排名中支第5位"/>
        <s v="淮南本部尹淑玉伙伴在20210509预收0排名中支第5位"/>
        <s v="淮南本部王娜伙伴在20210509预收0排名中支第5位"/>
        <s v="淮南本部王道格伙伴在20210509预收0排名中支第5位"/>
        <s v="谢家集周游伙伴在20210509预收0排名中支第5位"/>
        <s v="淮南本部张静伙伴在20210509预收0排名中支第5位"/>
        <s v="凤台陈桂美主管在20210509预收0排名中支第5位"/>
        <s v="凤台万传秀伙伴在20210509预收0排名中支第5位"/>
        <s v="凤台张银银伙伴在20210509预收0排名中支第5位"/>
        <s v="谢家集何建军伙伴在20210509预收0排名中支第5位"/>
        <s v="淮南本部邹怀霞伙伴在20210509预收0排名中支第5位"/>
        <s v="淮南本部宗林伙伴在20210509预收0排名中支第5位"/>
        <s v="淮南本部刘继英主管在20210509预收0排名中支第5位"/>
        <s v="凤台许广纺伙伴在20210509预收0排名中支第5位"/>
        <s v="凤台左颖主管在20210509预收0排名中支第5位"/>
        <s v="淮南本部韦丽丽伙伴在20210509预收0排名中支第5位"/>
        <s v="淮南本部颜世霞伙伴在20210509预收0排名中支第5位"/>
        <s v="淮南本部杨会玲伙伴在20210509预收0排名中支第5位"/>
        <s v="凤台武保米伙伴在20210509预收0排名中支第5位"/>
        <s v="淮南本部常萍伙伴在20210509预收0排名中支第5位"/>
        <s v="淮南本部蔡士兰伙伴在20210509预收0排名中支第5位"/>
        <s v="淮南本部孙庆梅伙伴在20210509预收0排名中支第5位"/>
        <s v="凤台胡本阁主管在20210509预收0排名中支第5位"/>
        <s v="谢家集刘川凤伙伴在20210509预收0排名中支第5位"/>
        <s v="谢家集叶琳主管在20210509预收0排名中支第5位"/>
        <s v="谢家集樊琦伙伴在20210509预收0排名中支第5位"/>
        <s v="谢家集王新雯伙伴在20210509预收0排名中支第5位"/>
        <s v="凤台缪玉玲伙伴在20210509预收0排名中支第5位"/>
        <s v="淮南本部王来艳伙伴在20210509预收0排名中支第5位"/>
        <s v="谢家集董慧慧伙伴在20210509预收-153.6排名中支第306位"/>
      </sharedItems>
    </cacheField>
    <cacheField name="5.1-5.6预收" numFmtId="178">
      <sharedItems containsSemiMixedTypes="0" containsString="0" containsNumber="1" minValue="-485.8" maxValue="8116.4" count="12">
        <n v="0"/>
        <n v="3373.9"/>
        <n v="-485.8"/>
        <n v="8116.4"/>
        <n v="5584.1"/>
        <n v="3297.2"/>
        <n v="2208.2"/>
        <n v="295.5"/>
        <n v="27.9"/>
        <n v="13.7"/>
        <n v="5.2"/>
        <n v="-134.9"/>
      </sharedItems>
    </cacheField>
    <cacheField name="5.1-5.6承保" numFmtId="178">
      <sharedItems containsSemiMixedTypes="0" containsString="0" containsNumber="1" minValue="-134.9" maxValue="8116.4" count="9">
        <n v="0"/>
        <n v="3373.9"/>
        <n v="8116.4"/>
        <n v="5584.1"/>
        <n v="3297.2"/>
        <n v="27.9"/>
        <n v="13.7"/>
        <n v="5.2"/>
        <n v="-134.9"/>
      </sharedItems>
    </cacheField>
    <cacheField name="5.1-5.10预收" numFmtId="178">
      <sharedItems containsSemiMixedTypes="0" containsString="0" containsNumber="1" minValue="-259.3" maxValue="11168.7" count="25">
        <n v="11168.7"/>
        <n v="9786.6"/>
        <n v="5341.3"/>
        <n v="3151.8"/>
        <n v="8298.5"/>
        <n v="8116.4"/>
        <n v="5584.1"/>
        <n v="3195.8"/>
        <n v="2607.1"/>
        <n v="1825"/>
        <n v="385.1"/>
        <n v="317.2"/>
        <n v="91"/>
        <n v="31.4"/>
        <n v="27.9"/>
        <n v="13.7"/>
        <n v="5.2"/>
        <n v="0"/>
        <n v="3478.4"/>
        <n v="157.7"/>
        <n v="-45.8"/>
        <n v="-128"/>
        <n v="-231.3"/>
        <n v="-259.3"/>
        <n v="-153.6"/>
      </sharedItems>
    </cacheField>
    <cacheField name="5.1-5.10承保" numFmtId="178">
      <sharedItems containsSemiMixedTypes="0" containsString="0" containsNumber="1" minValue="-383.2" maxValue="8116.4" count="14">
        <n v="0"/>
        <n v="3373.9"/>
        <n v="8116.4"/>
        <n v="5584.1"/>
        <n v="3195.8"/>
        <n v="2607.1"/>
        <n v="-383.2"/>
        <n v="91"/>
        <n v="31.4"/>
        <n v="27.9"/>
        <n v="13.7"/>
        <n v="5.2"/>
        <n v="-231.3"/>
        <n v="-259.3"/>
      </sharedItems>
    </cacheField>
    <cacheField name="5.1-5.10未承保" numFmtId="178">
      <sharedItems containsSemiMixedTypes="0" containsString="0" containsNumber="1" minValue="-153.6" maxValue="11168.7" count="14">
        <n v="11168.7"/>
        <n v="6412.7"/>
        <n v="5341.3"/>
        <n v="3151.8"/>
        <n v="8298.5"/>
        <n v="0"/>
        <n v="2208.2"/>
        <n v="385.1"/>
        <n v="317.2"/>
        <n v="3478.4"/>
        <n v="157.7"/>
        <n v="-45.8"/>
        <n v="-128"/>
        <n v="-153.6"/>
      </sharedItems>
    </cacheField>
    <cacheField name="首周预收3000P件数" numFmtId="177">
      <sharedItems containsSemiMixedTypes="0" containsString="0" containsNumber="1" containsInteger="1" minValue="0" maxValue="2" count="3">
        <n v="1"/>
        <n v="2"/>
        <n v="0"/>
      </sharedItems>
    </cacheField>
    <cacheField name="预收拟加佣" numFmtId="178">
      <sharedItems containsSemiMixedTypes="0" containsString="0" containsNumber="1" minValue="0" maxValue="1116.87" count="12">
        <n v="1116.87"/>
        <n v="978.66"/>
        <n v="534.13"/>
        <n v="315.18"/>
        <n v="829.85"/>
        <n v="811.64"/>
        <n v="558.41"/>
        <n v="319.58"/>
        <n v="260.71"/>
        <n v="182.5"/>
        <n v="0"/>
        <n v="347.84"/>
      </sharedItems>
    </cacheField>
    <cacheField name="首周加佣方案追踪简述" numFmtId="178">
      <sharedItems count="305">
        <s v="淮南本部程楠伙伴5.1-5.10预收价值保费11169，首周预收3000P件数1件，预收拟加佣1117元。温馨提示，保单需10日（含）前承保，目前还有11169价值保费未承保,距离20%提档差距2件"/>
        <s v="淮南本部方林主管5.1-5.10预收价值保费9787，首周预收3000P件数2件，预收拟加佣979元。温馨提示，保单需10日（含）前承保，目前还有6413价值保费未承保,距离20%提档差距1件"/>
        <s v="淮南本部程梅伙伴5.1-5.10预收价值保费5341，首周预收3000P件数1件，预收拟加佣534元。温馨提示，保单需10日（含）前承保，目前还有5341价值保费未承保,距离20%提档差距2件"/>
        <s v="淮南本部杨书珍主管5.1-5.10预收价值保费3152，首周预收3000P件数1件，预收拟加佣315元。温馨提示，保单需10日（含）前承保，目前还有3152价值保费未承保,距离20%提档差距2件"/>
        <s v="谢家集杨琴伙伴5.1-5.10预收价值保费8299，首周预收3000P件数1件，预收拟加佣830元。温馨提示，保单需10日（含）前承保，目前还有8299价值保费未承保,距离20%提档差距2件"/>
        <s v="凤台刘康丽伙伴5.1-5.10预收价值保费8116，首周预收3000P件数2件，预收拟加佣812元。温馨提示，保单需10日（含）前承保，目前还有0价值保费未承保,距离20%提档差距1件"/>
        <s v="谢家集杨娟主管5.1-5.10预收价值保费5584，首周预收3000P件数1件，预收拟加佣558元。温馨提示，保单需10日（含）前承保，目前还有0价值保费未承保,距离20%提档差距2件"/>
        <s v="淮南本部陈宏霞主管5.1-5.10预收价值保费3196，首周预收3000P件数1件，预收拟加佣320元。温馨提示，保单需10日（含）前承保，目前还有0价值保费未承保,距离20%提档差距2件"/>
        <s v="淮南本部王来如伙伴5.1-5.10预收价值保费2607，首周预收3000P件数1件，预收拟加佣261元。温馨提示，保单需10日（含）前承保，目前还有0价值保费未承保,距离20%提档差距2件"/>
        <s v="淮南本部程文侠主管5.1-5.10预收价值保费1825，首周预收3000P件数1件，预收拟加佣183元。温馨提示，保单需10日（含）前承保，目前还有2208价值保费未承保,距离20%提档差距2件"/>
        <s v="淮南本部吴苑主管5.1-5.10预收价值保费385，首周预收3000P件数0件，预收拟加佣0元。温馨提示，保单需10日（含）前承保，目前还有385价值保费未承保,开单一件即可获得10%加佣"/>
        <s v="凤台康菊伙伴5.1-5.10预收价值保费317，首周预收3000P件数0件，预收拟加佣0元。温馨提示，保单需10日（含）前承保，目前还有317价值保费未承保,开单一件即可获得10%加佣"/>
        <s v="凤台李玲伙伴5.1-5.10预收价值保费91，首周预收3000P件数0件，预收拟加佣0元。温馨提示，保单需10日（含）前承保，目前还有0价值保费未承保,开单一件即可获得10%加佣"/>
        <s v="淮南本部王毅铭伙伴5.1-5.10预收价值保费31，首周预收3000P件数0件，预收拟加佣0元。温馨提示，保单需10日（含）前承保，目前还有0价值保费未承保,开单一件即可获得10%加佣"/>
        <s v="凤台花志勇主管5.1-5.10预收价值保费28，首周预收3000P件数0件，预收拟加佣0元。温馨提示，保单需10日（含）前承保，目前还有0价值保费未承保,开单一件即可获得10%加佣"/>
        <s v="淮南本部张秀丽伙伴5.1-5.10预收价值保费14，首周预收3000P件数0件，预收拟加佣0元。温馨提示，保单需10日（含）前承保，目前还有0价值保费未承保,开单一件即可获得10%加佣"/>
        <s v="凤台张文粉伙伴5.1-5.10预收价值保费5，首周预收3000P件数0件，预收拟加佣0元。温馨提示，保单需10日（含）前承保，目前还有0价值保费未承保,开单一件即可获得10%加佣"/>
        <s v="凤台吴在芝伙伴5.1-5.10预收价值保费0，首周预收3000P件数0件，预收拟加佣0元。温馨提示，保单需10日（含）前承保，目前还有0价值保费未承保,开单一件即可获得10%加佣"/>
        <s v="凤台储丽娜伙伴5.1-5.10预收价值保费0，首周预收3000P件数0件，预收拟加佣0元。温馨提示，保单需10日（含）前承保，目前还有0价值保费未承保,开单一件即可获得10%加佣"/>
        <s v="淮南本部张少琴伙伴5.1-5.10预收价值保费0，首周预收3000P件数0件，预收拟加佣0元。温馨提示，保单需10日（含）前承保，目前还有0价值保费未承保,开单一件即可获得10%加佣"/>
        <s v="凤台马保伙伴5.1-5.10预收价值保费0，首周预收3000P件数0件，预收拟加佣0元。温馨提示，保单需10日（含）前承保，目前还有0价值保费未承保,开单一件即可获得10%加佣"/>
        <s v="凤台任永生伙伴5.1-5.10预收价值保费0，首周预收3000P件数0件，预收拟加佣0元。温馨提示，保单需10日（含）前承保，目前还有0价值保费未承保,开单一件即可获得10%加佣"/>
        <s v="凤台李廷廷伙伴5.1-5.10预收价值保费0，首周预收3000P件数0件，预收拟加佣0元。温馨提示，保单需10日（含）前承保，目前还有0价值保费未承保,开单一件即可获得10%加佣"/>
        <s v="凤台谢丽伙伴5.1-5.10预收价值保费0，首周预收3000P件数0件，预收拟加佣0元。温馨提示，保单需10日（含）前承保，目前还有0价值保费未承保,开单一件即可获得10%加佣"/>
        <s v="淮南本部王思齐伙伴5.1-5.10预收价值保费0，首周预收3000P件数0件，预收拟加佣0元。温馨提示，保单需10日（含）前承保，目前还有0价值保费未承保,开单一件即可获得10%加佣"/>
        <s v="凤台钮芳伙伴5.1-5.10预收价值保费0，首周预收3000P件数0件，预收拟加佣0元。温馨提示，保单需10日（含）前承保，目前还有0价值保费未承保,开单一件即可获得10%加佣"/>
        <s v="淮南本部杨海山伙伴5.1-5.10预收价值保费0，首周预收3000P件数0件，预收拟加佣0元。温馨提示，保单需10日（含）前承保，目前还有0价值保费未承保,开单一件即可获得10%加佣"/>
        <s v="谢家集庄山菊伙伴5.1-5.10预收价值保费0，首周预收3000P件数0件，预收拟加佣0元。温馨提示，保单需10日（含）前承保，目前还有0价值保费未承保,开单一件即可获得10%加佣"/>
        <s v="淮南本部陈利媛伙伴5.1-5.10预收价值保费0，首周预收3000P件数0件，预收拟加佣0元。温馨提示，保单需10日（含）前承保，目前还有0价值保费未承保,开单一件即可获得10%加佣"/>
        <s v="谢家集蔡瑞群伙伴5.1-5.10预收价值保费0，首周预收3000P件数0件，预收拟加佣0元。温馨提示，保单需10日（含）前承保，目前还有0价值保费未承保,开单一件即可获得10%加佣"/>
        <s v="淮南本部张洪娟伙伴5.1-5.10预收价值保费0，首周预收3000P件数0件，预收拟加佣0元。温馨提示，保单需10日（含）前承保，目前还有0价值保费未承保,开单一件即可获得10%加佣"/>
        <s v="淮南本部徐贺伙伴5.1-5.10预收价值保费0，首周预收3000P件数0件，预收拟加佣0元。温馨提示，保单需10日（含）前承保，目前还有0价值保费未承保,开单一件即可获得10%加佣"/>
        <s v="谢家集单红侠伙伴5.1-5.10预收价值保费0，首周预收3000P件数0件，预收拟加佣0元。温馨提示，保单需10日（含）前承保，目前还有0价值保费未承保,开单一件即可获得10%加佣"/>
        <s v="淮南本部丁静伙伴5.1-5.10预收价值保费0，首周预收3000P件数0件，预收拟加佣0元。温馨提示，保单需10日（含）前承保，目前还有0价值保费未承保,开单一件即可获得10%加佣"/>
        <s v="淮南本部王芸芸伙伴5.1-5.10预收价值保费0，首周预收3000P件数0件，预收拟加佣0元。温馨提示，保单需10日（含）前承保，目前还有0价值保费未承保,开单一件即可获得10%加佣"/>
        <s v="谢家集陈连梅伙伴5.1-5.10预收价值保费0，首周预收3000P件数0件，预收拟加佣0元。温馨提示，保单需10日（含）前承保，目前还有0价值保费未承保,开单一件即可获得10%加佣"/>
        <s v="凤台缪国龙伙伴5.1-5.10预收价值保费0，首周预收3000P件数0件，预收拟加佣0元。温馨提示，保单需10日（含）前承保，目前还有0价值保费未承保,开单一件即可获得10%加佣"/>
        <s v="凤台王平伙伴5.1-5.10预收价值保费0，首周预收3000P件数0件，预收拟加佣0元。温馨提示，保单需10日（含）前承保，目前还有0价值保费未承保,开单一件即可获得10%加佣"/>
        <s v="谢家集王花花伙伴5.1-5.10预收价值保费0，首周预收3000P件数0件，预收拟加佣0元。温馨提示，保单需10日（含）前承保，目前还有0价值保费未承保,开单一件即可获得10%加佣"/>
        <s v="谢家集杨晶晶伙伴5.1-5.10预收价值保费0，首周预收3000P件数0件，预收拟加佣0元。温馨提示，保单需10日（含）前承保，目前还有0价值保费未承保,开单一件即可获得10%加佣"/>
        <s v="谢家集郁银芳伙伴5.1-5.10预收价值保费0，首周预收3000P件数0件，预收拟加佣0元。温馨提示，保单需10日（含）前承保，目前还有0价值保费未承保,开单一件即可获得10%加佣"/>
        <s v="淮南本部陈雯雯伙伴5.1-5.10预收价值保费0，首周预收3000P件数0件，预收拟加佣0元。温馨提示，保单需10日（含）前承保，目前还有0价值保费未承保,开单一件即可获得10%加佣"/>
        <s v="淮南本部褚恋恋伙伴5.1-5.10预收价值保费0，首周预收3000P件数0件，预收拟加佣0元。温馨提示，保单需10日（含）前承保，目前还有0价值保费未承保,开单一件即可获得10%加佣"/>
        <s v="凤台柏祖林伙伴5.1-5.10预收价值保费0，首周预收3000P件数0件，预收拟加佣0元。温馨提示，保单需10日（含）前承保，目前还有0价值保费未承保,开单一件即可获得10%加佣"/>
        <s v="凤台刘艳伙伴5.1-5.10预收价值保费0，首周预收3000P件数0件，预收拟加佣0元。温馨提示，保单需10日（含）前承保，目前还有0价值保费未承保,开单一件即可获得10%加佣"/>
        <s v="谢家集张君志伙伴5.1-5.10预收价值保费0，首周预收3000P件数0件，预收拟加佣0元。温馨提示，保单需10日（含）前承保，目前还有0价值保费未承保,开单一件即可获得10%加佣"/>
        <s v="谢家集王梅芝伙伴5.1-5.10预收价值保费0，首周预收3000P件数0件，预收拟加佣0元。温馨提示，保单需10日（含）前承保，目前还有0价值保费未承保,开单一件即可获得10%加佣"/>
        <s v="凤台王朋伙伴5.1-5.10预收价值保费0，首周预收3000P件数0件，预收拟加佣0元。温馨提示，保单需10日（含）前承保，目前还有0价值保费未承保,开单一件即可获得10%加佣"/>
        <s v="凤台李芳芳伙伴5.1-5.10预收价值保费0，首周预收3000P件数0件，预收拟加佣0元。温馨提示，保单需10日（含）前承保，目前还有0价值保费未承保,开单一件即可获得10%加佣"/>
        <s v="淮南本部程娇娇伙伴5.1-5.10预收价值保费0，首周预收3000P件数0件，预收拟加佣0元。温馨提示，保单需10日（含）前承保，目前还有0价值保费未承保,开单一件即可获得10%加佣"/>
        <s v="谢家集陈晓艳伙伴5.1-5.10预收价值保费0，首周预收3000P件数0件，预收拟加佣0元。温馨提示，保单需10日（含）前承保，目前还有0价值保费未承保,开单一件即可获得10%加佣"/>
        <s v="凤台郑皓月伙伴5.1-5.10预收价值保费0，首周预收3000P件数0件，预收拟加佣0元。温馨提示，保单需10日（含）前承保，目前还有0价值保费未承保,开单一件即可获得10%加佣"/>
        <s v="谢家集陶松梅伙伴5.1-5.10预收价值保费0，首周预收3000P件数0件，预收拟加佣0元。温馨提示，保单需10日（含）前承保，目前还有0价值保费未承保,开单一件即可获得10%加佣"/>
        <s v="凤台刘杰伙伴5.1-5.10预收价值保费0，首周预收3000P件数0件，预收拟加佣0元。温馨提示，保单需10日（含）前承保，目前还有0价值保费未承保,开单一件即可获得10%加佣"/>
        <s v="凤台黄玲伙伴5.1-5.10预收价值保费0，首周预收3000P件数0件，预收拟加佣0元。温馨提示，保单需10日（含）前承保，目前还有0价值保费未承保,开单一件即可获得10%加佣"/>
        <s v="谢家集刘锐伙伴5.1-5.10预收价值保费3478，首周预收3000P件数1件，预收拟加佣348元。温馨提示，保单需10日（含）前承保，目前还有3478价值保费未承保,距离20%提档差距2件"/>
        <s v="淮南本部姚守四伙伴5.1-5.10预收价值保费0，首周预收3000P件数0件，预收拟加佣0元。温馨提示，保单需10日（含）前承保，目前还有0价值保费未承保,开单一件即可获得10%加佣"/>
        <s v="淮南本部杨积莹伙伴5.1-5.10预收价值保费0，首周预收3000P件数0件，预收拟加佣0元。温馨提示，保单需10日（含）前承保，目前还有0价值保费未承保,开单一件即可获得10%加佣"/>
        <s v="淮南本部程单单伙伴5.1-5.10预收价值保费0，首周预收3000P件数0件，预收拟加佣0元。温馨提示，保单需10日（含）前承保，目前还有0价值保费未承保,开单一件即可获得10%加佣"/>
        <s v="淮南本部夏海力伙伴5.1-5.10预收价值保费0，首周预收3000P件数0件，预收拟加佣0元。温馨提示，保单需10日（含）前承保，目前还有0价值保费未承保,开单一件即可获得10%加佣"/>
        <s v="淮南本部胡美华伙伴5.1-5.10预收价值保费0，首周预收3000P件数0件，预收拟加佣0元。温馨提示，保单需10日（含）前承保，目前还有0价值保费未承保,开单一件即可获得10%加佣"/>
        <s v="淮南本部姚昌梅伙伴5.1-5.10预收价值保费0，首周预收3000P件数0件，预收拟加佣0元。温馨提示，保单需10日（含）前承保，目前还有0价值保费未承保,开单一件即可获得10%加佣"/>
        <s v="淮南本部沈金悦伙伴5.1-5.10预收价值保费0，首周预收3000P件数0件，预收拟加佣0元。温馨提示，保单需10日（含）前承保，目前还有0价值保费未承保,开单一件即可获得10%加佣"/>
        <s v="谢家集丁杰伙伴5.1-5.10预收价值保费0，首周预收3000P件数0件，预收拟加佣0元。温馨提示，保单需10日（含）前承保，目前还有0价值保费未承保,开单一件即可获得10%加佣"/>
        <s v="淮南本部李洋伙伴5.1-5.10预收价值保费0，首周预收3000P件数0件，预收拟加佣0元。温馨提示，保单需10日（含）前承保，目前还有0价值保费未承保,开单一件即可获得10%加佣"/>
        <s v="淮南本部王静伙伴5.1-5.10预收价值保费0，首周预收3000P件数0件，预收拟加佣0元。温馨提示，保单需10日（含）前承保，目前还有0价值保费未承保,开单一件即可获得10%加佣"/>
        <s v="淮南本部陈家甫伙伴5.1-5.10预收价值保费0，首周预收3000P件数0件，预收拟加佣0元。温馨提示，保单需10日（含）前承保，目前还有0价值保费未承保,开单一件即可获得10%加佣"/>
        <s v="凤台李悦伙伴5.1-5.10预收价值保费0，首周预收3000P件数0件，预收拟加佣0元。温馨提示，保单需10日（含）前承保，目前还有0价值保费未承保,开单一件即可获得10%加佣"/>
        <s v="淮南本部李玲俐伙伴5.1-5.10预收价值保费0，首周预收3000P件数0件，预收拟加佣0元。温馨提示，保单需10日（含）前承保，目前还有0价值保费未承保,开单一件即可获得10%加佣"/>
        <s v="谢家集胡文卿伙伴5.1-5.10预收价值保费0，首周预收3000P件数0件，预收拟加佣0元。温馨提示，保单需10日（含）前承保，目前还有0价值保费未承保,开单一件即可获得10%加佣"/>
        <s v="淮南本部段艳勤伙伴5.1-5.10预收价值保费0，首周预收3000P件数0件，预收拟加佣0元。温馨提示，保单需10日（含）前承保，目前还有0价值保费未承保,开单一件即可获得10%加佣"/>
        <s v="淮南本部程晋远伙伴5.1-5.10预收价值保费0，首周预收3000P件数0件，预收拟加佣0元。温馨提示，保单需10日（含）前承保，目前还有0价值保费未承保,开单一件即可获得10%加佣"/>
        <s v="淮南本部陈莎莎伙伴5.1-5.10预收价值保费0，首周预收3000P件数0件，预收拟加佣0元。温馨提示，保单需10日（含）前承保，目前还有0价值保费未承保,开单一件即可获得10%加佣"/>
        <s v="淮南本部孙艳霞伙伴5.1-5.10预收价值保费0，首周预收3000P件数0件，预收拟加佣0元。温馨提示，保单需10日（含）前承保，目前还有0价值保费未承保,开单一件即可获得10%加佣"/>
        <s v="淮南本部徐基云伙伴5.1-5.10预收价值保费0，首周预收3000P件数0件，预收拟加佣0元。温馨提示，保单需10日（含）前承保，目前还有0价值保费未承保,开单一件即可获得10%加佣"/>
        <s v="淮南本部张辉伙伴5.1-5.10预收价值保费0，首周预收3000P件数0件，预收拟加佣0元。温馨提示，保单需10日（含）前承保，目前还有0价值保费未承保,开单一件即可获得10%加佣"/>
        <s v="淮南本部李敬腾伙伴5.1-5.10预收价值保费0，首周预收3000P件数0件，预收拟加佣0元。温馨提示，保单需10日（含）前承保，目前还有0价值保费未承保,开单一件即可获得10%加佣"/>
        <s v="凤台刘金金伙伴5.1-5.10预收价值保费0，首周预收3000P件数0件，预收拟加佣0元。温馨提示，保单需10日（含）前承保，目前还有0价值保费未承保,开单一件即可获得10%加佣"/>
        <s v="凤台段传颖伙伴5.1-5.10预收价值保费0，首周预收3000P件数0件，预收拟加佣0元。温馨提示，保单需10日（含）前承保，目前还有0价值保费未承保,开单一件即可获得10%加佣"/>
        <s v="凤台胡奇珍伙伴5.1-5.10预收价值保费0，首周预收3000P件数0件，预收拟加佣0元。温馨提示，保单需10日（含）前承保，目前还有0价值保费未承保,开单一件即可获得10%加佣"/>
        <s v="淮南本部徐梅伙伴5.1-5.10预收价值保费0，首周预收3000P件数0件，预收拟加佣0元。温馨提示，保单需10日（含）前承保，目前还有0价值保费未承保,开单一件即可获得10%加佣"/>
        <s v="凤台吴妮妮伙伴5.1-5.10预收价值保费0，首周预收3000P件数0件，预收拟加佣0元。温馨提示，保单需10日（含）前承保，目前还有0价值保费未承保,开单一件即可获得10%加佣"/>
        <s v="凤台信萍伙伴5.1-5.10预收价值保费0，首周预收3000P件数0件，预收拟加佣0元。温馨提示，保单需10日（含）前承保，目前还有0价值保费未承保,开单一件即可获得10%加佣"/>
        <s v="淮南本部刘鹤伙伴5.1-5.10预收价值保费0，首周预收3000P件数0件，预收拟加佣0元。温馨提示，保单需10日（含）前承保，目前还有0价值保费未承保,开单一件即可获得10%加佣"/>
        <s v="谢家集侯素良伙伴5.1-5.10预收价值保费0，首周预收3000P件数0件，预收拟加佣0元。温馨提示，保单需10日（含）前承保，目前还有0价值保费未承保,开单一件即可获得10%加佣"/>
        <s v="淮南本部魏娟伙伴5.1-5.10预收价值保费0，首周预收3000P件数0件，预收拟加佣0元。温馨提示，保单需10日（含）前承保，目前还有0价值保费未承保,开单一件即可获得10%加佣"/>
        <s v="淮南本部郑悦伙伴5.1-5.10预收价值保费0，首周预收3000P件数0件，预收拟加佣0元。温馨提示，保单需10日（含）前承保，目前还有0价值保费未承保,开单一件即可获得10%加佣"/>
        <s v="淮南本部程路路伙伴5.1-5.10预收价值保费0，首周预收3000P件数0件，预收拟加佣0元。温馨提示，保单需10日（含）前承保，目前还有0价值保费未承保,开单一件即可获得10%加佣"/>
        <s v="谢家集刘金萍伙伴5.1-5.10预收价值保费0，首周预收3000P件数0件，预收拟加佣0元。温馨提示，保单需10日（含）前承保，目前还有0价值保费未承保,开单一件即可获得10%加佣"/>
        <s v="凤台徐杏伙伴5.1-5.10预收价值保费0，首周预收3000P件数0件，预收拟加佣0元。温馨提示，保单需10日（含）前承保，目前还有0价值保费未承保,开单一件即可获得10%加佣"/>
        <s v="淮南本部张兴珍伙伴5.1-5.10预收价值保费0，首周预收3000P件数0件，预收拟加佣0元。温馨提示，保单需10日（含）前承保，目前还有0价值保费未承保,开单一件即可获得10%加佣"/>
        <s v="谢家集夏继梅伙伴5.1-5.10预收价值保费0，首周预收3000P件数0件，预收拟加佣0元。温馨提示，保单需10日（含）前承保，目前还有0价值保费未承保,开单一件即可获得10%加佣"/>
        <s v="淮南本部褚孝妹伙伴5.1-5.10预收价值保费0，首周预收3000P件数0件，预收拟加佣0元。温馨提示，保单需10日（含）前承保，目前还有0价值保费未承保,开单一件即可获得10%加佣"/>
        <s v="凤台魏茂盛伙伴5.1-5.10预收价值保费0，首周预收3000P件数0件，预收拟加佣0元。温馨提示，保单需10日（含）前承保，目前还有0价值保费未承保,开单一件即可获得10%加佣"/>
        <s v="凤台高秀梅伙伴5.1-5.10预收价值保费0，首周预收3000P件数0件，预收拟加佣0元。温馨提示，保单需10日（含）前承保，目前还有0价值保费未承保,开单一件即可获得10%加佣"/>
        <s v="凤台万其红伙伴5.1-5.10预收价值保费0，首周预收3000P件数0件，预收拟加佣0元。温馨提示，保单需10日（含）前承保，目前还有0价值保费未承保,开单一件即可获得10%加佣"/>
        <s v="淮南本部杨洋伙伴5.1-5.10预收价值保费0，首周预收3000P件数0件，预收拟加佣0元。温馨提示，保单需10日（含）前承保，目前还有0价值保费未承保,开单一件即可获得10%加佣"/>
        <s v="淮南本部曹素光伙伴5.1-5.10预收价值保费0，首周预收3000P件数0件，预收拟加佣0元。温馨提示，保单需10日（含）前承保，目前还有0价值保费未承保,开单一件即可获得10%加佣"/>
        <s v="淮南本部谷玲伙伴5.1-5.10预收价值保费0，首周预收3000P件数0件，预收拟加佣0元。温馨提示，保单需10日（含）前承保，目前还有0价值保费未承保,开单一件即可获得10%加佣"/>
        <s v="凤台米莲伙伴5.1-5.10预收价值保费0，首周预收3000P件数0件，预收拟加佣0元。温馨提示，保单需10日（含）前承保，目前还有0价值保费未承保,开单一件即可获得10%加佣"/>
        <s v="凤台胡程程伙伴5.1-5.10预收价值保费0，首周预收3000P件数0件，预收拟加佣0元。温馨提示，保单需10日（含）前承保，目前还有0价值保费未承保,开单一件即可获得10%加佣"/>
        <s v="淮南本部刘卫国伙伴5.1-5.10预收价值保费0，首周预收3000P件数0件，预收拟加佣0元。温馨提示，保单需10日（含）前承保，目前还有0价值保费未承保,开单一件即可获得10%加佣"/>
        <s v="淮南本部周蓓伙伴5.1-5.10预收价值保费0，首周预收3000P件数0件，预收拟加佣0元。温馨提示，保单需10日（含）前承保，目前还有0价值保费未承保,开单一件即可获得10%加佣"/>
        <s v="凤台王秀芹伙伴5.1-5.10预收价值保费0，首周预收3000P件数0件，预收拟加佣0元。温馨提示，保单需10日（含）前承保，目前还有0价值保费未承保,开单一件即可获得10%加佣"/>
        <s v="凤台彭丽杰伙伴5.1-5.10预收价值保费0，首周预收3000P件数0件，预收拟加佣0元。温馨提示，保单需10日（含）前承保，目前还有0价值保费未承保,开单一件即可获得10%加佣"/>
        <s v="凤台陈尚伙伴5.1-5.10预收价值保费0，首周预收3000P件数0件，预收拟加佣0元。温馨提示，保单需10日（含）前承保，目前还有0价值保费未承保,开单一件即可获得10%加佣"/>
        <s v="凤台陈斌伙伴5.1-5.10预收价值保费0，首周预收3000P件数0件，预收拟加佣0元。温馨提示，保单需10日（含）前承保，目前还有0价值保费未承保,开单一件即可获得10%加佣"/>
        <s v="凤台叶艳伙伴5.1-5.10预收价值保费0，首周预收3000P件数0件，预收拟加佣0元。温馨提示，保单需10日（含）前承保，目前还有0价值保费未承保,开单一件即可获得10%加佣"/>
        <s v="淮南本部王宏伙伴5.1-5.10预收价值保费0，首周预收3000P件数0件，预收拟加佣0元。温馨提示，保单需10日（含）前承保，目前还有0价值保费未承保,开单一件即可获得10%加佣"/>
        <s v="凤台高岑伙伴5.1-5.10预收价值保费0，首周预收3000P件数0件，预收拟加佣0元。温馨提示，保单需10日（含）前承保，目前还有0价值保费未承保,开单一件即可获得10%加佣"/>
        <s v="凤台刘庆楠伙伴5.1-5.10预收价值保费0，首周预收3000P件数0件，预收拟加佣0元。温馨提示，保单需10日（含）前承保，目前还有0价值保费未承保,开单一件即可获得10%加佣"/>
        <s v="凤台高菊秋伙伴5.1-5.10预收价值保费0，首周预收3000P件数0件，预收拟加佣0元。温馨提示，保单需10日（含）前承保，目前还有0价值保费未承保,开单一件即可获得10%加佣"/>
        <s v="凤台吕荣刚伙伴5.1-5.10预收价值保费0，首周预收3000P件数0件，预收拟加佣0元。温馨提示，保单需10日（含）前承保，目前还有0价值保费未承保,开单一件即可获得10%加佣"/>
        <s v="凤台陈利娜伙伴5.1-5.10预收价值保费0，首周预收3000P件数0件，预收拟加佣0元。温馨提示，保单需10日（含）前承保，目前还有0价值保费未承保,开单一件即可获得10%加佣"/>
        <s v="凤台冯春莲伙伴5.1-5.10预收价值保费0，首周预收3000P件数0件，预收拟加佣0元。温馨提示，保单需10日（含）前承保，目前还有0价值保费未承保,开单一件即可获得10%加佣"/>
        <s v="凤台潘明月伙伴5.1-5.10预收价值保费0，首周预收3000P件数0件，预收拟加佣0元。温馨提示，保单需10日（含）前承保，目前还有0价值保费未承保,开单一件即可获得10%加佣"/>
        <s v="凤台谢齐安伙伴5.1-5.10预收价值保费0，首周预收3000P件数0件，预收拟加佣0元。温馨提示，保单需10日（含）前承保，目前还有0价值保费未承保,开单一件即可获得10%加佣"/>
        <s v="淮南本部范春霞伙伴5.1-5.10预收价值保费0，首周预收3000P件数0件，预收拟加佣0元。温馨提示，保单需10日（含）前承保，目前还有0价值保费未承保,开单一件即可获得10%加佣"/>
        <s v="淮南本部陶莎伙伴5.1-5.10预收价值保费0，首周预收3000P件数0件，预收拟加佣0元。温馨提示，保单需10日（含）前承保，目前还有0价值保费未承保,开单一件即可获得10%加佣"/>
        <s v="淮南本部刘翠伙伴5.1-5.10预收价值保费0，首周预收3000P件数0件，预收拟加佣0元。温馨提示，保单需10日（含）前承保，目前还有0价值保费未承保,开单一件即可获得10%加佣"/>
        <s v="谢家集陈苗苗伙伴5.1-5.10预收价值保费0，首周预收3000P件数0件，预收拟加佣0元。温馨提示，保单需10日（含）前承保，目前还有0价值保费未承保,开单一件即可获得10%加佣"/>
        <s v="凤台石秀凤伙伴5.1-5.10预收价值保费0，首周预收3000P件数0件，预收拟加佣0元。温馨提示，保单需10日（含）前承保，目前还有0价值保费未承保,开单一件即可获得10%加佣"/>
        <s v="凤台叶文兰伙伴5.1-5.10预收价值保费0，首周预收3000P件数0件，预收拟加佣0元。温馨提示，保单需10日（含）前承保，目前还有0价值保费未承保,开单一件即可获得10%加佣"/>
        <s v="凤台陈利萍伙伴5.1-5.10预收价值保费0，首周预收3000P件数0件，预收拟加佣0元。温馨提示，保单需10日（含）前承保，目前还有0价值保费未承保,开单一件即可获得10%加佣"/>
        <s v="淮南本部陈艳伙伴5.1-5.10预收价值保费0，首周预收3000P件数0件，预收拟加佣0元。温馨提示，保单需10日（含）前承保，目前还有0价值保费未承保,开单一件即可获得10%加佣"/>
        <s v="凤台孙艳伙伴5.1-5.10预收价值保费0，首周预收3000P件数0件，预收拟加佣0元。温馨提示，保单需10日（含）前承保，目前还有0价值保费未承保,开单一件即可获得10%加佣"/>
        <s v="淮南本部高文龙伙伴5.1-5.10预收价值保费0，首周预收3000P件数0件，预收拟加佣0元。温馨提示，保单需10日（含）前承保，目前还有0价值保费未承保,开单一件即可获得10%加佣"/>
        <s v="淮南本部王芝斌伙伴5.1-5.10预收价值保费0，首周预收3000P件数0件，预收拟加佣0元。温馨提示，保单需10日（含）前承保，目前还有0价值保费未承保,开单一件即可获得10%加佣"/>
        <s v="淮南本部宋业凤主管5.1-5.10预收价值保费0，首周预收3000P件数0件，预收拟加佣0元。温馨提示，保单需10日（含）前承保，目前还有0价值保费未承保,开单一件即可获得10%加佣"/>
        <s v="淮南本部夏大鹏伙伴5.1-5.10预收价值保费0，首周预收3000P件数0件，预收拟加佣0元。温馨提示，保单需10日（含）前承保，目前还有0价值保费未承保,开单一件即可获得10%加佣"/>
        <s v="谢家集祁玉苗伙伴5.1-5.10预收价值保费0，首周预收3000P件数0件，预收拟加佣0元。温馨提示，保单需10日（含）前承保，目前还有0价值保费未承保,开单一件即可获得10%加佣"/>
        <s v="淮南本部胡成梅伙伴5.1-5.10预收价值保费0，首周预收3000P件数0件，预收拟加佣0元。温馨提示，保单需10日（含）前承保，目前还有0价值保费未承保,开单一件即可获得10%加佣"/>
        <s v="谢家集李萍伙伴5.1-5.10预收价值保费0，首周预收3000P件数0件，预收拟加佣0元。温馨提示，保单需10日（含）前承保，目前还有0价值保费未承保,开单一件即可获得10%加佣"/>
        <s v="凤台段军平伙伴5.1-5.10预收价值保费0，首周预收3000P件数0件，预收拟加佣0元。温馨提示，保单需10日（含）前承保，目前还有0价值保费未承保,开单一件即可获得10%加佣"/>
        <s v="淮南本部曹建航伙伴5.1-5.10预收价值保费0，首周预收3000P件数0件，预收拟加佣0元。温馨提示，保单需10日（含）前承保，目前还有0价值保费未承保,开单一件即可获得10%加佣"/>
        <s v="淮南本部王沁主管5.1-5.10预收价值保费0，首周预收3000P件数0件，预收拟加佣0元。温馨提示，保单需10日（含）前承保，目前还有0价值保费未承保,开单一件即可获得10%加佣"/>
        <s v="凤台王克侠伙伴5.1-5.10预收价值保费0，首周预收3000P件数0件，预收拟加佣0元。温馨提示，保单需10日（含）前承保，目前还有0价值保费未承保,开单一件即可获得10%加佣"/>
        <s v="凤台李芹伙伴5.1-5.10预收价值保费0，首周预收3000P件数0件，预收拟加佣0元。温馨提示，保单需10日（含）前承保，目前还有0价值保费未承保,开单一件即可获得10%加佣"/>
        <s v="淮南本部钟秀丽伙伴5.1-5.10预收价值保费0，首周预收3000P件数0件，预收拟加佣0元。温馨提示，保单需10日（含）前承保，目前还有0价值保费未承保,开单一件即可获得10%加佣"/>
        <s v="淮南本部张萍伙伴5.1-5.10预收价值保费0，首周预收3000P件数0件，预收拟加佣0元。温馨提示，保单需10日（含）前承保，目前还有0价值保费未承保,开单一件即可获得10%加佣"/>
        <s v="凤台荣树红伙伴5.1-5.10预收价值保费0，首周预收3000P件数0件，预收拟加佣0元。温馨提示，保单需10日（含）前承保，目前还有0价值保费未承保,开单一件即可获得10%加佣"/>
        <s v="凤台宋德永伙伴5.1-5.10预收价值保费0，首周预收3000P件数0件，预收拟加佣0元。温馨提示，保单需10日（含）前承保，目前还有0价值保费未承保,开单一件即可获得10%加佣"/>
        <s v="淮南本部宋芳丽伙伴5.1-5.10预收价值保费0，首周预收3000P件数0件，预收拟加佣0元。温馨提示，保单需10日（含）前承保，目前还有0价值保费未承保,开单一件即可获得10%加佣"/>
        <s v="淮南本部焦玉荣伙伴5.1-5.10预收价值保费0，首周预收3000P件数0件，预收拟加佣0元。温馨提示，保单需10日（含）前承保，目前还有0价值保费未承保,开单一件即可获得10%加佣"/>
        <s v="凤台刘盼盼伙伴5.1-5.10预收价值保费0，首周预收3000P件数0件，预收拟加佣0元。温馨提示，保单需10日（含）前承保，目前还有0价值保费未承保,开单一件即可获得10%加佣"/>
        <s v="凤台张玲伙伴5.1-5.10预收价值保费0，首周预收3000P件数0件，预收拟加佣0元。温馨提示，保单需10日（含）前承保，目前还有0价值保费未承保,开单一件即可获得10%加佣"/>
        <s v="谢家集吴怀兰伙伴5.1-5.10预收价值保费0，首周预收3000P件数0件，预收拟加佣0元。温馨提示，保单需10日（含）前承保，目前还有0价值保费未承保,开单一件即可获得10%加佣"/>
        <s v="谢家集汪嘉维伙伴5.1-5.10预收价值保费0，首周预收3000P件数0件，预收拟加佣0元。温馨提示，保单需10日（含）前承保，目前还有0价值保费未承保,开单一件即可获得10%加佣"/>
        <s v="淮南本部宫丽曼伙伴5.1-5.10预收价值保费0，首周预收3000P件数0件，预收拟加佣0元。温馨提示，保单需10日（含）前承保，目前还有0价值保费未承保,开单一件即可获得10%加佣"/>
        <s v="谢家集王凤伙伴5.1-5.10预收价值保费0，首周预收3000P件数0件，预收拟加佣0元。温馨提示，保单需10日（含）前承保，目前还有0价值保费未承保,开单一件即可获得10%加佣"/>
        <s v="淮南本部谢雨晨伙伴5.1-5.10预收价值保费0，首周预收3000P件数0件，预收拟加佣0元。温馨提示，保单需10日（含）前承保，目前还有0价值保费未承保,开单一件即可获得10%加佣"/>
        <s v="凤台袁萍萍伙伴5.1-5.10预收价值保费0，首周预收3000P件数0件，预收拟加佣0元。温馨提示，保单需10日（含）前承保，目前还有0价值保费未承保,开单一件即可获得10%加佣"/>
        <s v="淮南本部聂慧慧伙伴5.1-5.10预收价值保费0，首周预收3000P件数0件，预收拟加佣0元。温馨提示，保单需10日（含）前承保，目前还有0价值保费未承保,开单一件即可获得10%加佣"/>
        <s v="谢家集周元元伙伴5.1-5.10预收价值保费0，首周预收3000P件数0件，预收拟加佣0元。温馨提示，保单需10日（含）前承保，目前还有0价值保费未承保,开单一件即可获得10%加佣"/>
        <s v="凤台李萍伙伴5.1-5.10预收价值保费0，首周预收3000P件数0件，预收拟加佣0元。温馨提示，保单需10日（含）前承保，目前还有0价值保费未承保,开单一件即可获得10%加佣"/>
        <s v="淮南本部高媛伙伴5.1-5.10预收价值保费0，首周预收3000P件数0件，预收拟加佣0元。温馨提示，保单需10日（含）前承保，目前还有0价值保费未承保,开单一件即可获得10%加佣"/>
        <s v="淮南本部王雪伙伴5.1-5.10预收价值保费0，首周预收3000P件数0件，预收拟加佣0元。温馨提示，保单需10日（含）前承保，目前还有0价值保费未承保,开单一件即可获得10%加佣"/>
        <s v="凤台孙漫伙伴5.1-5.10预收价值保费0，首周预收3000P件数0件，预收拟加佣0元。温馨提示，保单需10日（含）前承保，目前还有0价值保费未承保,开单一件即可获得10%加佣"/>
        <s v="谢家集黄月媛伙伴5.1-5.10预收价值保费0，首周预收3000P件数0件，预收拟加佣0元。温馨提示，保单需10日（含）前承保，目前还有0价值保费未承保,开单一件即可获得10%加佣"/>
        <s v="淮南本部程业云伙伴5.1-5.10预收价值保费0，首周预收3000P件数0件，预收拟加佣0元。温馨提示，保单需10日（含）前承保，目前还有0价值保费未承保,开单一件即可获得10%加佣"/>
        <s v="谢家集倪小平伙伴5.1-5.10预收价值保费0，首周预收3000P件数0件，预收拟加佣0元。温馨提示，保单需10日（含）前承保，目前还有0价值保费未承保,开单一件即可获得10%加佣"/>
        <s v="谢家集樊荣伙伴5.1-5.10预收价值保费0，首周预收3000P件数0件，预收拟加佣0元。温馨提示，保单需10日（含）前承保，目前还有0价值保费未承保,开单一件即可获得10%加佣"/>
        <s v="凤台赵肖伙伴5.1-5.10预收价值保费0，首周预收3000P件数0件，预收拟加佣0元。温馨提示，保单需10日（含）前承保，目前还有0价值保费未承保,开单一件即可获得10%加佣"/>
        <s v="淮南本部刘红梅伙伴5.1-5.10预收价值保费0，首周预收3000P件数0件，预收拟加佣0元。温馨提示，保单需10日（含）前承保，目前还有0价值保费未承保,开单一件即可获得10%加佣"/>
        <s v="淮南本部陈静伙伴5.1-5.10预收价值保费0，首周预收3000P件数0件，预收拟加佣0元。温馨提示，保单需10日（含）前承保，目前还有0价值保费未承保,开单一件即可获得10%加佣"/>
        <s v="淮南本部王小燕伙伴5.1-5.10预收价值保费0，首周预收3000P件数0件，预收拟加佣0元。温馨提示，保单需10日（含）前承保，目前还有0价值保费未承保,开单一件即可获得10%加佣"/>
        <s v="凤台刘春艳伙伴5.1-5.10预收价值保费0，首周预收3000P件数0件，预收拟加佣0元。温馨提示，保单需10日（含）前承保，目前还有0价值保费未承保,开单一件即可获得10%加佣"/>
        <s v="凤台王洁伙伴5.1-5.10预收价值保费0，首周预收3000P件数0件，预收拟加佣0元。温馨提示，保单需10日（含）前承保，目前还有0价值保费未承保,开单一件即可获得10%加佣"/>
        <s v="淮南本部王宛宛伙伴5.1-5.10预收价值保费0，首周预收3000P件数0件，预收拟加佣0元。温馨提示，保单需10日（含）前承保，目前还有0价值保费未承保,开单一件即可获得10%加佣"/>
        <s v="谢家集魏春生伙伴5.1-5.10预收价值保费0，首周预收3000P件数0件，预收拟加佣0元。温馨提示，保单需10日（含）前承保，目前还有0价值保费未承保,开单一件即可获得10%加佣"/>
        <s v="凤台梁栋伙伴5.1-5.10预收价值保费0，首周预收3000P件数0件，预收拟加佣0元。温馨提示，保单需10日（含）前承保，目前还有0价值保费未承保,开单一件即可获得10%加佣"/>
        <s v="凤台荣向芹伙伴5.1-5.10预收价值保费0，首周预收3000P件数0件，预收拟加佣0元。温馨提示，保单需10日（含）前承保，目前还有0价值保费未承保,开单一件即可获得10%加佣"/>
        <s v="谢家集孙传宏伙伴5.1-5.10预收价值保费0，首周预收3000P件数0件，预收拟加佣0元。温馨提示，保单需10日（含）前承保，目前还有0价值保费未承保,开单一件即可获得10%加佣"/>
        <s v="谢家集陈凯伙伴5.1-5.10预收价值保费0，首周预收3000P件数0件，预收拟加佣0元。温馨提示，保单需10日（含）前承保，目前还有0价值保费未承保,开单一件即可获得10%加佣"/>
        <s v="凤台金家好伙伴5.1-5.10预收价值保费0，首周预收3000P件数0件，预收拟加佣0元。温馨提示，保单需10日（含）前承保，目前还有0价值保费未承保,开单一件即可获得10%加佣"/>
        <s v="淮南本部吴程程伙伴5.1-5.10预收价值保费0，首周预收3000P件数0件，预收拟加佣0元。温馨提示，保单需10日（含）前承保，目前还有0价值保费未承保,开单一件即可获得10%加佣"/>
        <s v="谢家集管国群伙伴5.1-5.10预收价值保费0，首周预收3000P件数0件，预收拟加佣0元。温馨提示，保单需10日（含）前承保，目前还有0价值保费未承保,开单一件即可获得10%加佣"/>
        <s v="凤台吴煜伙伴5.1-5.10预收价值保费0，首周预收3000P件数0件，预收拟加佣0元。温馨提示，保单需10日（含）前承保，目前还有0价值保费未承保,开单一件即可获得10%加佣"/>
        <s v="凤台常宏利伙伴5.1-5.10预收价值保费0，首周预收3000P件数0件，预收拟加佣0元。温馨提示，保单需10日（含）前承保，目前还有0价值保费未承保,开单一件即可获得10%加佣"/>
        <s v="淮南本部徐婉婉伙伴5.1-5.10预收价值保费0，首周预收3000P件数0件，预收拟加佣0元。温馨提示，保单需10日（含）前承保，目前还有0价值保费未承保,开单一件即可获得10%加佣"/>
        <s v="淮南本部方若瑜伙伴5.1-5.10预收价值保费0，首周预收3000P件数0件，预收拟加佣0元。温馨提示，保单需10日（含）前承保，目前还有0价值保费未承保,开单一件即可获得10%加佣"/>
        <s v="凤台李梅伙伴5.1-5.10预收价值保费0，首周预收3000P件数0件，预收拟加佣0元。温馨提示，保单需10日（含）前承保，目前还有0价值保费未承保,开单一件即可获得10%加佣"/>
        <s v="淮南本部杨之义伙伴5.1-5.10预收价值保费0，首周预收3000P件数0件，预收拟加佣0元。温馨提示，保单需10日（含）前承保，目前还有0价值保费未承保,开单一件即可获得10%加佣"/>
        <s v="谢家集郑兆喜伙伴5.1-5.10预收价值保费0，首周预收3000P件数0件，预收拟加佣0元。温馨提示，保单需10日（含）前承保，目前还有0价值保费未承保,开单一件即可获得10%加佣"/>
        <s v="淮南本部李范勤伙伴5.1-5.10预收价值保费0，首周预收3000P件数0件，预收拟加佣0元。温馨提示，保单需10日（含）前承保，目前还有0价值保费未承保,开单一件即可获得10%加佣"/>
        <s v="淮南本部方杰伙伴5.1-5.10预收价值保费0，首周预收3000P件数0件，预收拟加佣0元。温馨提示，保单需10日（含）前承保，目前还有0价值保费未承保,开单一件即可获得10%加佣"/>
        <s v="谢家集吴家美伙伴5.1-5.10预收价值保费0，首周预收3000P件数0件，预收拟加佣0元。温馨提示，保单需10日（含）前承保，目前还有0价值保费未承保,开单一件即可获得10%加佣"/>
        <s v="淮南本部王秀美伙伴5.1-5.10预收价值保费0，首周预收3000P件数0件，预收拟加佣0元。温馨提示，保单需10日（含）前承保，目前还有0价值保费未承保,开单一件即可获得10%加佣"/>
        <s v="谢家集陈榕华伙伴5.1-5.10预收价值保费0，首周预收3000P件数0件，预收拟加佣0元。温馨提示，保单需10日（含）前承保，目前还有0价值保费未承保,开单一件即可获得10%加佣"/>
        <s v="凤台叶永艳伙伴5.1-5.10预收价值保费0，首周预收3000P件数0件，预收拟加佣0元。温馨提示，保单需10日（含）前承保，目前还有0价值保费未承保,开单一件即可获得10%加佣"/>
        <s v="淮南本部李连秀伙伴5.1-5.10预收价值保费0，首周预收3000P件数0件，预收拟加佣0元。温馨提示，保单需10日（含）前承保，目前还有0价值保费未承保,开单一件即可获得10%加佣"/>
        <s v="凤台陈佳敏伙伴5.1-5.10预收价值保费0，首周预收3000P件数0件，预收拟加佣0元。温馨提示，保单需10日（含）前承保，目前还有0价值保费未承保,开单一件即可获得10%加佣"/>
        <s v="淮南本部张玉霞伙伴5.1-5.10预收价值保费0，首周预收3000P件数0件，预收拟加佣0元。温馨提示，保单需10日（含）前承保，目前还有0价值保费未承保,开单一件即可获得10%加佣"/>
        <s v="谢家集裴华伙伴5.1-5.10预收价值保费0，首周预收3000P件数0件，预收拟加佣0元。温馨提示，保单需10日（含）前承保，目前还有0价值保费未承保,开单一件即可获得10%加佣"/>
        <s v="谢家集马强伙伴5.1-5.10预收价值保费0，首周预收3000P件数0件，预收拟加佣0元。温馨提示，保单需10日（含）前承保，目前还有0价值保费未承保,开单一件即可获得10%加佣"/>
        <s v="凤台李玲伙伴5.1-5.10预收价值保费0，首周预收3000P件数0件，预收拟加佣0元。温馨提示，保单需10日（含）前承保，目前还有0价值保费未承保,开单一件即可获得10%加佣"/>
        <s v="凤台胡莺莺伙伴5.1-5.10预收价值保费0，首周预收3000P件数0件，预收拟加佣0元。温馨提示，保单需10日（含）前承保，目前还有0价值保费未承保,开单一件即可获得10%加佣"/>
        <s v="淮南本部芦鸿文伙伴5.1-5.10预收价值保费0，首周预收3000P件数0件，预收拟加佣0元。温馨提示，保单需10日（含）前承保，目前还有0价值保费未承保,开单一件即可获得10%加佣"/>
        <s v="谢家集缪龙宇伙伴5.1-5.10预收价值保费0，首周预收3000P件数0件，预收拟加佣0元。温馨提示，保单需10日（含）前承保，目前还有0价值保费未承保,开单一件即可获得10%加佣"/>
        <s v="谢家集范晓丽伙伴5.1-5.10预收价值保费0，首周预收3000P件数0件，预收拟加佣0元。温馨提示，保单需10日（含）前承保，目前还有0价值保费未承保,开单一件即可获得10%加佣"/>
        <s v="谢家集张丽伙伴5.1-5.10预收价值保费0，首周预收3000P件数0件，预收拟加佣0元。温馨提示，保单需10日（含）前承保，目前还有0价值保费未承保,开单一件即可获得10%加佣"/>
        <s v="凤台陈桂侠伙伴5.1-5.10预收价值保费0，首周预收3000P件数0件，预收拟加佣0元。温馨提示，保单需10日（含）前承保，目前还有0价值保费未承保,开单一件即可获得10%加佣"/>
        <s v="凤台万德清伙伴5.1-5.10预收价值保费0，首周预收3000P件数0件，预收拟加佣0元。温馨提示，保单需10日（含）前承保，目前还有0价值保费未承保,开单一件即可获得10%加佣"/>
        <s v="谢家集王利利伙伴5.1-5.10预收价值保费0，首周预收3000P件数0件，预收拟加佣0元。温馨提示，保单需10日（含）前承保，目前还有0价值保费未承保,开单一件即可获得10%加佣"/>
        <s v="淮南本部倪荣跃伙伴5.1-5.10预收价值保费0，首周预收3000P件数0件，预收拟加佣0元。温馨提示，保单需10日（含）前承保，目前还有0价值保费未承保,开单一件即可获得10%加佣"/>
        <s v="凤台刘祥伙伴5.1-5.10预收价值保费0，首周预收3000P件数0件，预收拟加佣0元。温馨提示，保单需10日（含）前承保，目前还有0价值保费未承保,开单一件即可获得10%加佣"/>
        <s v="凤台刘洁君伙伴5.1-5.10预收价值保费0，首周预收3000P件数0件，预收拟加佣0元。温馨提示，保单需10日（含）前承保，目前还有0价值保费未承保,开单一件即可获得10%加佣"/>
        <s v="凤台蔡影伙伴5.1-5.10预收价值保费0，首周预收3000P件数0件，预收拟加佣0元。温馨提示，保单需10日（含）前承保，目前还有0价值保费未承保,开单一件即可获得10%加佣"/>
        <s v="淮南本部陆梅伙伴5.1-5.10预收价值保费0，首周预收3000P件数0件，预收拟加佣0元。温馨提示，保单需10日（含）前承保，目前还有0价值保费未承保,开单一件即可获得10%加佣"/>
        <s v="凤台李青青伙伴5.1-5.10预收价值保费0，首周预收3000P件数0件，预收拟加佣0元。温馨提示，保单需10日（含）前承保，目前还有0价值保费未承保,开单一件即可获得10%加佣"/>
        <s v="凤台陈娟主管5.1-5.10预收价值保费0，首周预收3000P件数0件，预收拟加佣0元。温馨提示，保单需10日（含）前承保，目前还有0价值保费未承保,开单一件即可获得10%加佣"/>
        <s v="凤台聂晓梅伙伴5.1-5.10预收价值保费0，首周预收3000P件数0件，预收拟加佣0元。温馨提示，保单需10日（含）前承保，目前还有0价值保费未承保,开单一件即可获得10%加佣"/>
        <s v="淮南本部王宗波伙伴5.1-5.10预收价值保费0，首周预收3000P件数0件，预收拟加佣0元。温馨提示，保单需10日（含）前承保，目前还有0价值保费未承保,开单一件即可获得10%加佣"/>
        <s v="凤台梁可敏伙伴5.1-5.10预收价值保费0，首周预收3000P件数0件，预收拟加佣0元。温馨提示，保单需10日（含）前承保，目前还有0价值保费未承保,开单一件即可获得10%加佣"/>
        <s v="凤台仲静静伙伴5.1-5.10预收价值保费0，首周预收3000P件数0件，预收拟加佣0元。温馨提示，保单需10日（含）前承保，目前还有0价值保费未承保,开单一件即可获得10%加佣"/>
        <s v="凤台缪侠伙伴5.1-5.10预收价值保费0，首周预收3000P件数0件，预收拟加佣0元。温馨提示，保单需10日（含）前承保，目前还有0价值保费未承保,开单一件即可获得10%加佣"/>
        <s v="凤台蒋中云伙伴5.1-5.10预收价值保费0，首周预收3000P件数0件，预收拟加佣0元。温馨提示，保单需10日（含）前承保，目前还有0价值保费未承保,开单一件即可获得10%加佣"/>
        <s v="凤台童明明伙伴5.1-5.10预收价值保费0，首周预收3000P件数0件，预收拟加佣0元。温馨提示，保单需10日（含）前承保，目前还有0价值保费未承保,开单一件即可获得10%加佣"/>
        <s v="潘集朱磊磊伙伴5.1-5.10预收价值保费0，首周预收3000P件数0件，预收拟加佣0元。温馨提示，保单需10日（含）前承保，目前还有0价值保费未承保,开单一件即可获得10%加佣"/>
        <s v="潘集杨军伙伴5.1-5.10预收价值保费0，首周预收3000P件数0件，预收拟加佣0元。温馨提示，保单需10日（含）前承保，目前还有0价值保费未承保,开单一件即可获得10%加佣"/>
        <s v="淮南本部李晓珍伙伴5.1-5.10预收价值保费0，首周预收3000P件数0件，预收拟加佣0元。温馨提示，保单需10日（含）前承保，目前还有0价值保费未承保,开单一件即可获得10%加佣"/>
        <s v="淮南本部孙敏伙伴5.1-5.10预收价值保费0，首周预收3000P件数0件，预收拟加佣0元。温馨提示，保单需10日（含）前承保，目前还有0价值保费未承保,开单一件即可获得10%加佣"/>
        <s v="凤台吴迎雪伙伴5.1-5.10预收价值保费0，首周预收3000P件数0件，预收拟加佣0元。温馨提示，保单需10日（含）前承保，目前还有0价值保费未承保,开单一件即可获得10%加佣"/>
        <s v="淮南本部方国兵伙伴5.1-5.10预收价值保费0，首周预收3000P件数0件，预收拟加佣0元。温馨提示，保单需10日（含）前承保，目前还有0价值保费未承保,开单一件即可获得10%加佣"/>
        <s v="谢家集施燕群伙伴5.1-5.10预收价值保费0，首周预收3000P件数0件，预收拟加佣0元。温馨提示，保单需10日（含）前承保，目前还有0价值保费未承保,开单一件即可获得10%加佣"/>
        <s v="潘集苏磊伙伴5.1-5.10预收价值保费0，首周预收3000P件数0件，预收拟加佣0元。温馨提示，保单需10日（含）前承保，目前还有0价值保费未承保,开单一件即可获得10%加佣"/>
        <s v="淮南本部张磊伙伴5.1-5.10预收价值保费0，首周预收3000P件数0件，预收拟加佣0元。温馨提示，保单需10日（含）前承保，目前还有0价值保费未承保,开单一件即可获得10%加佣"/>
        <s v="凤台孙雪萍伙伴5.1-5.10预收价值保费0，首周预收3000P件数0件，预收拟加佣0元。温馨提示，保单需10日（含）前承保，目前还有0价值保费未承保,开单一件即可获得10%加佣"/>
        <s v="谢家集刘艳伙伴5.1-5.10预收价值保费0，首周预收3000P件数0件，预收拟加佣0元。温馨提示，保单需10日（含）前承保，目前还有0价值保费未承保,开单一件即可获得10%加佣"/>
        <s v="淮南本部李晓寒伙伴5.1-5.10预收价值保费0，首周预收3000P件数0件，预收拟加佣0元。温馨提示，保单需10日（含）前承保，目前还有0价值保费未承保,开单一件即可获得10%加佣"/>
        <s v="淮南本部童会主管5.1-5.10预收价值保费0，首周预收3000P件数0件，预收拟加佣0元。温馨提示，保单需10日（含）前承保，目前还有0价值保费未承保,开单一件即可获得10%加佣"/>
        <s v="潘集付双勤伙伴5.1-5.10预收价值保费0，首周预收3000P件数0件，预收拟加佣0元。温馨提示，保单需10日（含）前承保，目前还有0价值保费未承保,开单一件即可获得10%加佣"/>
        <s v="淮南本部王旭旭伙伴5.1-5.10预收价值保费0，首周预收3000P件数0件，预收拟加佣0元。温馨提示，保单需10日（含）前承保，目前还有0价值保费未承保,开单一件即可获得10%加佣"/>
        <s v="凤台胡婷伙伴5.1-5.10预收价值保费0，首周预收3000P件数0件，预收拟加佣0元。温馨提示，保单需10日（含）前承保，目前还有0价值保费未承保,开单一件即可获得10%加佣"/>
        <s v="凤台石秀钰伙伴5.1-5.10预收价值保费0，首周预收3000P件数0件，预收拟加佣0元。温馨提示，保单需10日（含）前承保，目前还有0价值保费未承保,开单一件即可获得10%加佣"/>
        <s v="凤台梁仁芳伙伴5.1-5.10预收价值保费0，首周预收3000P件数0件，预收拟加佣0元。温馨提示，保单需10日（含）前承保，目前还有0价值保费未承保,开单一件即可获得10%加佣"/>
        <s v="淮南本部周淮霞伙伴5.1-5.10预收价值保费0，首周预收3000P件数0件，预收拟加佣0元。温馨提示，保单需10日（含）前承保，目前还有0价值保费未承保,开单一件即可获得10%加佣"/>
        <s v="凤台董利伙伴5.1-5.10预收价值保费0，首周预收3000P件数0件，预收拟加佣0元。温馨提示，保单需10日（含）前承保，目前还有0价值保费未承保,开单一件即可获得10%加佣"/>
        <s v="淮南本部周家萍伙伴5.1-5.10预收价值保费0，首周预收3000P件数0件，预收拟加佣0元。温馨提示，保单需10日（含）前承保，目前还有0价值保费未承保,开单一件即可获得10%加佣"/>
        <s v="谢家集顾正莉伙伴5.1-5.10预收价值保费0，首周预收3000P件数0件，预收拟加佣0元。温馨提示，保单需10日（含）前承保，目前还有0价值保费未承保,开单一件即可获得10%加佣"/>
        <s v="淮南本部胡孝萍伙伴5.1-5.10预收价值保费0，首周预收3000P件数0件，预收拟加佣0元。温馨提示，保单需10日（含）前承保，目前还有0价值保费未承保,开单一件即可获得10%加佣"/>
        <s v="凤台曹化利伙伴5.1-5.10预收价值保费0，首周预收3000P件数0件，预收拟加佣0元。温馨提示，保单需10日（含）前承保，目前还有0价值保费未承保,开单一件即可获得10%加佣"/>
        <s v="谢家集代伟伟伙伴5.1-5.10预收价值保费0，首周预收3000P件数0件，预收拟加佣0元。温馨提示，保单需10日（含）前承保，目前还有0价值保费未承保,开单一件即可获得10%加佣"/>
        <s v="谢家集李克勤伙伴5.1-5.10预收价值保费0，首周预收3000P件数0件，预收拟加佣0元。温馨提示，保单需10日（含）前承保，目前还有0价值保费未承保,开单一件即可获得10%加佣"/>
        <s v="凤台刘庆书伙伴5.1-5.10预收价值保费0，首周预收3000P件数0件，预收拟加佣0元。温馨提示，保单需10日（含）前承保，目前还有0价值保费未承保,开单一件即可获得10%加佣"/>
        <s v="谢家集王蓓凤伙伴5.1-5.10预收价值保费0，首周预收3000P件数0件，预收拟加佣0元。温馨提示，保单需10日（含）前承保，目前还有0价值保费未承保,开单一件即可获得10%加佣"/>
        <s v="淮南本部孙雅莉伙伴5.1-5.10预收价值保费0，首周预收3000P件数0件，预收拟加佣0元。温馨提示，保单需10日（含）前承保，目前还有0价值保费未承保,开单一件即可获得10%加佣"/>
        <s v="凤台刘庆涛伙伴5.1-5.10预收价值保费0，首周预收3000P件数0件，预收拟加佣0元。温馨提示，保单需10日（含）前承保，目前还有0价值保费未承保,开单一件即可获得10%加佣"/>
        <s v="淮南本部刘松伙伴5.1-5.10预收价值保费0，首周预收3000P件数0件，预收拟加佣0元。温馨提示，保单需10日（含）前承保，目前还有0价值保费未承保,开单一件即可获得10%加佣"/>
        <s v="淮南本部韩彦霞伙伴5.1-5.10预收价值保费0，首周预收3000P件数0件，预收拟加佣0元。温馨提示，保单需10日（含）前承保，目前还有0价值保费未承保,开单一件即可获得10%加佣"/>
        <s v="凤台刘东伙伴5.1-5.10预收价值保费0，首周预收3000P件数0件，预收拟加佣0元。温馨提示，保单需10日（含）前承保，目前还有0价值保费未承保,开单一件即可获得10%加佣"/>
        <s v="凤台李开梅主管5.1-5.10预收价值保费0，首周预收3000P件数0件，预收拟加佣0元。温馨提示，保单需10日（含）前承保，目前还有0价值保费未承保,开单一件即可获得10%加佣"/>
        <s v="凤台陈军伙伴5.1-5.10预收价值保费0，首周预收3000P件数0件，预收拟加佣0元。温馨提示，保单需10日（含）前承保，目前还有0价值保费未承保,开单一件即可获得10%加佣"/>
        <s v="谢家集刘耀强伙伴5.1-5.10预收价值保费0，首周预收3000P件数0件，预收拟加佣0元。温馨提示，保单需10日（含）前承保，目前还有0价值保费未承保,开单一件即可获得10%加佣"/>
        <s v="凤台叶永茂伙伴5.1-5.10预收价值保费0，首周预收3000P件数0件，预收拟加佣0元。温馨提示，保单需10日（含）前承保，目前还有0价值保费未承保,开单一件即可获得10%加佣"/>
        <s v="淮南本部何静主管5.1-5.10预收价值保费0，首周预收3000P件数0件，预收拟加佣0元。温馨提示，保单需10日（含）前承保，目前还有0价值保费未承保,开单一件即可获得10%加佣"/>
        <s v="淮南本部沈宏荣伙伴5.1-5.10预收价值保费0，首周预收3000P件数0件，预收拟加佣0元。温馨提示，保单需10日（含）前承保，目前还有0价值保费未承保,开单一件即可获得10%加佣"/>
        <s v="淮南本部程永华伙伴5.1-5.10预收价值保费0，首周预收3000P件数0件，预收拟加佣0元。温馨提示，保单需10日（含）前承保，目前还有0价值保费未承保,开单一件即可获得10%加佣"/>
        <s v="谢家集张彩云伙伴5.1-5.10预收价值保费0，首周预收3000P件数0件，预收拟加佣0元。温馨提示，保单需10日（含）前承保，目前还有0价值保费未承保,开单一件即可获得10%加佣"/>
        <s v="谢家集陆彬主管5.1-5.10预收价值保费0，首周预收3000P件数0件，预收拟加佣0元。温馨提示，保单需10日（含）前承保，目前还有0价值保费未承保,开单一件即可获得10%加佣"/>
        <s v="凤台叶燕燕伙伴5.1-5.10预收价值保费0，首周预收3000P件数0件，预收拟加佣0元。温馨提示，保单需10日（含）前承保，目前还有0价值保费未承保,开单一件即可获得10%加佣"/>
        <s v="凤台梁燕群伙伴5.1-5.10预收价值保费0，首周预收3000P件数0件，预收拟加佣0元。温馨提示，保单需10日（含）前承保，目前还有0价值保费未承保,开单一件即可获得10%加佣"/>
        <s v="凤台叶龙伙伴5.1-5.10预收价值保费0，首周预收3000P件数0件，预收拟加佣0元。温馨提示，保单需10日（含）前承保，目前还有0价值保费未承保,开单一件即可获得10%加佣"/>
        <s v="淮南本部柏楠伙伴5.1-5.10预收价值保费0，首周预收3000P件数0件，预收拟加佣0元。温馨提示，保单需10日（含）前承保，目前还有0价值保费未承保,开单一件即可获得10%加佣"/>
        <s v="淮南本部况红梅伙伴5.1-5.10预收价值保费0，首周预收3000P件数0件，预收拟加佣0元。温馨提示，保单需10日（含）前承保，目前还有0价值保费未承保,开单一件即可获得10%加佣"/>
        <s v="凤台唐晓燕伙伴5.1-5.10预收价值保费0，首周预收3000P件数0件，预收拟加佣0元。温馨提示，保单需10日（含）前承保，目前还有0价值保费未承保,开单一件即可获得10%加佣"/>
        <s v="淮南本部宗友杰伙伴5.1-5.10预收价值保费0，首周预收3000P件数0件，预收拟加佣0元。温馨提示，保单需10日（含）前承保，目前还有0价值保费未承保,开单一件即可获得10%加佣"/>
        <s v="凤台宋玉华伙伴5.1-5.10预收价值保费0，首周预收3000P件数0件，预收拟加佣0元。温馨提示，保单需10日（含）前承保，目前还有0价值保费未承保,开单一件即可获得10%加佣"/>
        <s v="凤台常红霞伙伴5.1-5.10预收价值保费0，首周预收3000P件数0件，预收拟加佣0元。温馨提示，保单需10日（含）前承保，目前还有0价值保费未承保,开单一件即可获得10%加佣"/>
        <s v="凤台万雪梅伙伴5.1-5.10预收价值保费0，首周预收3000P件数0件，预收拟加佣0元。温馨提示，保单需10日（含）前承保，目前还有0价值保费未承保,开单一件即可获得10%加佣"/>
        <s v="淮南本部录爱丽主管5.1-5.10预收价值保费0，首周预收3000P件数0件，预收拟加佣0元。温馨提示，保单需10日（含）前承保，目前还有0价值保费未承保,开单一件即可获得10%加佣"/>
        <s v="淮南本部陶兰伙伴5.1-5.10预收价值保费0，首周预收3000P件数0件，预收拟加佣0元。温馨提示，保单需10日（含）前承保，目前还有0价值保费未承保,开单一件即可获得10%加佣"/>
        <s v="淮南本部李娜伙伴5.1-5.10预收价值保费0，首周预收3000P件数0件，预收拟加佣0元。温馨提示，保单需10日（含）前承保，目前还有0价值保费未承保,开单一件即可获得10%加佣"/>
        <s v="淮南本部刘振云伙伴5.1-5.10预收价值保费0，首周预收3000P件数0件，预收拟加佣0元。温馨提示，保单需10日（含）前承保，目前还有0价值保费未承保,开单一件即可获得10%加佣"/>
        <s v="淮南本部姚文俊伙伴5.1-5.10预收价值保费0，首周预收3000P件数0件，预收拟加佣0元。温馨提示，保单需10日（含）前承保，目前还有0价值保费未承保,开单一件即可获得10%加佣"/>
        <s v="凤台王康玉伙伴5.1-5.10预收价值保费0，首周预收3000P件数0件，预收拟加佣0元。温馨提示，保单需10日（含）前承保，目前还有0价值保费未承保,开单一件即可获得10%加佣"/>
        <s v="淮南本部尹淑玉伙伴5.1-5.10预收价值保费0，首周预收3000P件数0件，预收拟加佣0元。温馨提示，保单需10日（含）前承保，目前还有0价值保费未承保,开单一件即可获得10%加佣"/>
        <s v="淮南本部王娜伙伴5.1-5.10预收价值保费0，首周预收3000P件数0件，预收拟加佣0元。温馨提示，保单需10日（含）前承保，目前还有0价值保费未承保,开单一件即可获得10%加佣"/>
        <s v="淮南本部王道格伙伴5.1-5.10预收价值保费0，首周预收3000P件数0件，预收拟加佣0元。温馨提示，保单需10日（含）前承保，目前还有0价值保费未承保,开单一件即可获得10%加佣"/>
        <s v="谢家集周游伙伴5.1-5.10预收价值保费0，首周预收3000P件数0件，预收拟加佣0元。温馨提示，保单需10日（含）前承保，目前还有0价值保费未承保,开单一件即可获得10%加佣"/>
        <s v="淮南本部张静伙伴5.1-5.10预收价值保费0，首周预收3000P件数0件，预收拟加佣0元。温馨提示，保单需10日（含）前承保，目前还有0价值保费未承保,开单一件即可获得10%加佣"/>
        <s v="凤台陈桂美主管5.1-5.10预收价值保费0，首周预收3000P件数0件，预收拟加佣0元。温馨提示，保单需10日（含）前承保，目前还有0价值保费未承保,开单一件即可获得10%加佣"/>
        <s v="凤台万传秀伙伴5.1-5.10预收价值保费0，首周预收3000P件数0件，预收拟加佣0元。温馨提示，保单需10日（含）前承保，目前还有0价值保费未承保,开单一件即可获得10%加佣"/>
        <s v="凤台张银银伙伴5.1-5.10预收价值保费0，首周预收3000P件数0件，预收拟加佣0元。温馨提示，保单需10日（含）前承保，目前还有0价值保费未承保,开单一件即可获得10%加佣"/>
        <s v="谢家集何建军伙伴5.1-5.10预收价值保费0，首周预收3000P件数0件，预收拟加佣0元。温馨提示，保单需10日（含）前承保，目前还有0价值保费未承保,开单一件即可获得10%加佣"/>
        <s v="淮南本部邹怀霞伙伴5.1-5.10预收价值保费0，首周预收3000P件数0件，预收拟加佣0元。温馨提示，保单需10日（含）前承保，目前还有0价值保费未承保,开单一件即可获得10%加佣"/>
        <s v="淮南本部宗林伙伴5.1-5.10预收价值保费158，首周预收3000P件数0件，预收拟加佣0元。温馨提示，保单需10日（含）前承保，目前还有158价值保费未承保,开单一件即可获得10%加佣"/>
        <s v="淮南本部刘继英主管5.1-5.10预收价值保费0，首周预收3000P件数0件，预收拟加佣0元。温馨提示，保单需10日（含）前承保，目前还有0价值保费未承保,开单一件即可获得10%加佣"/>
        <s v="凤台许广纺伙伴5.1-5.10预收价值保费0，首周预收3000P件数0件，预收拟加佣0元。温馨提示，保单需10日（含）前承保，目前还有0价值保费未承保,开单一件即可获得10%加佣"/>
        <s v="凤台左颖主管5.1-5.10预收价值保费0，首周预收3000P件数0件，预收拟加佣0元。温馨提示，保单需10日（含）前承保，目前还有0价值保费未承保,开单一件即可获得10%加佣"/>
        <s v="淮南本部韦丽丽伙伴5.1-5.10预收价值保费0，首周预收3000P件数0件，预收拟加佣0元。温馨提示，保单需10日（含）前承保，目前还有0价值保费未承保,开单一件即可获得10%加佣"/>
        <s v="淮南本部颜世霞伙伴5.1-5.10预收价值保费0，首周预收3000P件数0件，预收拟加佣0元。温馨提示，保单需10日（含）前承保，目前还有0价值保费未承保,开单一件即可获得10%加佣"/>
        <s v="淮南本部杨会玲伙伴5.1-5.10预收价值保费0，首周预收3000P件数0件，预收拟加佣0元。温馨提示，保单需10日（含）前承保，目前还有0价值保费未承保,开单一件即可获得10%加佣"/>
        <s v="凤台武保米伙伴5.1-5.10预收价值保费0，首周预收3000P件数0件，预收拟加佣0元。温馨提示，保单需10日（含）前承保，目前还有0价值保费未承保,开单一件即可获得10%加佣"/>
        <s v="淮南本部常萍伙伴5.1-5.10预收价值保费0，首周预收3000P件数0件，预收拟加佣0元。温馨提示，保单需10日（含）前承保，目前还有0价值保费未承保,开单一件即可获得10%加佣"/>
        <s v="淮南本部蔡士兰伙伴5.1-5.10预收价值保费0，首周预收3000P件数0件，预收拟加佣0元。温馨提示，保单需10日（含）前承保，目前还有0价值保费未承保,开单一件即可获得10%加佣"/>
        <s v="淮南本部孙庆梅伙伴5.1-5.10预收价值保费0，首周预收3000P件数0件，预收拟加佣0元。温馨提示，保单需10日（含）前承保，目前还有0价值保费未承保,开单一件即可获得10%加佣"/>
        <s v="凤台胡本阁主管5.1-5.10预收价值保费0，首周预收3000P件数0件，预收拟加佣0元。温馨提示，保单需10日（含）前承保，目前还有0价值保费未承保,开单一件即可获得10%加佣"/>
        <s v="谢家集刘川凤伙伴5.1-5.10预收价值保费0，首周预收3000P件数0件，预收拟加佣0元。温馨提示，保单需10日（含）前承保，目前还有0价值保费未承保,开单一件即可获得10%加佣"/>
        <s v="谢家集叶琳主管5.1-5.10预收价值保费0，首周预收3000P件数0件，预收拟加佣0元。温馨提示，保单需10日（含）前承保，目前还有0价值保费未承保,开单一件即可获得10%加佣"/>
        <s v="谢家集樊琦伙伴5.1-5.10预收价值保费-46，首周预收3000P件数0件，预收拟加佣0元。温馨提示，保单需10日（含）前承保，目前还有-46价值保费未承保,开单一件即可获得10%加佣"/>
        <s v="谢家集王新雯伙伴5.1-5.10预收价值保费-128，首周预收3000P件数0件，预收拟加佣0元。温馨提示，保单需10日（含）前承保，目前还有-128价值保费未承保,开单一件即可获得10%加佣"/>
        <s v="凤台缪玉玲伙伴5.1-5.10预收价值保费-231，首周预收3000P件数0件，预收拟加佣0元。温馨提示，保单需10日（含）前承保，目前还有0价值保费未承保,开单一件即可获得10%加佣"/>
        <s v="淮南本部王来艳伙伴5.1-5.10预收价值保费-259，首周预收3000P件数0件，预收拟加佣0元。温馨提示，保单需10日（含）前承保，目前还有0价值保费未承保,开单一件即可获得10%加佣"/>
        <s v="谢家集董慧慧伙伴5.1-5.10预收价值保费-154，首周预收3000P件数0件，预收拟加佣0元。温馨提示，保单需10日（含）前承保，目前还有-154价值保费未承保,开单一件即可获得10%加佣"/>
      </sharedItems>
    </cacheField>
    <cacheField name="龙虾节预收名额" numFmtId="177">
      <sharedItems containsSemiMixedTypes="0" containsString="0" containsNumber="1" containsInteger="1" minValue="0" maxValue="12" count="7">
        <n v="12"/>
        <n v="10"/>
        <n v="6"/>
        <n v="3"/>
        <n v="8"/>
        <n v="7"/>
        <n v="0"/>
      </sharedItems>
    </cacheField>
    <cacheField name="龙虾节承保名额" numFmtId="177">
      <sharedItems containsSemiMixedTypes="0" containsString="0" containsNumber="1" containsInteger="1" minValue="0" maxValue="7" count="4">
        <n v="0"/>
        <n v="3"/>
        <n v="7"/>
        <n v="6"/>
      </sharedItems>
    </cacheField>
    <cacheField name="龙虾节方案追踪简述" numFmtId="177">
      <sharedItems count="304">
        <s v="淮南本部程楠伙伴目前获得龙虾节预收名额12名，获得龙虾节承保名额0名"/>
        <s v="淮南本部方林主管目前获得龙虾节预收名额10名，获得龙虾节承保名额3名"/>
        <s v="淮南本部程梅伙伴目前获得龙虾节预收名额6名，获得龙虾节承保名额0名"/>
        <s v="淮南本部杨书珍主管目前获得龙虾节预收名额3名，获得龙虾节承保名额0名"/>
        <s v="谢家集杨琴伙伴目前获得龙虾节预收名额8名，获得龙虾节承保名额0名"/>
        <s v="凤台刘康丽伙伴目前获得龙虾节预收名额7名，获得龙虾节承保名额7名"/>
        <s v="谢家集杨娟主管目前获得龙虾节预收名额6名，获得龙虾节承保名额6名"/>
        <s v="淮南本部陈宏霞主管目前获得龙虾节预收名额3名，获得龙虾节承保名额3名"/>
        <s v="淮南本部王来如伙伴目前获得龙虾节预收名额3名，获得龙虾节承保名额3名"/>
        <s v="淮南本部程文侠主管目前获得龙虾节预收名额3名，获得龙虾节承保名额0名"/>
        <s v="淮南本部吴苑主管目前获得龙虾节预收名额0名，获得龙虾节承保名额0名"/>
        <s v="凤台康菊伙伴目前获得龙虾节预收名额0名，获得龙虾节承保名额0名"/>
        <s v="凤台李玲伙伴目前获得龙虾节预收名额0名，获得龙虾节承保名额0名"/>
        <s v="淮南本部王毅铭伙伴目前获得龙虾节预收名额0名，获得龙虾节承保名额0名"/>
        <s v="凤台花志勇主管目前获得龙虾节预收名额0名，获得龙虾节承保名额0名"/>
        <s v="淮南本部张秀丽伙伴目前获得龙虾节预收名额0名，获得龙虾节承保名额0名"/>
        <s v="凤台张文粉伙伴目前获得龙虾节预收名额0名，获得龙虾节承保名额0名"/>
        <s v="凤台吴在芝伙伴目前获得龙虾节预收名额0名，获得龙虾节承保名额0名"/>
        <s v="凤台储丽娜伙伴目前获得龙虾节预收名额0名，获得龙虾节承保名额0名"/>
        <s v="淮南本部张少琴伙伴目前获得龙虾节预收名额0名，获得龙虾节承保名额0名"/>
        <s v="凤台马保伙伴目前获得龙虾节预收名额0名，获得龙虾节承保名额0名"/>
        <s v="凤台任永生伙伴目前获得龙虾节预收名额0名，获得龙虾节承保名额0名"/>
        <s v="凤台李廷廷伙伴目前获得龙虾节预收名额0名，获得龙虾节承保名额0名"/>
        <s v="凤台谢丽伙伴目前获得龙虾节预收名额0名，获得龙虾节承保名额0名"/>
        <s v="淮南本部王思齐伙伴目前获得龙虾节预收名额0名，获得龙虾节承保名额0名"/>
        <s v="凤台钮芳伙伴目前获得龙虾节预收名额0名，获得龙虾节承保名额0名"/>
        <s v="淮南本部杨海山伙伴目前获得龙虾节预收名额0名，获得龙虾节承保名额0名"/>
        <s v="谢家集庄山菊伙伴目前获得龙虾节预收名额0名，获得龙虾节承保名额0名"/>
        <s v="淮南本部陈利媛伙伴目前获得龙虾节预收名额0名，获得龙虾节承保名额0名"/>
        <s v="谢家集蔡瑞群伙伴目前获得龙虾节预收名额0名，获得龙虾节承保名额0名"/>
        <s v="淮南本部张洪娟伙伴目前获得龙虾节预收名额0名，获得龙虾节承保名额0名"/>
        <s v="淮南本部徐贺伙伴目前获得龙虾节预收名额0名，获得龙虾节承保名额0名"/>
        <s v="谢家集单红侠伙伴目前获得龙虾节预收名额0名，获得龙虾节承保名额0名"/>
        <s v="淮南本部丁静伙伴目前获得龙虾节预收名额0名，获得龙虾节承保名额0名"/>
        <s v="淮南本部王芸芸伙伴目前获得龙虾节预收名额0名，获得龙虾节承保名额0名"/>
        <s v="谢家集陈连梅伙伴目前获得龙虾节预收名额0名，获得龙虾节承保名额0名"/>
        <s v="凤台缪国龙伙伴目前获得龙虾节预收名额0名，获得龙虾节承保名额0名"/>
        <s v="凤台王平伙伴目前获得龙虾节预收名额0名，获得龙虾节承保名额0名"/>
        <s v="谢家集王花花伙伴目前获得龙虾节预收名额0名，获得龙虾节承保名额0名"/>
        <s v="谢家集杨晶晶伙伴目前获得龙虾节预收名额0名，获得龙虾节承保名额0名"/>
        <s v="谢家集郁银芳伙伴目前获得龙虾节预收名额0名，获得龙虾节承保名额0名"/>
        <s v="淮南本部陈雯雯伙伴目前获得龙虾节预收名额0名，获得龙虾节承保名额0名"/>
        <s v="淮南本部褚恋恋伙伴目前获得龙虾节预收名额0名，获得龙虾节承保名额0名"/>
        <s v="凤台柏祖林伙伴目前获得龙虾节预收名额0名，获得龙虾节承保名额0名"/>
        <s v="凤台刘艳伙伴目前获得龙虾节预收名额0名，获得龙虾节承保名额0名"/>
        <s v="谢家集张君志伙伴目前获得龙虾节预收名额0名，获得龙虾节承保名额0名"/>
        <s v="谢家集王梅芝伙伴目前获得龙虾节预收名额0名，获得龙虾节承保名额0名"/>
        <s v="凤台王朋伙伴目前获得龙虾节预收名额0名，获得龙虾节承保名额0名"/>
        <s v="凤台李芳芳伙伴目前获得龙虾节预收名额0名，获得龙虾节承保名额0名"/>
        <s v="淮南本部程娇娇伙伴目前获得龙虾节预收名额0名，获得龙虾节承保名额0名"/>
        <s v="谢家集陈晓艳伙伴目前获得龙虾节预收名额0名，获得龙虾节承保名额0名"/>
        <s v="凤台郑皓月伙伴目前获得龙虾节预收名额0名，获得龙虾节承保名额0名"/>
        <s v="谢家集陶松梅伙伴目前获得龙虾节预收名额0名，获得龙虾节承保名额0名"/>
        <s v="凤台刘杰伙伴目前获得龙虾节预收名额0名，获得龙虾节承保名额0名"/>
        <s v="凤台黄玲伙伴目前获得龙虾节预收名额0名，获得龙虾节承保名额0名"/>
        <s v="谢家集刘锐伙伴目前获得龙虾节预收名额3名，获得龙虾节承保名额0名"/>
        <s v="淮南本部姚守四伙伴目前获得龙虾节预收名额0名，获得龙虾节承保名额0名"/>
        <s v="淮南本部杨积莹伙伴目前获得龙虾节预收名额0名，获得龙虾节承保名额0名"/>
        <s v="淮南本部程单单伙伴目前获得龙虾节预收名额0名，获得龙虾节承保名额0名"/>
        <s v="淮南本部夏海力伙伴目前获得龙虾节预收名额0名，获得龙虾节承保名额0名"/>
        <s v="淮南本部胡美华伙伴目前获得龙虾节预收名额0名，获得龙虾节承保名额0名"/>
        <s v="淮南本部姚昌梅伙伴目前获得龙虾节预收名额0名，获得龙虾节承保名额0名"/>
        <s v="淮南本部沈金悦伙伴目前获得龙虾节预收名额0名，获得龙虾节承保名额0名"/>
        <s v="谢家集丁杰伙伴目前获得龙虾节预收名额0名，获得龙虾节承保名额0名"/>
        <s v="淮南本部李洋伙伴目前获得龙虾节预收名额0名，获得龙虾节承保名额0名"/>
        <s v="淮南本部王静伙伴目前获得龙虾节预收名额0名，获得龙虾节承保名额0名"/>
        <s v="淮南本部陈家甫伙伴目前获得龙虾节预收名额0名，获得龙虾节承保名额0名"/>
        <s v="凤台李悦伙伴目前获得龙虾节预收名额0名，获得龙虾节承保名额0名"/>
        <s v="淮南本部李玲俐伙伴目前获得龙虾节预收名额0名，获得龙虾节承保名额0名"/>
        <s v="谢家集胡文卿伙伴目前获得龙虾节预收名额0名，获得龙虾节承保名额0名"/>
        <s v="淮南本部段艳勤伙伴目前获得龙虾节预收名额0名，获得龙虾节承保名额0名"/>
        <s v="淮南本部程晋远伙伴目前获得龙虾节预收名额0名，获得龙虾节承保名额0名"/>
        <s v="淮南本部陈莎莎伙伴目前获得龙虾节预收名额0名，获得龙虾节承保名额0名"/>
        <s v="淮南本部孙艳霞伙伴目前获得龙虾节预收名额0名，获得龙虾节承保名额0名"/>
        <s v="淮南本部徐基云伙伴目前获得龙虾节预收名额0名，获得龙虾节承保名额0名"/>
        <s v="淮南本部张辉伙伴目前获得龙虾节预收名额0名，获得龙虾节承保名额0名"/>
        <s v="淮南本部李敬腾伙伴目前获得龙虾节预收名额0名，获得龙虾节承保名额0名"/>
        <s v="凤台刘金金伙伴目前获得龙虾节预收名额0名，获得龙虾节承保名额0名"/>
        <s v="凤台段传颖伙伴目前获得龙虾节预收名额0名，获得龙虾节承保名额0名"/>
        <s v="凤台胡奇珍伙伴目前获得龙虾节预收名额0名，获得龙虾节承保名额0名"/>
        <s v="淮南本部徐梅伙伴目前获得龙虾节预收名额0名，获得龙虾节承保名额0名"/>
        <s v="凤台吴妮妮伙伴目前获得龙虾节预收名额0名，获得龙虾节承保名额0名"/>
        <s v="凤台信萍伙伴目前获得龙虾节预收名额0名，获得龙虾节承保名额0名"/>
        <s v="淮南本部刘鹤伙伴目前获得龙虾节预收名额0名，获得龙虾节承保名额0名"/>
        <s v="谢家集侯素良伙伴目前获得龙虾节预收名额0名，获得龙虾节承保名额0名"/>
        <s v="淮南本部魏娟伙伴目前获得龙虾节预收名额0名，获得龙虾节承保名额0名"/>
        <s v="淮南本部郑悦伙伴目前获得龙虾节预收名额0名，获得龙虾节承保名额0名"/>
        <s v="淮南本部程路路伙伴目前获得龙虾节预收名额0名，获得龙虾节承保名额0名"/>
        <s v="谢家集刘金萍伙伴目前获得龙虾节预收名额0名，获得龙虾节承保名额0名"/>
        <s v="凤台徐杏伙伴目前获得龙虾节预收名额0名，获得龙虾节承保名额0名"/>
        <s v="淮南本部张兴珍伙伴目前获得龙虾节预收名额0名，获得龙虾节承保名额0名"/>
        <s v="谢家集夏继梅伙伴目前获得龙虾节预收名额0名，获得龙虾节承保名额0名"/>
        <s v="淮南本部褚孝妹伙伴目前获得龙虾节预收名额0名，获得龙虾节承保名额0名"/>
        <s v="凤台魏茂盛伙伴目前获得龙虾节预收名额0名，获得龙虾节承保名额0名"/>
        <s v="凤台高秀梅伙伴目前获得龙虾节预收名额0名，获得龙虾节承保名额0名"/>
        <s v="凤台万其红伙伴目前获得龙虾节预收名额0名，获得龙虾节承保名额0名"/>
        <s v="淮南本部杨洋伙伴目前获得龙虾节预收名额0名，获得龙虾节承保名额0名"/>
        <s v="淮南本部曹素光伙伴目前获得龙虾节预收名额0名，获得龙虾节承保名额0名"/>
        <s v="淮南本部谷玲伙伴目前获得龙虾节预收名额0名，获得龙虾节承保名额0名"/>
        <s v="凤台米莲伙伴目前获得龙虾节预收名额0名，获得龙虾节承保名额0名"/>
        <s v="凤台胡程程伙伴目前获得龙虾节预收名额0名，获得龙虾节承保名额0名"/>
        <s v="淮南本部刘卫国伙伴目前获得龙虾节预收名额0名，获得龙虾节承保名额0名"/>
        <s v="淮南本部周蓓伙伴目前获得龙虾节预收名额0名，获得龙虾节承保名额0名"/>
        <s v="凤台王秀芹伙伴目前获得龙虾节预收名额0名，获得龙虾节承保名额0名"/>
        <s v="凤台彭丽杰伙伴目前获得龙虾节预收名额0名，获得龙虾节承保名额0名"/>
        <s v="凤台陈尚伙伴目前获得龙虾节预收名额0名，获得龙虾节承保名额0名"/>
        <s v="凤台陈斌伙伴目前获得龙虾节预收名额0名，获得龙虾节承保名额0名"/>
        <s v="凤台叶艳伙伴目前获得龙虾节预收名额0名，获得龙虾节承保名额0名"/>
        <s v="淮南本部王宏伙伴目前获得龙虾节预收名额0名，获得龙虾节承保名额0名"/>
        <s v="凤台高岑伙伴目前获得龙虾节预收名额0名，获得龙虾节承保名额0名"/>
        <s v="凤台刘庆楠伙伴目前获得龙虾节预收名额0名，获得龙虾节承保名额0名"/>
        <s v="凤台高菊秋伙伴目前获得龙虾节预收名额0名，获得龙虾节承保名额0名"/>
        <s v="凤台吕荣刚伙伴目前获得龙虾节预收名额0名，获得龙虾节承保名额0名"/>
        <s v="凤台陈利娜伙伴目前获得龙虾节预收名额0名，获得龙虾节承保名额0名"/>
        <s v="凤台冯春莲伙伴目前获得龙虾节预收名额0名，获得龙虾节承保名额0名"/>
        <s v="凤台潘明月伙伴目前获得龙虾节预收名额0名，获得龙虾节承保名额0名"/>
        <s v="凤台谢齐安伙伴目前获得龙虾节预收名额0名，获得龙虾节承保名额0名"/>
        <s v="淮南本部范春霞伙伴目前获得龙虾节预收名额0名，获得龙虾节承保名额0名"/>
        <s v="淮南本部陶莎伙伴目前获得龙虾节预收名额0名，获得龙虾节承保名额0名"/>
        <s v="淮南本部刘翠伙伴目前获得龙虾节预收名额0名，获得龙虾节承保名额0名"/>
        <s v="谢家集陈苗苗伙伴目前获得龙虾节预收名额0名，获得龙虾节承保名额0名"/>
        <s v="凤台石秀凤伙伴目前获得龙虾节预收名额0名，获得龙虾节承保名额0名"/>
        <s v="凤台叶文兰伙伴目前获得龙虾节预收名额0名，获得龙虾节承保名额0名"/>
        <s v="凤台陈利萍伙伴目前获得龙虾节预收名额0名，获得龙虾节承保名额0名"/>
        <s v="淮南本部陈艳伙伴目前获得龙虾节预收名额0名，获得龙虾节承保名额0名"/>
        <s v="凤台孙艳伙伴目前获得龙虾节预收名额0名，获得龙虾节承保名额0名"/>
        <s v="淮南本部高文龙伙伴目前获得龙虾节预收名额0名，获得龙虾节承保名额0名"/>
        <s v="淮南本部王芝斌伙伴目前获得龙虾节预收名额0名，获得龙虾节承保名额0名"/>
        <s v="淮南本部宋业凤主管目前获得龙虾节预收名额0名，获得龙虾节承保名额0名"/>
        <s v="淮南本部夏大鹏伙伴目前获得龙虾节预收名额0名，获得龙虾节承保名额0名"/>
        <s v="谢家集祁玉苗伙伴目前获得龙虾节预收名额0名，获得龙虾节承保名额0名"/>
        <s v="淮南本部胡成梅伙伴目前获得龙虾节预收名额0名，获得龙虾节承保名额0名"/>
        <s v="谢家集李萍伙伴目前获得龙虾节预收名额0名，获得龙虾节承保名额0名"/>
        <s v="凤台段军平伙伴目前获得龙虾节预收名额0名，获得龙虾节承保名额0名"/>
        <s v="淮南本部曹建航伙伴目前获得龙虾节预收名额0名，获得龙虾节承保名额0名"/>
        <s v="淮南本部王沁主管目前获得龙虾节预收名额0名，获得龙虾节承保名额0名"/>
        <s v="凤台王克侠伙伴目前获得龙虾节预收名额0名，获得龙虾节承保名额0名"/>
        <s v="凤台李芹伙伴目前获得龙虾节预收名额0名，获得龙虾节承保名额0名"/>
        <s v="淮南本部钟秀丽伙伴目前获得龙虾节预收名额0名，获得龙虾节承保名额0名"/>
        <s v="淮南本部张萍伙伴目前获得龙虾节预收名额0名，获得龙虾节承保名额0名"/>
        <s v="凤台荣树红伙伴目前获得龙虾节预收名额0名，获得龙虾节承保名额0名"/>
        <s v="凤台宋德永伙伴目前获得龙虾节预收名额0名，获得龙虾节承保名额0名"/>
        <s v="淮南本部宋芳丽伙伴目前获得龙虾节预收名额0名，获得龙虾节承保名额0名"/>
        <s v="淮南本部焦玉荣伙伴目前获得龙虾节预收名额0名，获得龙虾节承保名额0名"/>
        <s v="凤台刘盼盼伙伴目前获得龙虾节预收名额0名，获得龙虾节承保名额0名"/>
        <s v="凤台张玲伙伴目前获得龙虾节预收名额0名，获得龙虾节承保名额0名"/>
        <s v="谢家集吴怀兰伙伴目前获得龙虾节预收名额0名，获得龙虾节承保名额0名"/>
        <s v="谢家集汪嘉维伙伴目前获得龙虾节预收名额0名，获得龙虾节承保名额0名"/>
        <s v="淮南本部宫丽曼伙伴目前获得龙虾节预收名额0名，获得龙虾节承保名额0名"/>
        <s v="谢家集王凤伙伴目前获得龙虾节预收名额0名，获得龙虾节承保名额0名"/>
        <s v="淮南本部谢雨晨伙伴目前获得龙虾节预收名额0名，获得龙虾节承保名额0名"/>
        <s v="凤台袁萍萍伙伴目前获得龙虾节预收名额0名，获得龙虾节承保名额0名"/>
        <s v="淮南本部聂慧慧伙伴目前获得龙虾节预收名额0名，获得龙虾节承保名额0名"/>
        <s v="谢家集周元元伙伴目前获得龙虾节预收名额0名，获得龙虾节承保名额0名"/>
        <s v="凤台李萍伙伴目前获得龙虾节预收名额0名，获得龙虾节承保名额0名"/>
        <s v="淮南本部高媛伙伴目前获得龙虾节预收名额0名，获得龙虾节承保名额0名"/>
        <s v="淮南本部王雪伙伴目前获得龙虾节预收名额0名，获得龙虾节承保名额0名"/>
        <s v="凤台孙漫伙伴目前获得龙虾节预收名额0名，获得龙虾节承保名额0名"/>
        <s v="谢家集黄月媛伙伴目前获得龙虾节预收名额0名，获得龙虾节承保名额0名"/>
        <s v="淮南本部程业云伙伴目前获得龙虾节预收名额0名，获得龙虾节承保名额0名"/>
        <s v="谢家集倪小平伙伴目前获得龙虾节预收名额0名，获得龙虾节承保名额0名"/>
        <s v="谢家集樊荣伙伴目前获得龙虾节预收名额0名，获得龙虾节承保名额0名"/>
        <s v="凤台赵肖伙伴目前获得龙虾节预收名额0名，获得龙虾节承保名额0名"/>
        <s v="淮南本部刘红梅伙伴目前获得龙虾节预收名额0名，获得龙虾节承保名额0名"/>
        <s v="淮南本部陈静伙伴目前获得龙虾节预收名额0名，获得龙虾节承保名额0名"/>
        <s v="淮南本部王小燕伙伴目前获得龙虾节预收名额0名，获得龙虾节承保名额0名"/>
        <s v="凤台刘春艳伙伴目前获得龙虾节预收名额0名，获得龙虾节承保名额0名"/>
        <s v="凤台王洁伙伴目前获得龙虾节预收名额0名，获得龙虾节承保名额0名"/>
        <s v="淮南本部王宛宛伙伴目前获得龙虾节预收名额0名，获得龙虾节承保名额0名"/>
        <s v="谢家集魏春生伙伴目前获得龙虾节预收名额0名，获得龙虾节承保名额0名"/>
        <s v="凤台梁栋伙伴目前获得龙虾节预收名额0名，获得龙虾节承保名额0名"/>
        <s v="凤台荣向芹伙伴目前获得龙虾节预收名额0名，获得龙虾节承保名额0名"/>
        <s v="谢家集孙传宏伙伴目前获得龙虾节预收名额0名，获得龙虾节承保名额0名"/>
        <s v="谢家集陈凯伙伴目前获得龙虾节预收名额0名，获得龙虾节承保名额0名"/>
        <s v="凤台金家好伙伴目前获得龙虾节预收名额0名，获得龙虾节承保名额0名"/>
        <s v="淮南本部吴程程伙伴目前获得龙虾节预收名额0名，获得龙虾节承保名额0名"/>
        <s v="谢家集管国群伙伴目前获得龙虾节预收名额0名，获得龙虾节承保名额0名"/>
        <s v="凤台吴煜伙伴目前获得龙虾节预收名额0名，获得龙虾节承保名额0名"/>
        <s v="凤台常宏利伙伴目前获得龙虾节预收名额0名，获得龙虾节承保名额0名"/>
        <s v="淮南本部徐婉婉伙伴目前获得龙虾节预收名额0名，获得龙虾节承保名额0名"/>
        <s v="淮南本部方若瑜伙伴目前获得龙虾节预收名额0名，获得龙虾节承保名额0名"/>
        <s v="凤台李梅伙伴目前获得龙虾节预收名额0名，获得龙虾节承保名额0名"/>
        <s v="淮南本部杨之义伙伴目前获得龙虾节预收名额0名，获得龙虾节承保名额0名"/>
        <s v="谢家集郑兆喜伙伴目前获得龙虾节预收名额0名，获得龙虾节承保名额0名"/>
        <s v="淮南本部李范勤伙伴目前获得龙虾节预收名额0名，获得龙虾节承保名额0名"/>
        <s v="淮南本部方杰伙伴目前获得龙虾节预收名额0名，获得龙虾节承保名额0名"/>
        <s v="谢家集吴家美伙伴目前获得龙虾节预收名额0名，获得龙虾节承保名额0名"/>
        <s v="淮南本部王秀美伙伴目前获得龙虾节预收名额0名，获得龙虾节承保名额0名"/>
        <s v="谢家集陈榕华伙伴目前获得龙虾节预收名额0名，获得龙虾节承保名额0名"/>
        <s v="凤台叶永艳伙伴目前获得龙虾节预收名额0名，获得龙虾节承保名额0名"/>
        <s v="淮南本部李连秀伙伴目前获得龙虾节预收名额0名，获得龙虾节承保名额0名"/>
        <s v="凤台陈佳敏伙伴目前获得龙虾节预收名额0名，获得龙虾节承保名额0名"/>
        <s v="淮南本部张玉霞伙伴目前获得龙虾节预收名额0名，获得龙虾节承保名额0名"/>
        <s v="谢家集裴华伙伴目前获得龙虾节预收名额0名，获得龙虾节承保名额0名"/>
        <s v="谢家集马强伙伴目前获得龙虾节预收名额0名，获得龙虾节承保名额0名"/>
        <s v="凤台胡莺莺伙伴目前获得龙虾节预收名额0名，获得龙虾节承保名额0名"/>
        <s v="淮南本部芦鸿文伙伴目前获得龙虾节预收名额0名，获得龙虾节承保名额0名"/>
        <s v="谢家集缪龙宇伙伴目前获得龙虾节预收名额0名，获得龙虾节承保名额0名"/>
        <s v="谢家集范晓丽伙伴目前获得龙虾节预收名额0名，获得龙虾节承保名额0名"/>
        <s v="谢家集张丽伙伴目前获得龙虾节预收名额0名，获得龙虾节承保名额0名"/>
        <s v="凤台陈桂侠伙伴目前获得龙虾节预收名额0名，获得龙虾节承保名额0名"/>
        <s v="凤台万德清伙伴目前获得龙虾节预收名额0名，获得龙虾节承保名额0名"/>
        <s v="谢家集王利利伙伴目前获得龙虾节预收名额0名，获得龙虾节承保名额0名"/>
        <s v="淮南本部倪荣跃伙伴目前获得龙虾节预收名额0名，获得龙虾节承保名额0名"/>
        <s v="凤台刘祥伙伴目前获得龙虾节预收名额0名，获得龙虾节承保名额0名"/>
        <s v="凤台刘洁君伙伴目前获得龙虾节预收名额0名，获得龙虾节承保名额0名"/>
        <s v="凤台蔡影伙伴目前获得龙虾节预收名额0名，获得龙虾节承保名额0名"/>
        <s v="淮南本部陆梅伙伴目前获得龙虾节预收名额0名，获得龙虾节承保名额0名"/>
        <s v="凤台李青青伙伴目前获得龙虾节预收名额0名，获得龙虾节承保名额0名"/>
        <s v="凤台陈娟主管目前获得龙虾节预收名额0名，获得龙虾节承保名额0名"/>
        <s v="凤台聂晓梅伙伴目前获得龙虾节预收名额0名，获得龙虾节承保名额0名"/>
        <s v="淮南本部王宗波伙伴目前获得龙虾节预收名额0名，获得龙虾节承保名额0名"/>
        <s v="凤台梁可敏伙伴目前获得龙虾节预收名额0名，获得龙虾节承保名额0名"/>
        <s v="凤台仲静静伙伴目前获得龙虾节预收名额0名，获得龙虾节承保名额0名"/>
        <s v="凤台缪侠伙伴目前获得龙虾节预收名额0名，获得龙虾节承保名额0名"/>
        <s v="凤台蒋中云伙伴目前获得龙虾节预收名额0名，获得龙虾节承保名额0名"/>
        <s v="凤台童明明伙伴目前获得龙虾节预收名额0名，获得龙虾节承保名额0名"/>
        <s v="潘集朱磊磊伙伴目前获得龙虾节预收名额0名，获得龙虾节承保名额0名"/>
        <s v="潘集杨军伙伴目前获得龙虾节预收名额0名，获得龙虾节承保名额0名"/>
        <s v="淮南本部李晓珍伙伴目前获得龙虾节预收名额0名，获得龙虾节承保名额0名"/>
        <s v="淮南本部孙敏伙伴目前获得龙虾节预收名额0名，获得龙虾节承保名额0名"/>
        <s v="凤台吴迎雪伙伴目前获得龙虾节预收名额0名，获得龙虾节承保名额0名"/>
        <s v="淮南本部方国兵伙伴目前获得龙虾节预收名额0名，获得龙虾节承保名额0名"/>
        <s v="谢家集施燕群伙伴目前获得龙虾节预收名额0名，获得龙虾节承保名额0名"/>
        <s v="潘集苏磊伙伴目前获得龙虾节预收名额0名，获得龙虾节承保名额0名"/>
        <s v="淮南本部张磊伙伴目前获得龙虾节预收名额0名，获得龙虾节承保名额0名"/>
        <s v="凤台孙雪萍伙伴目前获得龙虾节预收名额0名，获得龙虾节承保名额0名"/>
        <s v="谢家集刘艳伙伴目前获得龙虾节预收名额0名，获得龙虾节承保名额0名"/>
        <s v="淮南本部李晓寒伙伴目前获得龙虾节预收名额0名，获得龙虾节承保名额0名"/>
        <s v="淮南本部童会主管目前获得龙虾节预收名额0名，获得龙虾节承保名额0名"/>
        <s v="潘集付双勤伙伴目前获得龙虾节预收名额0名，获得龙虾节承保名额0名"/>
        <s v="淮南本部王旭旭伙伴目前获得龙虾节预收名额0名，获得龙虾节承保名额0名"/>
        <s v="凤台胡婷伙伴目前获得龙虾节预收名额0名，获得龙虾节承保名额0名"/>
        <s v="凤台石秀钰伙伴目前获得龙虾节预收名额0名，获得龙虾节承保名额0名"/>
        <s v="凤台梁仁芳伙伴目前获得龙虾节预收名额0名，获得龙虾节承保名额0名"/>
        <s v="淮南本部周淮霞伙伴目前获得龙虾节预收名额0名，获得龙虾节承保名额0名"/>
        <s v="凤台董利伙伴目前获得龙虾节预收名额0名，获得龙虾节承保名额0名"/>
        <s v="淮南本部周家萍伙伴目前获得龙虾节预收名额0名，获得龙虾节承保名额0名"/>
        <s v="谢家集顾正莉伙伴目前获得龙虾节预收名额0名，获得龙虾节承保名额0名"/>
        <s v="淮南本部胡孝萍伙伴目前获得龙虾节预收名额0名，获得龙虾节承保名额0名"/>
        <s v="凤台曹化利伙伴目前获得龙虾节预收名额0名，获得龙虾节承保名额0名"/>
        <s v="谢家集代伟伟伙伴目前获得龙虾节预收名额0名，获得龙虾节承保名额0名"/>
        <s v="谢家集李克勤伙伴目前获得龙虾节预收名额0名，获得龙虾节承保名额0名"/>
        <s v="凤台刘庆书伙伴目前获得龙虾节预收名额0名，获得龙虾节承保名额0名"/>
        <s v="谢家集王蓓凤伙伴目前获得龙虾节预收名额0名，获得龙虾节承保名额0名"/>
        <s v="淮南本部孙雅莉伙伴目前获得龙虾节预收名额0名，获得龙虾节承保名额0名"/>
        <s v="凤台刘庆涛伙伴目前获得龙虾节预收名额0名，获得龙虾节承保名额0名"/>
        <s v="淮南本部刘松伙伴目前获得龙虾节预收名额0名，获得龙虾节承保名额0名"/>
        <s v="淮南本部韩彦霞伙伴目前获得龙虾节预收名额0名，获得龙虾节承保名额0名"/>
        <s v="凤台刘东伙伴目前获得龙虾节预收名额0名，获得龙虾节承保名额0名"/>
        <s v="凤台李开梅主管目前获得龙虾节预收名额0名，获得龙虾节承保名额0名"/>
        <s v="凤台陈军伙伴目前获得龙虾节预收名额0名，获得龙虾节承保名额0名"/>
        <s v="谢家集刘耀强伙伴目前获得龙虾节预收名额0名，获得龙虾节承保名额0名"/>
        <s v="凤台叶永茂伙伴目前获得龙虾节预收名额0名，获得龙虾节承保名额0名"/>
        <s v="淮南本部何静主管目前获得龙虾节预收名额0名，获得龙虾节承保名额0名"/>
        <s v="淮南本部沈宏荣伙伴目前获得龙虾节预收名额0名，获得龙虾节承保名额0名"/>
        <s v="淮南本部程永华伙伴目前获得龙虾节预收名额0名，获得龙虾节承保名额0名"/>
        <s v="谢家集张彩云伙伴目前获得龙虾节预收名额0名，获得龙虾节承保名额0名"/>
        <s v="谢家集陆彬主管目前获得龙虾节预收名额0名，获得龙虾节承保名额0名"/>
        <s v="凤台叶燕燕伙伴目前获得龙虾节预收名额0名，获得龙虾节承保名额0名"/>
        <s v="凤台梁燕群伙伴目前获得龙虾节预收名额0名，获得龙虾节承保名额0名"/>
        <s v="凤台叶龙伙伴目前获得龙虾节预收名额0名，获得龙虾节承保名额0名"/>
        <s v="淮南本部柏楠伙伴目前获得龙虾节预收名额0名，获得龙虾节承保名额0名"/>
        <s v="淮南本部况红梅伙伴目前获得龙虾节预收名额0名，获得龙虾节承保名额0名"/>
        <s v="凤台唐晓燕伙伴目前获得龙虾节预收名额0名，获得龙虾节承保名额0名"/>
        <s v="淮南本部宗友杰伙伴目前获得龙虾节预收名额0名，获得龙虾节承保名额0名"/>
        <s v="凤台宋玉华伙伴目前获得龙虾节预收名额0名，获得龙虾节承保名额0名"/>
        <s v="凤台常红霞伙伴目前获得龙虾节预收名额0名，获得龙虾节承保名额0名"/>
        <s v="凤台万雪梅伙伴目前获得龙虾节预收名额0名，获得龙虾节承保名额0名"/>
        <s v="淮南本部录爱丽主管目前获得龙虾节预收名额0名，获得龙虾节承保名额0名"/>
        <s v="淮南本部陶兰伙伴目前获得龙虾节预收名额0名，获得龙虾节承保名额0名"/>
        <s v="淮南本部李娜伙伴目前获得龙虾节预收名额0名，获得龙虾节承保名额0名"/>
        <s v="淮南本部刘振云伙伴目前获得龙虾节预收名额0名，获得龙虾节承保名额0名"/>
        <s v="淮南本部姚文俊伙伴目前获得龙虾节预收名额0名，获得龙虾节承保名额0名"/>
        <s v="凤台王康玉伙伴目前获得龙虾节预收名额0名，获得龙虾节承保名额0名"/>
        <s v="淮南本部尹淑玉伙伴目前获得龙虾节预收名额0名，获得龙虾节承保名额0名"/>
        <s v="淮南本部王娜伙伴目前获得龙虾节预收名额0名，获得龙虾节承保名额0名"/>
        <s v="淮南本部王道格伙伴目前获得龙虾节预收名额0名，获得龙虾节承保名额0名"/>
        <s v="谢家集周游伙伴目前获得龙虾节预收名额0名，获得龙虾节承保名额0名"/>
        <s v="淮南本部张静伙伴目前获得龙虾节预收名额0名，获得龙虾节承保名额0名"/>
        <s v="凤台陈桂美主管目前获得龙虾节预收名额0名，获得龙虾节承保名额0名"/>
        <s v="凤台万传秀伙伴目前获得龙虾节预收名额0名，获得龙虾节承保名额0名"/>
        <s v="凤台张银银伙伴目前获得龙虾节预收名额0名，获得龙虾节承保名额0名"/>
        <s v="谢家集何建军伙伴目前获得龙虾节预收名额0名，获得龙虾节承保名额0名"/>
        <s v="淮南本部邹怀霞伙伴目前获得龙虾节预收名额0名，获得龙虾节承保名额0名"/>
        <s v="淮南本部宗林伙伴目前获得龙虾节预收名额0名，获得龙虾节承保名额0名"/>
        <s v="淮南本部刘继英主管目前获得龙虾节预收名额0名，获得龙虾节承保名额0名"/>
        <s v="凤台许广纺伙伴目前获得龙虾节预收名额0名，获得龙虾节承保名额0名"/>
        <s v="凤台左颖主管目前获得龙虾节预收名额0名，获得龙虾节承保名额0名"/>
        <s v="淮南本部韦丽丽伙伴目前获得龙虾节预收名额0名，获得龙虾节承保名额0名"/>
        <s v="淮南本部颜世霞伙伴目前获得龙虾节预收名额0名，获得龙虾节承保名额0名"/>
        <s v="淮南本部杨会玲伙伴目前获得龙虾节预收名额0名，获得龙虾节承保名额0名"/>
        <s v="凤台武保米伙伴目前获得龙虾节预收名额0名，获得龙虾节承保名额0名"/>
        <s v="淮南本部常萍伙伴目前获得龙虾节预收名额0名，获得龙虾节承保名额0名"/>
        <s v="淮南本部蔡士兰伙伴目前获得龙虾节预收名额0名，获得龙虾节承保名额0名"/>
        <s v="淮南本部孙庆梅伙伴目前获得龙虾节预收名额0名，获得龙虾节承保名额0名"/>
        <s v="凤台胡本阁主管目前获得龙虾节预收名额0名，获得龙虾节承保名额0名"/>
        <s v="谢家集刘川凤伙伴目前获得龙虾节预收名额0名，获得龙虾节承保名额0名"/>
        <s v="谢家集叶琳主管目前获得龙虾节预收名额0名，获得龙虾节承保名额0名"/>
        <s v="谢家集樊琦伙伴目前获得龙虾节预收名额0名，获得龙虾节承保名额0名"/>
        <s v="谢家集王新雯伙伴目前获得龙虾节预收名额0名，获得龙虾节承保名额0名"/>
        <s v="凤台缪玉玲伙伴目前获得龙虾节预收名额0名，获得龙虾节承保名额0名"/>
        <s v="淮南本部王来艳伙伴目前获得龙虾节预收名额0名，获得龙虾节承保名额0名"/>
        <s v="谢家集董慧慧伙伴目前获得龙虾节预收名额0名，获得龙虾节承保名额0名"/>
      </sharedItems>
    </cacheField>
    <cacheField name="冲锋队缴费金额" numFmtId="177">
      <sharedItems containsSemiMixedTypes="0" containsString="0" containsNumber="1" containsInteger="1" minValue="0" maxValue="400" count="3">
        <n v="200"/>
        <n v="400"/>
        <n v="0"/>
      </sharedItems>
    </cacheField>
    <cacheField name="预收拟返还" numFmtId="177">
      <sharedItems containsSemiMixedTypes="0" containsString="0" containsNumber="1" containsInteger="1" minValue="0" maxValue="400" count="4">
        <n v="200"/>
        <n v="100"/>
        <n v="400"/>
        <n v="0"/>
      </sharedItems>
    </cacheField>
    <cacheField name="承保拟返还" numFmtId="177">
      <sharedItems containsSemiMixedTypes="0" containsString="0" containsNumber="1" containsInteger="1" minValue="0" maxValue="400" count="4">
        <n v="0"/>
        <n v="100"/>
        <n v="200"/>
        <n v="400"/>
      </sharedItems>
    </cacheField>
    <cacheField name="返还方案追踪简述" numFmtId="177">
      <sharedItems count="305">
        <s v="淮南本部程楠伙伴冲锋队缴费金额200元，目前预收价值11168.7，预收拟返还200元，承保拟返还0元"/>
        <s v="淮南本部方林主管冲锋队缴费金额200元，目前预收价值9786.6，预收拟返还200元，承保拟返还100元"/>
        <s v="淮南本部程梅伙伴冲锋队缴费金额200元，目前预收价值5341.3，预收拟返还200元，承保拟返还0元"/>
        <s v="淮南本部杨书珍主管冲锋队缴费金额200元，目前预收价值3151.8，预收拟返还100元，承保拟返还0元"/>
        <s v="谢家集杨琴伙伴冲锋队缴费金额200元，目前预收价值8298.5，预收拟返还200元，承保拟返还0元"/>
        <s v="凤台刘康丽伙伴冲锋队缴费金额200元，目前预收价值8116.4，预收拟返还200元，承保拟返还200元"/>
        <s v="谢家集杨娟主管冲锋队缴费金额400元，目前预收价值5584.1，预收拟返还400元，承保拟返还400元"/>
        <s v="淮南本部陈宏霞主管冲锋队缴费金额200元，目前预收价值3195.8，预收拟返还100元，承保拟返还100元"/>
        <s v="淮南本部王来如伙伴冲锋队缴费金额0元，目前预收价值2607.1，预收拟返还0元，承保拟返还0元"/>
        <s v="淮南本部程文侠主管冲锋队缴费金额200元，目前预收价值1825，预收拟返还0元，承保拟返还0元"/>
        <s v="淮南本部吴苑主管冲锋队缴费金额200元，目前预收价值385.1，预收拟返还0元，承保拟返还0元"/>
        <s v="凤台康菊伙伴冲锋队缴费金额200元，目前预收价值317.2，预收拟返还0元，承保拟返还0元"/>
        <s v="凤台李玲伙伴冲锋队缴费金额0元，目前预收价值91，预收拟返还0元，承保拟返还0元"/>
        <s v="淮南本部王毅铭伙伴冲锋队缴费金额0元，目前预收价值31.4，预收拟返还0元，承保拟返还0元"/>
        <s v="凤台花志勇主管冲锋队缴费金额0元，目前预收价值27.9，预收拟返还0元，承保拟返还0元"/>
        <s v="淮南本部张秀丽伙伴冲锋队缴费金额0元，目前预收价值13.7，预收拟返还0元，承保拟返还0元"/>
        <s v="凤台张文粉伙伴冲锋队缴费金额200元，目前预收价值5.2，预收拟返还0元，承保拟返还0元"/>
        <s v="凤台吴在芝伙伴冲锋队缴费金额0元，目前预收价值0，预收拟返还0元，承保拟返还0元"/>
        <s v="凤台储丽娜伙伴冲锋队缴费金额0元，目前预收价值0，预收拟返还0元，承保拟返还0元"/>
        <s v="淮南本部张少琴伙伴冲锋队缴费金额0元，目前预收价值0，预收拟返还0元，承保拟返还0元"/>
        <s v="凤台马保伙伴冲锋队缴费金额0元，目前预收价值0，预收拟返还0元，承保拟返还0元"/>
        <s v="凤台任永生伙伴冲锋队缴费金额200元，目前预收价值0，预收拟返还0元，承保拟返还0元"/>
        <s v="凤台李廷廷伙伴冲锋队缴费金额0元，目前预收价值0，预收拟返还0元，承保拟返还0元"/>
        <s v="凤台谢丽伙伴冲锋队缴费金额200元，目前预收价值0，预收拟返还0元，承保拟返还0元"/>
        <s v="淮南本部王思齐伙伴冲锋队缴费金额0元，目前预收价值0，预收拟返还0元，承保拟返还0元"/>
        <s v="凤台钮芳伙伴冲锋队缴费金额0元，目前预收价值0，预收拟返还0元，承保拟返还0元"/>
        <s v="淮南本部杨海山伙伴冲锋队缴费金额200元，目前预收价值0，预收拟返还0元，承保拟返还0元"/>
        <s v="谢家集庄山菊伙伴冲锋队缴费金额0元，目前预收价值0，预收拟返还0元，承保拟返还0元"/>
        <s v="淮南本部陈利媛伙伴冲锋队缴费金额0元，目前预收价值0，预收拟返还0元，承保拟返还0元"/>
        <s v="谢家集蔡瑞群伙伴冲锋队缴费金额0元，目前预收价值0，预收拟返还0元，承保拟返还0元"/>
        <s v="淮南本部张洪娟伙伴冲锋队缴费金额0元，目前预收价值0，预收拟返还0元，承保拟返还0元"/>
        <s v="淮南本部徐贺伙伴冲锋队缴费金额0元，目前预收价值0，预收拟返还0元，承保拟返还0元"/>
        <s v="谢家集单红侠伙伴冲锋队缴费金额200元，目前预收价值0，预收拟返还0元，承保拟返还0元"/>
        <s v="淮南本部丁静伙伴冲锋队缴费金额0元，目前预收价值0，预收拟返还0元，承保拟返还0元"/>
        <s v="淮南本部王芸芸伙伴冲锋队缴费金额0元，目前预收价值0，预收拟返还0元，承保拟返还0元"/>
        <s v="谢家集陈连梅伙伴冲锋队缴费金额0元，目前预收价值0，预收拟返还0元，承保拟返还0元"/>
        <s v="凤台缪国龙伙伴冲锋队缴费金额0元，目前预收价值0，预收拟返还0元，承保拟返还0元"/>
        <s v="凤台王平伙伴冲锋队缴费金额0元，目前预收价值0，预收拟返还0元，承保拟返还0元"/>
        <s v="谢家集王花花伙伴冲锋队缴费金额0元，目前预收价值0，预收拟返还0元，承保拟返还0元"/>
        <s v="谢家集杨晶晶伙伴冲锋队缴费金额200元，目前预收价值0，预收拟返还0元，承保拟返还0元"/>
        <s v="谢家集郁银芳伙伴冲锋队缴费金额0元，目前预收价值0，预收拟返还0元，承保拟返还0元"/>
        <s v="淮南本部陈雯雯伙伴冲锋队缴费金额0元，目前预收价值0，预收拟返还0元，承保拟返还0元"/>
        <s v="淮南本部褚恋恋伙伴冲锋队缴费金额200元，目前预收价值0，预收拟返还0元，承保拟返还0元"/>
        <s v="凤台柏祖林伙伴冲锋队缴费金额200元，目前预收价值0，预收拟返还0元，承保拟返还0元"/>
        <s v="凤台刘艳伙伴冲锋队缴费金额0元，目前预收价值0，预收拟返还0元，承保拟返还0元"/>
        <s v="谢家集张君志伙伴冲锋队缴费金额0元，目前预收价值0，预收拟返还0元，承保拟返还0元"/>
        <s v="谢家集王梅芝伙伴冲锋队缴费金额0元，目前预收价值0，预收拟返还0元，承保拟返还0元"/>
        <s v="凤台王朋伙伴冲锋队缴费金额200元，目前预收价值0，预收拟返还0元，承保拟返还0元"/>
        <s v="凤台李芳芳伙伴冲锋队缴费金额0元，目前预收价值0，预收拟返还0元，承保拟返还0元"/>
        <s v="淮南本部程娇娇伙伴冲锋队缴费金额0元，目前预收价值0，预收拟返还0元，承保拟返还0元"/>
        <s v="谢家集陈晓艳伙伴冲锋队缴费金额0元，目前预收价值0，预收拟返还0元，承保拟返还0元"/>
        <s v="凤台郑皓月伙伴冲锋队缴费金额200元，目前预收价值0，预收拟返还0元，承保拟返还0元"/>
        <s v="谢家集陶松梅伙伴冲锋队缴费金额0元，目前预收价值0，预收拟返还0元，承保拟返还0元"/>
        <s v="凤台刘杰伙伴冲锋队缴费金额0元，目前预收价值0，预收拟返还0元，承保拟返还0元"/>
        <s v="凤台黄玲伙伴冲锋队缴费金额200元，目前预收价值0，预收拟返还0元，承保拟返还0元"/>
        <s v="谢家集刘锐伙伴冲锋队缴费金额200元，目前预收价值3478.4，预收拟返还100元，承保拟返还0元"/>
        <s v="淮南本部姚守四伙伴冲锋队缴费金额0元，目前预收价值0，预收拟返还0元，承保拟返还0元"/>
        <s v="淮南本部杨积莹伙伴冲锋队缴费金额0元，目前预收价值0，预收拟返还0元，承保拟返还0元"/>
        <s v="淮南本部程单单伙伴冲锋队缴费金额200元，目前预收价值0，预收拟返还0元，承保拟返还0元"/>
        <s v="淮南本部夏海力伙伴冲锋队缴费金额200元，目前预收价值0，预收拟返还0元，承保拟返还0元"/>
        <s v="淮南本部胡美华伙伴冲锋队缴费金额0元，目前预收价值0，预收拟返还0元，承保拟返还0元"/>
        <s v="淮南本部姚昌梅伙伴冲锋队缴费金额0元，目前预收价值0，预收拟返还0元，承保拟返还0元"/>
        <s v="淮南本部沈金悦伙伴冲锋队缴费金额200元，目前预收价值0，预收拟返还0元，承保拟返还0元"/>
        <s v="谢家集丁杰伙伴冲锋队缴费金额0元，目前预收价值0，预收拟返还0元，承保拟返还0元"/>
        <s v="淮南本部李洋伙伴冲锋队缴费金额0元，目前预收价值0，预收拟返还0元，承保拟返还0元"/>
        <s v="淮南本部王静伙伴冲锋队缴费金额0元，目前预收价值0，预收拟返还0元，承保拟返还0元"/>
        <s v="淮南本部陈家甫伙伴冲锋队缴费金额0元，目前预收价值0，预收拟返还0元，承保拟返还0元"/>
        <s v="凤台李悦伙伴冲锋队缴费金额200元，目前预收价值0，预收拟返还0元，承保拟返还0元"/>
        <s v="淮南本部李玲俐伙伴冲锋队缴费金额0元，目前预收价值0，预收拟返还0元，承保拟返还0元"/>
        <s v="谢家集胡文卿伙伴冲锋队缴费金额0元，目前预收价值0，预收拟返还0元，承保拟返还0元"/>
        <s v="淮南本部段艳勤伙伴冲锋队缴费金额0元，目前预收价值0，预收拟返还0元，承保拟返还0元"/>
        <s v="淮南本部程晋远伙伴冲锋队缴费金额0元，目前预收价值0，预收拟返还0元，承保拟返还0元"/>
        <s v="淮南本部陈莎莎伙伴冲锋队缴费金额0元，目前预收价值0，预收拟返还0元，承保拟返还0元"/>
        <s v="淮南本部孙艳霞伙伴冲锋队缴费金额0元，目前预收价值0，预收拟返还0元，承保拟返还0元"/>
        <s v="淮南本部徐基云伙伴冲锋队缴费金额200元，目前预收价值0，预收拟返还0元，承保拟返还0元"/>
        <s v="淮南本部张辉伙伴冲锋队缴费金额0元，目前预收价值0，预收拟返还0元，承保拟返还0元"/>
        <s v="淮南本部李敬腾伙伴冲锋队缴费金额0元，目前预收价值0，预收拟返还0元，承保拟返还0元"/>
        <s v="凤台刘金金伙伴冲锋队缴费金额0元，目前预收价值0，预收拟返还0元，承保拟返还0元"/>
        <s v="凤台段传颖伙伴冲锋队缴费金额0元，目前预收价值0，预收拟返还0元，承保拟返还0元"/>
        <s v="凤台胡奇珍伙伴冲锋队缴费金额0元，目前预收价值0，预收拟返还0元，承保拟返还0元"/>
        <s v="淮南本部徐梅伙伴冲锋队缴费金额0元，目前预收价值0，预收拟返还0元，承保拟返还0元"/>
        <s v="凤台吴妮妮伙伴冲锋队缴费金额0元，目前预收价值0，预收拟返还0元，承保拟返还0元"/>
        <s v="凤台信萍伙伴冲锋队缴费金额0元，目前预收价值0，预收拟返还0元，承保拟返还0元"/>
        <s v="淮南本部刘鹤伙伴冲锋队缴费金额0元，目前预收价值0，预收拟返还0元，承保拟返还0元"/>
        <s v="谢家集侯素良伙伴冲锋队缴费金额0元，目前预收价值0，预收拟返还0元，承保拟返还0元"/>
        <s v="淮南本部魏娟伙伴冲锋队缴费金额0元，目前预收价值0，预收拟返还0元，承保拟返还0元"/>
        <s v="淮南本部郑悦伙伴冲锋队缴费金额0元，目前预收价值0，预收拟返还0元，承保拟返还0元"/>
        <s v="淮南本部程路路伙伴冲锋队缴费金额0元，目前预收价值0，预收拟返还0元，承保拟返还0元"/>
        <s v="谢家集刘金萍伙伴冲锋队缴费金额0元，目前预收价值0，预收拟返还0元，承保拟返还0元"/>
        <s v="凤台徐杏伙伴冲锋队缴费金额0元，目前预收价值0，预收拟返还0元，承保拟返还0元"/>
        <s v="淮南本部张兴珍伙伴冲锋队缴费金额0元，目前预收价值0，预收拟返还0元，承保拟返还0元"/>
        <s v="谢家集夏继梅伙伴冲锋队缴费金额0元，目前预收价值0，预收拟返还0元，承保拟返还0元"/>
        <s v="淮南本部褚孝妹伙伴冲锋队缴费金额200元，目前预收价值0，预收拟返还0元，承保拟返还0元"/>
        <s v="凤台魏茂盛伙伴冲锋队缴费金额0元，目前预收价值0，预收拟返还0元，承保拟返还0元"/>
        <s v="凤台高秀梅伙伴冲锋队缴费金额0元，目前预收价值0，预收拟返还0元，承保拟返还0元"/>
        <s v="凤台万其红伙伴冲锋队缴费金额0元，目前预收价值0，预收拟返还0元，承保拟返还0元"/>
        <s v="淮南本部杨洋伙伴冲锋队缴费金额0元，目前预收价值0，预收拟返还0元，承保拟返还0元"/>
        <s v="淮南本部曹素光伙伴冲锋队缴费金额0元，目前预收价值0，预收拟返还0元，承保拟返还0元"/>
        <s v="淮南本部谷玲伙伴冲锋队缴费金额0元，目前预收价值0，预收拟返还0元，承保拟返还0元"/>
        <s v="凤台米莲伙伴冲锋队缴费金额200元，目前预收价值0，预收拟返还0元，承保拟返还0元"/>
        <s v="凤台胡程程伙伴冲锋队缴费金额0元，目前预收价值0，预收拟返还0元，承保拟返还0元"/>
        <s v="淮南本部刘卫国伙伴冲锋队缴费金额0元，目前预收价值0，预收拟返还0元，承保拟返还0元"/>
        <s v="淮南本部周蓓伙伴冲锋队缴费金额0元，目前预收价值0，预收拟返还0元，承保拟返还0元"/>
        <s v="凤台王秀芹伙伴冲锋队缴费金额0元，目前预收价值0，预收拟返还0元，承保拟返还0元"/>
        <s v="凤台彭丽杰伙伴冲锋队缴费金额200元，目前预收价值0，预收拟返还0元，承保拟返还0元"/>
        <s v="凤台陈尚伙伴冲锋队缴费金额0元，目前预收价值0，预收拟返还0元，承保拟返还0元"/>
        <s v="凤台陈斌伙伴冲锋队缴费金额0元，目前预收价值0，预收拟返还0元，承保拟返还0元"/>
        <s v="凤台叶艳伙伴冲锋队缴费金额200元，目前预收价值0，预收拟返还0元，承保拟返还0元"/>
        <s v="淮南本部王宏伙伴冲锋队缴费金额0元，目前预收价值0，预收拟返还0元，承保拟返还0元"/>
        <s v="凤台高岑伙伴冲锋队缴费金额0元，目前预收价值0，预收拟返还0元，承保拟返还0元"/>
        <s v="凤台刘庆楠伙伴冲锋队缴费金额0元，目前预收价值0，预收拟返还0元，承保拟返还0元"/>
        <s v="凤台高菊秋伙伴冲锋队缴费金额0元，目前预收价值0，预收拟返还0元，承保拟返还0元"/>
        <s v="凤台吕荣刚伙伴冲锋队缴费金额0元，目前预收价值0，预收拟返还0元，承保拟返还0元"/>
        <s v="凤台陈利娜伙伴冲锋队缴费金额0元，目前预收价值0，预收拟返还0元，承保拟返还0元"/>
        <s v="凤台冯春莲伙伴冲锋队缴费金额0元，目前预收价值0，预收拟返还0元，承保拟返还0元"/>
        <s v="凤台潘明月伙伴冲锋队缴费金额0元，目前预收价值0，预收拟返还0元，承保拟返还0元"/>
        <s v="凤台谢齐安伙伴冲锋队缴费金额0元，目前预收价值0，预收拟返还0元，承保拟返还0元"/>
        <s v="淮南本部范春霞伙伴冲锋队缴费金额0元，目前预收价值0，预收拟返还0元，承保拟返还0元"/>
        <s v="淮南本部陶莎伙伴冲锋队缴费金额0元，目前预收价值0，预收拟返还0元，承保拟返还0元"/>
        <s v="淮南本部刘翠伙伴冲锋队缴费金额200元，目前预收价值0，预收拟返还0元，承保拟返还0元"/>
        <s v="谢家集陈苗苗伙伴冲锋队缴费金额0元，目前预收价值0，预收拟返还0元，承保拟返还0元"/>
        <s v="凤台石秀凤伙伴冲锋队缴费金额0元，目前预收价值0，预收拟返还0元，承保拟返还0元"/>
        <s v="凤台叶文兰伙伴冲锋队缴费金额0元，目前预收价值0，预收拟返还0元，承保拟返还0元"/>
        <s v="凤台陈利萍伙伴冲锋队缴费金额200元，目前预收价值0，预收拟返还0元，承保拟返还0元"/>
        <s v="淮南本部陈艳伙伴冲锋队缴费金额0元，目前预收价值0，预收拟返还0元，承保拟返还0元"/>
        <s v="凤台孙艳伙伴冲锋队缴费金额200元，目前预收价值0，预收拟返还0元，承保拟返还0元"/>
        <s v="淮南本部高文龙伙伴冲锋队缴费金额0元，目前预收价值0，预收拟返还0元，承保拟返还0元"/>
        <s v="淮南本部王芝斌伙伴冲锋队缴费金额0元，目前预收价值0，预收拟返还0元，承保拟返还0元"/>
        <s v="淮南本部宋业凤主管冲锋队缴费金额200元，目前预收价值0，预收拟返还0元，承保拟返还0元"/>
        <s v="淮南本部夏大鹏伙伴冲锋队缴费金额0元，目前预收价值0，预收拟返还0元，承保拟返还0元"/>
        <s v="谢家集祁玉苗伙伴冲锋队缴费金额0元，目前预收价值0，预收拟返还0元，承保拟返还0元"/>
        <s v="淮南本部胡成梅伙伴冲锋队缴费金额0元，目前预收价值0，预收拟返还0元，承保拟返还0元"/>
        <s v="谢家集李萍伙伴冲锋队缴费金额0元，目前预收价值0，预收拟返还0元，承保拟返还0元"/>
        <s v="凤台段军平伙伴冲锋队缴费金额0元，目前预收价值0，预收拟返还0元，承保拟返还0元"/>
        <s v="淮南本部曹建航伙伴冲锋队缴费金额0元，目前预收价值0，预收拟返还0元，承保拟返还0元"/>
        <s v="淮南本部王沁主管冲锋队缴费金额200元，目前预收价值0，预收拟返还0元，承保拟返还0元"/>
        <s v="凤台王克侠伙伴冲锋队缴费金额0元，目前预收价值0，预收拟返还0元，承保拟返还0元"/>
        <s v="凤台李芹伙伴冲锋队缴费金额0元，目前预收价值0，预收拟返还0元，承保拟返还0元"/>
        <s v="淮南本部钟秀丽伙伴冲锋队缴费金额0元，目前预收价值0，预收拟返还0元，承保拟返还0元"/>
        <s v="淮南本部张萍伙伴冲锋队缴费金额0元，目前预收价值0，预收拟返还0元，承保拟返还0元"/>
        <s v="凤台荣树红伙伴冲锋队缴费金额0元，目前预收价值0，预收拟返还0元，承保拟返还0元"/>
        <s v="凤台宋德永伙伴冲锋队缴费金额0元，目前预收价值0，预收拟返还0元，承保拟返还0元"/>
        <s v="淮南本部宋芳丽伙伴冲锋队缴费金额0元，目前预收价值0，预收拟返还0元，承保拟返还0元"/>
        <s v="淮南本部焦玉荣伙伴冲锋队缴费金额0元，目前预收价值0，预收拟返还0元，承保拟返还0元"/>
        <s v="凤台刘盼盼伙伴冲锋队缴费金额0元，目前预收价值0，预收拟返还0元，承保拟返还0元"/>
        <s v="凤台张玲伙伴冲锋队缴费金额0元，目前预收价值0，预收拟返还0元，承保拟返还0元"/>
        <s v="谢家集吴怀兰伙伴冲锋队缴费金额200元，目前预收价值0，预收拟返还0元，承保拟返还0元"/>
        <s v="谢家集汪嘉维伙伴冲锋队缴费金额0元，目前预收价值0，预收拟返还0元，承保拟返还0元"/>
        <s v="淮南本部宫丽曼伙伴冲锋队缴费金额0元，目前预收价值0，预收拟返还0元，承保拟返还0元"/>
        <s v="谢家集王凤伙伴冲锋队缴费金额0元，目前预收价值0，预收拟返还0元，承保拟返还0元"/>
        <s v="淮南本部谢雨晨伙伴冲锋队缴费金额0元，目前预收价值0，预收拟返还0元，承保拟返还0元"/>
        <s v="凤台袁萍萍伙伴冲锋队缴费金额0元，目前预收价值0，预收拟返还0元，承保拟返还0元"/>
        <s v="淮南本部聂慧慧伙伴冲锋队缴费金额0元，目前预收价值0，预收拟返还0元，承保拟返还0元"/>
        <s v="谢家集周元元伙伴冲锋队缴费金额0元，目前预收价值0，预收拟返还0元，承保拟返还0元"/>
        <s v="凤台李萍伙伴冲锋队缴费金额0元，目前预收价值0，预收拟返还0元，承保拟返还0元"/>
        <s v="淮南本部高媛伙伴冲锋队缴费金额0元，目前预收价值0，预收拟返还0元，承保拟返还0元"/>
        <s v="淮南本部王雪伙伴冲锋队缴费金额0元，目前预收价值0，预收拟返还0元，承保拟返还0元"/>
        <s v="凤台孙漫伙伴冲锋队缴费金额0元，目前预收价值0，预收拟返还0元，承保拟返还0元"/>
        <s v="谢家集黄月媛伙伴冲锋队缴费金额0元，目前预收价值0，预收拟返还0元，承保拟返还0元"/>
        <s v="淮南本部程业云伙伴冲锋队缴费金额200元，目前预收价值0，预收拟返还0元，承保拟返还0元"/>
        <s v="谢家集倪小平伙伴冲锋队缴费金额200元，目前预收价值0，预收拟返还0元，承保拟返还0元"/>
        <s v="谢家集樊荣伙伴冲锋队缴费金额0元，目前预收价值0，预收拟返还0元，承保拟返还0元"/>
        <s v="凤台赵肖伙伴冲锋队缴费金额0元，目前预收价值0，预收拟返还0元，承保拟返还0元"/>
        <s v="淮南本部刘红梅伙伴冲锋队缴费金额0元，目前预收价值0，预收拟返还0元，承保拟返还0元"/>
        <s v="淮南本部陈静伙伴冲锋队缴费金额0元，目前预收价值0，预收拟返还0元，承保拟返还0元"/>
        <s v="淮南本部王小燕伙伴冲锋队缴费金额0元，目前预收价值0，预收拟返还0元，承保拟返还0元"/>
        <s v="凤台刘春艳伙伴冲锋队缴费金额0元，目前预收价值0，预收拟返还0元，承保拟返还0元"/>
        <s v="凤台王洁伙伴冲锋队缴费金额0元，目前预收价值0，预收拟返还0元，承保拟返还0元"/>
        <s v="淮南本部王宛宛伙伴冲锋队缴费金额0元，目前预收价值0，预收拟返还0元，承保拟返还0元"/>
        <s v="谢家集魏春生伙伴冲锋队缴费金额0元，目前预收价值0，预收拟返还0元，承保拟返还0元"/>
        <s v="凤台梁栋伙伴冲锋队缴费金额0元，目前预收价值0，预收拟返还0元，承保拟返还0元"/>
        <s v="凤台荣向芹伙伴冲锋队缴费金额0元，目前预收价值0，预收拟返还0元，承保拟返还0元"/>
        <s v="谢家集孙传宏伙伴冲锋队缴费金额0元，目前预收价值0，预收拟返还0元，承保拟返还0元"/>
        <s v="谢家集陈凯伙伴冲锋队缴费金额0元，目前预收价值0，预收拟返还0元，承保拟返还0元"/>
        <s v="凤台金家好伙伴冲锋队缴费金额0元，目前预收价值0，预收拟返还0元，承保拟返还0元"/>
        <s v="淮南本部吴程程伙伴冲锋队缴费金额200元，目前预收价值0，预收拟返还0元，承保拟返还0元"/>
        <s v="谢家集管国群伙伴冲锋队缴费金额0元，目前预收价值0，预收拟返还0元，承保拟返还0元"/>
        <s v="凤台吴煜伙伴冲锋队缴费金额0元，目前预收价值0，预收拟返还0元，承保拟返还0元"/>
        <s v="凤台常宏利伙伴冲锋队缴费金额0元，目前预收价值0，预收拟返还0元，承保拟返还0元"/>
        <s v="淮南本部徐婉婉伙伴冲锋队缴费金额0元，目前预收价值0，预收拟返还0元，承保拟返还0元"/>
        <s v="淮南本部方若瑜伙伴冲锋队缴费金额0元，目前预收价值0，预收拟返还0元，承保拟返还0元"/>
        <s v="凤台李梅伙伴冲锋队缴费金额0元，目前预收价值0，预收拟返还0元，承保拟返还0元"/>
        <s v="淮南本部杨之义伙伴冲锋队缴费金额0元，目前预收价值0，预收拟返还0元，承保拟返还0元"/>
        <s v="谢家集郑兆喜伙伴冲锋队缴费金额0元，目前预收价值0，预收拟返还0元，承保拟返还0元"/>
        <s v="淮南本部李范勤伙伴冲锋队缴费金额0元，目前预收价值0，预收拟返还0元，承保拟返还0元"/>
        <s v="淮南本部方杰伙伴冲锋队缴费金额0元，目前预收价值0，预收拟返还0元，承保拟返还0元"/>
        <s v="谢家集吴家美伙伴冲锋队缴费金额200元，目前预收价值0，预收拟返还0元，承保拟返还0元"/>
        <s v="淮南本部王秀美伙伴冲锋队缴费金额0元，目前预收价值0，预收拟返还0元，承保拟返还0元"/>
        <s v="谢家集陈榕华伙伴冲锋队缴费金额200元，目前预收价值0，预收拟返还0元，承保拟返还0元"/>
        <s v="凤台叶永艳伙伴冲锋队缴费金额200元，目前预收价值0，预收拟返还0元，承保拟返还0元"/>
        <s v="淮南本部李连秀伙伴冲锋队缴费金额0元，目前预收价值0，预收拟返还0元，承保拟返还0元"/>
        <s v="凤台陈佳敏伙伴冲锋队缴费金额0元，目前预收价值0，预收拟返还0元，承保拟返还0元"/>
        <s v="淮南本部张玉霞伙伴冲锋队缴费金额0元，目前预收价值0，预收拟返还0元，承保拟返还0元"/>
        <s v="谢家集裴华伙伴冲锋队缴费金额0元，目前预收价值0，预收拟返还0元，承保拟返还0元"/>
        <s v="谢家集马强伙伴冲锋队缴费金额200元，目前预收价值0，预收拟返还0元，承保拟返还0元"/>
        <s v="凤台李玲伙伴冲锋队缴费金额0元，目前预收价值0，预收拟返还0元，承保拟返还0元"/>
        <s v="凤台胡莺莺伙伴冲锋队缴费金额0元，目前预收价值0，预收拟返还0元，承保拟返还0元"/>
        <s v="淮南本部芦鸿文伙伴冲锋队缴费金额0元，目前预收价值0，预收拟返还0元，承保拟返还0元"/>
        <s v="谢家集缪龙宇伙伴冲锋队缴费金额0元，目前预收价值0，预收拟返还0元，承保拟返还0元"/>
        <s v="谢家集范晓丽伙伴冲锋队缴费金额0元，目前预收价值0，预收拟返还0元，承保拟返还0元"/>
        <s v="谢家集张丽伙伴冲锋队缴费金额0元，目前预收价值0，预收拟返还0元，承保拟返还0元"/>
        <s v="凤台陈桂侠伙伴冲锋队缴费金额0元，目前预收价值0，预收拟返还0元，承保拟返还0元"/>
        <s v="凤台万德清伙伴冲锋队缴费金额0元，目前预收价值0，预收拟返还0元，承保拟返还0元"/>
        <s v="谢家集王利利伙伴冲锋队缴费金额0元，目前预收价值0，预收拟返还0元，承保拟返还0元"/>
        <s v="淮南本部倪荣跃伙伴冲锋队缴费金额0元，目前预收价值0，预收拟返还0元，承保拟返还0元"/>
        <s v="凤台刘祥伙伴冲锋队缴费金额0元，目前预收价值0，预收拟返还0元，承保拟返还0元"/>
        <s v="凤台刘洁君伙伴冲锋队缴费金额0元，目前预收价值0，预收拟返还0元，承保拟返还0元"/>
        <s v="凤台蔡影伙伴冲锋队缴费金额0元，目前预收价值0，预收拟返还0元，承保拟返还0元"/>
        <s v="淮南本部陆梅伙伴冲锋队缴费金额0元，目前预收价值0，预收拟返还0元，承保拟返还0元"/>
        <s v="凤台李青青伙伴冲锋队缴费金额0元，目前预收价值0，预收拟返还0元，承保拟返还0元"/>
        <s v="凤台陈娟主管冲锋队缴费金额200元，目前预收价值0，预收拟返还0元，承保拟返还0元"/>
        <s v="凤台聂晓梅伙伴冲锋队缴费金额0元，目前预收价值0，预收拟返还0元，承保拟返还0元"/>
        <s v="淮南本部王宗波伙伴冲锋队缴费金额0元，目前预收价值0，预收拟返还0元，承保拟返还0元"/>
        <s v="凤台梁可敏伙伴冲锋队缴费金额0元，目前预收价值0，预收拟返还0元，承保拟返还0元"/>
        <s v="凤台仲静静伙伴冲锋队缴费金额0元，目前预收价值0，预收拟返还0元，承保拟返还0元"/>
        <s v="凤台缪侠伙伴冲锋队缴费金额200元，目前预收价值0，预收拟返还0元，承保拟返还0元"/>
        <s v="凤台蒋中云伙伴冲锋队缴费金额0元，目前预收价值0，预收拟返还0元，承保拟返还0元"/>
        <s v="凤台童明明伙伴冲锋队缴费金额0元，目前预收价值0，预收拟返还0元，承保拟返还0元"/>
        <s v="潘集朱磊磊伙伴冲锋队缴费金额0元，目前预收价值0，预收拟返还0元，承保拟返还0元"/>
        <s v="潘集杨军伙伴冲锋队缴费金额0元，目前预收价值0，预收拟返还0元，承保拟返还0元"/>
        <s v="淮南本部李晓珍伙伴冲锋队缴费金额0元，目前预收价值0，预收拟返还0元，承保拟返还0元"/>
        <s v="淮南本部孙敏伙伴冲锋队缴费金额0元，目前预收价值0，预收拟返还0元，承保拟返还0元"/>
        <s v="凤台吴迎雪伙伴冲锋队缴费金额0元，目前预收价值0，预收拟返还0元，承保拟返还0元"/>
        <s v="淮南本部方国兵伙伴冲锋队缴费金额0元，目前预收价值0，预收拟返还0元，承保拟返还0元"/>
        <s v="谢家集施燕群伙伴冲锋队缴费金额200元，目前预收价值0，预收拟返还0元，承保拟返还0元"/>
        <s v="潘集苏磊伙伴冲锋队缴费金额0元，目前预收价值0，预收拟返还0元，承保拟返还0元"/>
        <s v="淮南本部张磊伙伴冲锋队缴费金额0元，目前预收价值0，预收拟返还0元，承保拟返还0元"/>
        <s v="凤台孙雪萍伙伴冲锋队缴费金额0元，目前预收价值0，预收拟返还0元，承保拟返还0元"/>
        <s v="谢家集刘艳伙伴冲锋队缴费金额0元，目前预收价值0，预收拟返还0元，承保拟返还0元"/>
        <s v="淮南本部李晓寒伙伴冲锋队缴费金额0元，目前预收价值0，预收拟返还0元，承保拟返还0元"/>
        <s v="淮南本部童会主管冲锋队缴费金额200元，目前预收价值0，预收拟返还0元，承保拟返还0元"/>
        <s v="潘集付双勤伙伴冲锋队缴费金额0元，目前预收价值0，预收拟返还0元，承保拟返还0元"/>
        <s v="淮南本部王旭旭伙伴冲锋队缴费金额0元，目前预收价值0，预收拟返还0元，承保拟返还0元"/>
        <s v="凤台胡婷伙伴冲锋队缴费金额0元，目前预收价值0，预收拟返还0元，承保拟返还0元"/>
        <s v="凤台石秀钰伙伴冲锋队缴费金额0元，目前预收价值0，预收拟返还0元，承保拟返还0元"/>
        <s v="凤台梁仁芳伙伴冲锋队缴费金额0元，目前预收价值0，预收拟返还0元，承保拟返还0元"/>
        <s v="淮南本部周淮霞伙伴冲锋队缴费金额0元，目前预收价值0，预收拟返还0元，承保拟返还0元"/>
        <s v="凤台董利伙伴冲锋队缴费金额0元，目前预收价值0，预收拟返还0元，承保拟返还0元"/>
        <s v="淮南本部周家萍伙伴冲锋队缴费金额0元，目前预收价值0，预收拟返还0元，承保拟返还0元"/>
        <s v="谢家集顾正莉伙伴冲锋队缴费金额0元，目前预收价值0，预收拟返还0元，承保拟返还0元"/>
        <s v="淮南本部胡孝萍伙伴冲锋队缴费金额200元，目前预收价值0，预收拟返还0元，承保拟返还0元"/>
        <s v="凤台曹化利伙伴冲锋队缴费金额0元，目前预收价值0，预收拟返还0元，承保拟返还0元"/>
        <s v="谢家集代伟伟伙伴冲锋队缴费金额0元，目前预收价值0，预收拟返还0元，承保拟返还0元"/>
        <s v="谢家集李克勤伙伴冲锋队缴费金额0元，目前预收价值0，预收拟返还0元，承保拟返还0元"/>
        <s v="凤台刘庆书伙伴冲锋队缴费金额0元，目前预收价值0，预收拟返还0元，承保拟返还0元"/>
        <s v="谢家集王蓓凤伙伴冲锋队缴费金额0元，目前预收价值0，预收拟返还0元，承保拟返还0元"/>
        <s v="淮南本部孙雅莉伙伴冲锋队缴费金额200元，目前预收价值0，预收拟返还0元，承保拟返还0元"/>
        <s v="凤台刘庆涛伙伴冲锋队缴费金额0元，目前预收价值0，预收拟返还0元，承保拟返还0元"/>
        <s v="淮南本部刘松伙伴冲锋队缴费金额0元，目前预收价值0，预收拟返还0元，承保拟返还0元"/>
        <s v="淮南本部韩彦霞伙伴冲锋队缴费金额0元，目前预收价值0，预收拟返还0元，承保拟返还0元"/>
        <s v="凤台刘东伙伴冲锋队缴费金额0元，目前预收价值0，预收拟返还0元，承保拟返还0元"/>
        <s v="凤台李开梅主管冲锋队缴费金额200元，目前预收价值0，预收拟返还0元，承保拟返还0元"/>
        <s v="凤台陈军伙伴冲锋队缴费金额0元，目前预收价值0，预收拟返还0元，承保拟返还0元"/>
        <s v="谢家集刘耀强伙伴冲锋队缴费金额0元，目前预收价值0，预收拟返还0元，承保拟返还0元"/>
        <s v="凤台叶永茂伙伴冲锋队缴费金额0元，目前预收价值0，预收拟返还0元，承保拟返还0元"/>
        <s v="淮南本部何静主管冲锋队缴费金额200元，目前预收价值0，预收拟返还0元，承保拟返还0元"/>
        <s v="淮南本部沈宏荣伙伴冲锋队缴费金额0元，目前预收价值0，预收拟返还0元，承保拟返还0元"/>
        <s v="淮南本部程永华伙伴冲锋队缴费金额0元，目前预收价值0，预收拟返还0元，承保拟返还0元"/>
        <s v="谢家集张彩云伙伴冲锋队缴费金额0元，目前预收价值0，预收拟返还0元，承保拟返还0元"/>
        <s v="谢家集陆彬主管冲锋队缴费金额400元，目前预收价值0，预收拟返还0元，承保拟返还0元"/>
        <s v="凤台叶燕燕伙伴冲锋队缴费金额0元，目前预收价值0，预收拟返还0元，承保拟返还0元"/>
        <s v="凤台梁燕群伙伴冲锋队缴费金额0元，目前预收价值0，预收拟返还0元，承保拟返还0元"/>
        <s v="凤台叶龙伙伴冲锋队缴费金额0元，目前预收价值0，预收拟返还0元，承保拟返还0元"/>
        <s v="淮南本部柏楠伙伴冲锋队缴费金额0元，目前预收价值0，预收拟返还0元，承保拟返还0元"/>
        <s v="淮南本部况红梅伙伴冲锋队缴费金额0元，目前预收价值0，预收拟返还0元，承保拟返还0元"/>
        <s v="凤台唐晓燕伙伴冲锋队缴费金额0元，目前预收价值0，预收拟返还0元，承保拟返还0元"/>
        <s v="淮南本部宗友杰伙伴冲锋队缴费金额0元，目前预收价值0，预收拟返还0元，承保拟返还0元"/>
        <s v="凤台宋玉华伙伴冲锋队缴费金额0元，目前预收价值0，预收拟返还0元，承保拟返还0元"/>
        <s v="凤台常红霞伙伴冲锋队缴费金额0元，目前预收价值0，预收拟返还0元，承保拟返还0元"/>
        <s v="凤台万雪梅伙伴冲锋队缴费金额0元，目前预收价值0，预收拟返还0元，承保拟返还0元"/>
        <s v="淮南本部录爱丽主管冲锋队缴费金额0元，目前预收价值0，预收拟返还0元，承保拟返还0元"/>
        <s v="淮南本部陶兰伙伴冲锋队缴费金额0元，目前预收价值0，预收拟返还0元，承保拟返还0元"/>
        <s v="淮南本部李娜伙伴冲锋队缴费金额0元，目前预收价值0，预收拟返还0元，承保拟返还0元"/>
        <s v="淮南本部刘振云伙伴冲锋队缴费金额0元，目前预收价值0，预收拟返还0元，承保拟返还0元"/>
        <s v="淮南本部姚文俊伙伴冲锋队缴费金额0元，目前预收价值0，预收拟返还0元，承保拟返还0元"/>
        <s v="凤台王康玉伙伴冲锋队缴费金额0元，目前预收价值0，预收拟返还0元，承保拟返还0元"/>
        <s v="淮南本部尹淑玉伙伴冲锋队缴费金额0元，目前预收价值0，预收拟返还0元，承保拟返还0元"/>
        <s v="淮南本部王娜伙伴冲锋队缴费金额0元，目前预收价值0，预收拟返还0元，承保拟返还0元"/>
        <s v="淮南本部王道格伙伴冲锋队缴费金额0元，目前预收价值0，预收拟返还0元，承保拟返还0元"/>
        <s v="谢家集周游伙伴冲锋队缴费金额0元，目前预收价值0，预收拟返还0元，承保拟返还0元"/>
        <s v="淮南本部张静伙伴冲锋队缴费金额0元，目前预收价值0，预收拟返还0元，承保拟返还0元"/>
        <s v="凤台陈桂美主管冲锋队缴费金额400元，目前预收价值0，预收拟返还0元，承保拟返还0元"/>
        <s v="凤台万传秀伙伴冲锋队缴费金额200元，目前预收价值0，预收拟返还0元，承保拟返还0元"/>
        <s v="凤台张银银伙伴冲锋队缴费金额0元，目前预收价值0，预收拟返还0元，承保拟返还0元"/>
        <s v="谢家集何建军伙伴冲锋队缴费金额0元，目前预收价值0，预收拟返还0元，承保拟返还0元"/>
        <s v="淮南本部邹怀霞伙伴冲锋队缴费金额0元，目前预收价值0，预收拟返还0元，承保拟返还0元"/>
        <s v="淮南本部宗林伙伴冲锋队缴费金额200元，目前预收价值157.7，预收拟返还0元，承保拟返还0元"/>
        <s v="淮南本部刘继英主管冲锋队缴费金额200元，目前预收价值0，预收拟返还0元，承保拟返还0元"/>
        <s v="凤台许广纺伙伴冲锋队缴费金额0元，目前预收价值0，预收拟返还0元，承保拟返还0元"/>
        <s v="凤台左颖主管冲锋队缴费金额200元，目前预收价值0，预收拟返还0元，承保拟返还0元"/>
        <s v="淮南本部韦丽丽伙伴冲锋队缴费金额0元，目前预收价值0，预收拟返还0元，承保拟返还0元"/>
        <s v="淮南本部颜世霞伙伴冲锋队缴费金额0元，目前预收价值0，预收拟返还0元，承保拟返还0元"/>
        <s v="淮南本部杨会玲伙伴冲锋队缴费金额200元，目前预收价值0，预收拟返还0元，承保拟返还0元"/>
        <s v="凤台武保米伙伴冲锋队缴费金额200元，目前预收价值0，预收拟返还0元，承保拟返还0元"/>
        <s v="淮南本部常萍伙伴冲锋队缴费金额0元，目前预收价值0，预收拟返还0元，承保拟返还0元"/>
        <s v="淮南本部蔡士兰伙伴冲锋队缴费金额200元，目前预收价值0，预收拟返还0元，承保拟返还0元"/>
        <s v="淮南本部孙庆梅伙伴冲锋队缴费金额0元，目前预收价值0，预收拟返还0元，承保拟返还0元"/>
        <s v="凤台胡本阁主管冲锋队缴费金额400元，目前预收价值0，预收拟返还0元，承保拟返还0元"/>
        <s v="谢家集刘川凤伙伴冲锋队缴费金额0元，目前预收价值0，预收拟返还0元，承保拟返还0元"/>
        <s v="谢家集叶琳主管冲锋队缴费金额400元，目前预收价值0，预收拟返还0元，承保拟返还0元"/>
        <s v="谢家集樊琦伙伴冲锋队缴费金额200元，目前预收价值-45.8，预收拟返还0元，承保拟返还0元"/>
        <s v="谢家集王新雯伙伴冲锋队缴费金额200元，目前预收价值-128，预收拟返还0元，承保拟返还0元"/>
        <s v="凤台缪玉玲伙伴冲锋队缴费金额200元，目前预收价值-231.3，预收拟返还0元，承保拟返还0元"/>
        <s v="淮南本部王来艳伙伴冲锋队缴费金额0元，目前预收价值-259.3，预收拟返还0元，承保拟返还0元"/>
        <s v="谢家集董慧慧伙伴冲锋队缴费金额0元，目前预收价值-153.6，预收拟返还0元，承保拟返还0元"/>
      </sharedItems>
    </cacheField>
    <cacheField name="冲锋队按摩仪" numFmtId="177">
      <sharedItems containsSemiMixedTypes="0" containsString="0" containsNumber="1" containsInteger="1" minValue="0" maxValue="2" count="3">
        <n v="1"/>
        <n v="2"/>
        <n v="0"/>
      </sharedItems>
    </cacheField>
    <cacheField name="承保获得按摩仪" numFmtId="177">
      <sharedItems containsSemiMixedTypes="0" containsString="0" containsNumber="1" containsInteger="1" minValue="0" maxValue="2" count="3">
        <n v="0"/>
        <n v="1"/>
        <n v="2"/>
      </sharedItems>
    </cacheField>
    <cacheField name="按摩仪方案简述" numFmtId="0">
      <sharedItems count="304">
        <s v="淮南本部程楠伙伴只要在1-10日承保全部保单，即可获得冲锋队按摩仪1个"/>
        <s v="淮南本部方林主管只要在1-10日承保全部保单，即可获得冲锋队按摩仪2个"/>
        <s v="淮南本部程梅伙伴只要在1-10日承保全部保单，即可获得冲锋队按摩仪1个"/>
        <s v="淮南本部杨书珍主管只要在1-10日承保全部保单，即可获得冲锋队按摩仪1个"/>
        <s v="谢家集杨琴伙伴只要在1-10日承保全部保单，即可获得冲锋队按摩仪1个"/>
        <s v="凤台刘康丽伙伴只要在1-10日承保全部保单，即可获得冲锋队按摩仪2个"/>
        <s v="谢家集杨娟主管只要在1-10日承保全部保单，即可获得冲锋队按摩仪1个"/>
        <s v="淮南本部陈宏霞主管只要在1-10日承保全部保单，即可获得冲锋队按摩仪1个"/>
        <s v="淮南本部王来如伙伴只要在1-10日承保全部保单，即可获得冲锋队按摩仪0个"/>
        <s v="淮南本部程文侠主管只要在1-10日承保全部保单，即可获得冲锋队按摩仪0个"/>
        <s v="淮南本部吴苑主管只要在1-10日承保全部保单，即可获得冲锋队按摩仪0个"/>
        <s v="凤台康菊伙伴只要在1-10日承保全部保单，即可获得冲锋队按摩仪0个"/>
        <s v="凤台李玲伙伴只要在1-10日承保全部保单，即可获得冲锋队按摩仪0个"/>
        <s v="淮南本部王毅铭伙伴只要在1-10日承保全部保单，即可获得冲锋队按摩仪0个"/>
        <s v="凤台花志勇主管只要在1-10日承保全部保单，即可获得冲锋队按摩仪0个"/>
        <s v="淮南本部张秀丽伙伴只要在1-10日承保全部保单，即可获得冲锋队按摩仪0个"/>
        <s v="凤台张文粉伙伴只要在1-10日承保全部保单，即可获得冲锋队按摩仪0个"/>
        <s v="凤台吴在芝伙伴只要在1-10日承保全部保单，即可获得冲锋队按摩仪0个"/>
        <s v="凤台储丽娜伙伴只要在1-10日承保全部保单，即可获得冲锋队按摩仪0个"/>
        <s v="淮南本部张少琴伙伴只要在1-10日承保全部保单，即可获得冲锋队按摩仪0个"/>
        <s v="凤台马保伙伴只要在1-10日承保全部保单，即可获得冲锋队按摩仪0个"/>
        <s v="凤台任永生伙伴只要在1-10日承保全部保单，即可获得冲锋队按摩仪0个"/>
        <s v="凤台李廷廷伙伴只要在1-10日承保全部保单，即可获得冲锋队按摩仪0个"/>
        <s v="凤台谢丽伙伴只要在1-10日承保全部保单，即可获得冲锋队按摩仪0个"/>
        <s v="淮南本部王思齐伙伴只要在1-10日承保全部保单，即可获得冲锋队按摩仪0个"/>
        <s v="凤台钮芳伙伴只要在1-10日承保全部保单，即可获得冲锋队按摩仪0个"/>
        <s v="淮南本部杨海山伙伴只要在1-10日承保全部保单，即可获得冲锋队按摩仪0个"/>
        <s v="谢家集庄山菊伙伴只要在1-10日承保全部保单，即可获得冲锋队按摩仪0个"/>
        <s v="淮南本部陈利媛伙伴只要在1-10日承保全部保单，即可获得冲锋队按摩仪0个"/>
        <s v="谢家集蔡瑞群伙伴只要在1-10日承保全部保单，即可获得冲锋队按摩仪0个"/>
        <s v="淮南本部张洪娟伙伴只要在1-10日承保全部保单，即可获得冲锋队按摩仪0个"/>
        <s v="淮南本部徐贺伙伴只要在1-10日承保全部保单，即可获得冲锋队按摩仪0个"/>
        <s v="谢家集单红侠伙伴只要在1-10日承保全部保单，即可获得冲锋队按摩仪0个"/>
        <s v="淮南本部丁静伙伴只要在1-10日承保全部保单，即可获得冲锋队按摩仪0个"/>
        <s v="淮南本部王芸芸伙伴只要在1-10日承保全部保单，即可获得冲锋队按摩仪0个"/>
        <s v="谢家集陈连梅伙伴只要在1-10日承保全部保单，即可获得冲锋队按摩仪0个"/>
        <s v="凤台缪国龙伙伴只要在1-10日承保全部保单，即可获得冲锋队按摩仪0个"/>
        <s v="凤台王平伙伴只要在1-10日承保全部保单，即可获得冲锋队按摩仪0个"/>
        <s v="谢家集王花花伙伴只要在1-10日承保全部保单，即可获得冲锋队按摩仪0个"/>
        <s v="谢家集杨晶晶伙伴只要在1-10日承保全部保单，即可获得冲锋队按摩仪0个"/>
        <s v="谢家集郁银芳伙伴只要在1-10日承保全部保单，即可获得冲锋队按摩仪0个"/>
        <s v="淮南本部陈雯雯伙伴只要在1-10日承保全部保单，即可获得冲锋队按摩仪0个"/>
        <s v="淮南本部褚恋恋伙伴只要在1-10日承保全部保单，即可获得冲锋队按摩仪0个"/>
        <s v="凤台柏祖林伙伴只要在1-10日承保全部保单，即可获得冲锋队按摩仪0个"/>
        <s v="凤台刘艳伙伴只要在1-10日承保全部保单，即可获得冲锋队按摩仪0个"/>
        <s v="谢家集张君志伙伴只要在1-10日承保全部保单，即可获得冲锋队按摩仪0个"/>
        <s v="谢家集王梅芝伙伴只要在1-10日承保全部保单，即可获得冲锋队按摩仪0个"/>
        <s v="凤台王朋伙伴只要在1-10日承保全部保单，即可获得冲锋队按摩仪0个"/>
        <s v="凤台李芳芳伙伴只要在1-10日承保全部保单，即可获得冲锋队按摩仪0个"/>
        <s v="淮南本部程娇娇伙伴只要在1-10日承保全部保单，即可获得冲锋队按摩仪0个"/>
        <s v="谢家集陈晓艳伙伴只要在1-10日承保全部保单，即可获得冲锋队按摩仪0个"/>
        <s v="凤台郑皓月伙伴只要在1-10日承保全部保单，即可获得冲锋队按摩仪0个"/>
        <s v="谢家集陶松梅伙伴只要在1-10日承保全部保单，即可获得冲锋队按摩仪0个"/>
        <s v="凤台刘杰伙伴只要在1-10日承保全部保单，即可获得冲锋队按摩仪0个"/>
        <s v="凤台黄玲伙伴只要在1-10日承保全部保单，即可获得冲锋队按摩仪0个"/>
        <s v="谢家集刘锐伙伴只要在1-10日承保全部保单，即可获得冲锋队按摩仪1个"/>
        <s v="淮南本部姚守四伙伴只要在1-10日承保全部保单，即可获得冲锋队按摩仪0个"/>
        <s v="淮南本部杨积莹伙伴只要在1-10日承保全部保单，即可获得冲锋队按摩仪0个"/>
        <s v="淮南本部程单单伙伴只要在1-10日承保全部保单，即可获得冲锋队按摩仪0个"/>
        <s v="淮南本部夏海力伙伴只要在1-10日承保全部保单，即可获得冲锋队按摩仪0个"/>
        <s v="淮南本部胡美华伙伴只要在1-10日承保全部保单，即可获得冲锋队按摩仪0个"/>
        <s v="淮南本部姚昌梅伙伴只要在1-10日承保全部保单，即可获得冲锋队按摩仪0个"/>
        <s v="淮南本部沈金悦伙伴只要在1-10日承保全部保单，即可获得冲锋队按摩仪0个"/>
        <s v="谢家集丁杰伙伴只要在1-10日承保全部保单，即可获得冲锋队按摩仪0个"/>
        <s v="淮南本部李洋伙伴只要在1-10日承保全部保单，即可获得冲锋队按摩仪0个"/>
        <s v="淮南本部王静伙伴只要在1-10日承保全部保单，即可获得冲锋队按摩仪0个"/>
        <s v="淮南本部陈家甫伙伴只要在1-10日承保全部保单，即可获得冲锋队按摩仪0个"/>
        <s v="凤台李悦伙伴只要在1-10日承保全部保单，即可获得冲锋队按摩仪0个"/>
        <s v="淮南本部李玲俐伙伴只要在1-10日承保全部保单，即可获得冲锋队按摩仪0个"/>
        <s v="谢家集胡文卿伙伴只要在1-10日承保全部保单，即可获得冲锋队按摩仪0个"/>
        <s v="淮南本部段艳勤伙伴只要在1-10日承保全部保单，即可获得冲锋队按摩仪0个"/>
        <s v="淮南本部程晋远伙伴只要在1-10日承保全部保单，即可获得冲锋队按摩仪0个"/>
        <s v="淮南本部陈莎莎伙伴只要在1-10日承保全部保单，即可获得冲锋队按摩仪0个"/>
        <s v="淮南本部孙艳霞伙伴只要在1-10日承保全部保单，即可获得冲锋队按摩仪0个"/>
        <s v="淮南本部徐基云伙伴只要在1-10日承保全部保单，即可获得冲锋队按摩仪0个"/>
        <s v="淮南本部张辉伙伴只要在1-10日承保全部保单，即可获得冲锋队按摩仪0个"/>
        <s v="淮南本部李敬腾伙伴只要在1-10日承保全部保单，即可获得冲锋队按摩仪0个"/>
        <s v="凤台刘金金伙伴只要在1-10日承保全部保单，即可获得冲锋队按摩仪0个"/>
        <s v="凤台段传颖伙伴只要在1-10日承保全部保单，即可获得冲锋队按摩仪0个"/>
        <s v="凤台胡奇珍伙伴只要在1-10日承保全部保单，即可获得冲锋队按摩仪0个"/>
        <s v="淮南本部徐梅伙伴只要在1-10日承保全部保单，即可获得冲锋队按摩仪0个"/>
        <s v="凤台吴妮妮伙伴只要在1-10日承保全部保单，即可获得冲锋队按摩仪0个"/>
        <s v="凤台信萍伙伴只要在1-10日承保全部保单，即可获得冲锋队按摩仪0个"/>
        <s v="淮南本部刘鹤伙伴只要在1-10日承保全部保单，即可获得冲锋队按摩仪0个"/>
        <s v="谢家集侯素良伙伴只要在1-10日承保全部保单，即可获得冲锋队按摩仪0个"/>
        <s v="淮南本部魏娟伙伴只要在1-10日承保全部保单，即可获得冲锋队按摩仪0个"/>
        <s v="淮南本部郑悦伙伴只要在1-10日承保全部保单，即可获得冲锋队按摩仪0个"/>
        <s v="淮南本部程路路伙伴只要在1-10日承保全部保单，即可获得冲锋队按摩仪0个"/>
        <s v="谢家集刘金萍伙伴只要在1-10日承保全部保单，即可获得冲锋队按摩仪0个"/>
        <s v="凤台徐杏伙伴只要在1-10日承保全部保单，即可获得冲锋队按摩仪0个"/>
        <s v="淮南本部张兴珍伙伴只要在1-10日承保全部保单，即可获得冲锋队按摩仪0个"/>
        <s v="谢家集夏继梅伙伴只要在1-10日承保全部保单，即可获得冲锋队按摩仪0个"/>
        <s v="淮南本部褚孝妹伙伴只要在1-10日承保全部保单，即可获得冲锋队按摩仪0个"/>
        <s v="凤台魏茂盛伙伴只要在1-10日承保全部保单，即可获得冲锋队按摩仪0个"/>
        <s v="凤台高秀梅伙伴只要在1-10日承保全部保单，即可获得冲锋队按摩仪0个"/>
        <s v="凤台万其红伙伴只要在1-10日承保全部保单，即可获得冲锋队按摩仪0个"/>
        <s v="淮南本部杨洋伙伴只要在1-10日承保全部保单，即可获得冲锋队按摩仪0个"/>
        <s v="淮南本部曹素光伙伴只要在1-10日承保全部保单，即可获得冲锋队按摩仪0个"/>
        <s v="淮南本部谷玲伙伴只要在1-10日承保全部保单，即可获得冲锋队按摩仪0个"/>
        <s v="凤台米莲伙伴只要在1-10日承保全部保单，即可获得冲锋队按摩仪0个"/>
        <s v="凤台胡程程伙伴只要在1-10日承保全部保单，即可获得冲锋队按摩仪0个"/>
        <s v="淮南本部刘卫国伙伴只要在1-10日承保全部保单，即可获得冲锋队按摩仪0个"/>
        <s v="淮南本部周蓓伙伴只要在1-10日承保全部保单，即可获得冲锋队按摩仪0个"/>
        <s v="凤台王秀芹伙伴只要在1-10日承保全部保单，即可获得冲锋队按摩仪0个"/>
        <s v="凤台彭丽杰伙伴只要在1-10日承保全部保单，即可获得冲锋队按摩仪0个"/>
        <s v="凤台陈尚伙伴只要在1-10日承保全部保单，即可获得冲锋队按摩仪0个"/>
        <s v="凤台陈斌伙伴只要在1-10日承保全部保单，即可获得冲锋队按摩仪0个"/>
        <s v="凤台叶艳伙伴只要在1-10日承保全部保单，即可获得冲锋队按摩仪0个"/>
        <s v="淮南本部王宏伙伴只要在1-10日承保全部保单，即可获得冲锋队按摩仪0个"/>
        <s v="凤台高岑伙伴只要在1-10日承保全部保单，即可获得冲锋队按摩仪0个"/>
        <s v="凤台刘庆楠伙伴只要在1-10日承保全部保单，即可获得冲锋队按摩仪0个"/>
        <s v="凤台高菊秋伙伴只要在1-10日承保全部保单，即可获得冲锋队按摩仪0个"/>
        <s v="凤台吕荣刚伙伴只要在1-10日承保全部保单，即可获得冲锋队按摩仪0个"/>
        <s v="凤台陈利娜伙伴只要在1-10日承保全部保单，即可获得冲锋队按摩仪0个"/>
        <s v="凤台冯春莲伙伴只要在1-10日承保全部保单，即可获得冲锋队按摩仪0个"/>
        <s v="凤台潘明月伙伴只要在1-10日承保全部保单，即可获得冲锋队按摩仪0个"/>
        <s v="凤台谢齐安伙伴只要在1-10日承保全部保单，即可获得冲锋队按摩仪0个"/>
        <s v="淮南本部范春霞伙伴只要在1-10日承保全部保单，即可获得冲锋队按摩仪0个"/>
        <s v="淮南本部陶莎伙伴只要在1-10日承保全部保单，即可获得冲锋队按摩仪0个"/>
        <s v="淮南本部刘翠伙伴只要在1-10日承保全部保单，即可获得冲锋队按摩仪0个"/>
        <s v="谢家集陈苗苗伙伴只要在1-10日承保全部保单，即可获得冲锋队按摩仪0个"/>
        <s v="凤台石秀凤伙伴只要在1-10日承保全部保单，即可获得冲锋队按摩仪0个"/>
        <s v="凤台叶文兰伙伴只要在1-10日承保全部保单，即可获得冲锋队按摩仪0个"/>
        <s v="凤台陈利萍伙伴只要在1-10日承保全部保单，即可获得冲锋队按摩仪0个"/>
        <s v="淮南本部陈艳伙伴只要在1-10日承保全部保单，即可获得冲锋队按摩仪0个"/>
        <s v="凤台孙艳伙伴只要在1-10日承保全部保单，即可获得冲锋队按摩仪0个"/>
        <s v="淮南本部高文龙伙伴只要在1-10日承保全部保单，即可获得冲锋队按摩仪0个"/>
        <s v="淮南本部王芝斌伙伴只要在1-10日承保全部保单，即可获得冲锋队按摩仪0个"/>
        <s v="淮南本部宋业凤主管只要在1-10日承保全部保单，即可获得冲锋队按摩仪0个"/>
        <s v="淮南本部夏大鹏伙伴只要在1-10日承保全部保单，即可获得冲锋队按摩仪0个"/>
        <s v="谢家集祁玉苗伙伴只要在1-10日承保全部保单，即可获得冲锋队按摩仪0个"/>
        <s v="淮南本部胡成梅伙伴只要在1-10日承保全部保单，即可获得冲锋队按摩仪0个"/>
        <s v="谢家集李萍伙伴只要在1-10日承保全部保单，即可获得冲锋队按摩仪0个"/>
        <s v="凤台段军平伙伴只要在1-10日承保全部保单，即可获得冲锋队按摩仪0个"/>
        <s v="淮南本部曹建航伙伴只要在1-10日承保全部保单，即可获得冲锋队按摩仪0个"/>
        <s v="淮南本部王沁主管只要在1-10日承保全部保单，即可获得冲锋队按摩仪0个"/>
        <s v="凤台王克侠伙伴只要在1-10日承保全部保单，即可获得冲锋队按摩仪0个"/>
        <s v="凤台李芹伙伴只要在1-10日承保全部保单，即可获得冲锋队按摩仪0个"/>
        <s v="淮南本部钟秀丽伙伴只要在1-10日承保全部保单，即可获得冲锋队按摩仪0个"/>
        <s v="淮南本部张萍伙伴只要在1-10日承保全部保单，即可获得冲锋队按摩仪0个"/>
        <s v="凤台荣树红伙伴只要在1-10日承保全部保单，即可获得冲锋队按摩仪0个"/>
        <s v="凤台宋德永伙伴只要在1-10日承保全部保单，即可获得冲锋队按摩仪0个"/>
        <s v="淮南本部宋芳丽伙伴只要在1-10日承保全部保单，即可获得冲锋队按摩仪0个"/>
        <s v="淮南本部焦玉荣伙伴只要在1-10日承保全部保单，即可获得冲锋队按摩仪0个"/>
        <s v="凤台刘盼盼伙伴只要在1-10日承保全部保单，即可获得冲锋队按摩仪0个"/>
        <s v="凤台张玲伙伴只要在1-10日承保全部保单，即可获得冲锋队按摩仪0个"/>
        <s v="谢家集吴怀兰伙伴只要在1-10日承保全部保单，即可获得冲锋队按摩仪0个"/>
        <s v="谢家集汪嘉维伙伴只要在1-10日承保全部保单，即可获得冲锋队按摩仪0个"/>
        <s v="淮南本部宫丽曼伙伴只要在1-10日承保全部保单，即可获得冲锋队按摩仪0个"/>
        <s v="谢家集王凤伙伴只要在1-10日承保全部保单，即可获得冲锋队按摩仪0个"/>
        <s v="淮南本部谢雨晨伙伴只要在1-10日承保全部保单，即可获得冲锋队按摩仪0个"/>
        <s v="凤台袁萍萍伙伴只要在1-10日承保全部保单，即可获得冲锋队按摩仪0个"/>
        <s v="淮南本部聂慧慧伙伴只要在1-10日承保全部保单，即可获得冲锋队按摩仪0个"/>
        <s v="谢家集周元元伙伴只要在1-10日承保全部保单，即可获得冲锋队按摩仪0个"/>
        <s v="凤台李萍伙伴只要在1-10日承保全部保单，即可获得冲锋队按摩仪0个"/>
        <s v="淮南本部高媛伙伴只要在1-10日承保全部保单，即可获得冲锋队按摩仪0个"/>
        <s v="淮南本部王雪伙伴只要在1-10日承保全部保单，即可获得冲锋队按摩仪0个"/>
        <s v="凤台孙漫伙伴只要在1-10日承保全部保单，即可获得冲锋队按摩仪0个"/>
        <s v="谢家集黄月媛伙伴只要在1-10日承保全部保单，即可获得冲锋队按摩仪0个"/>
        <s v="淮南本部程业云伙伴只要在1-10日承保全部保单，即可获得冲锋队按摩仪0个"/>
        <s v="谢家集倪小平伙伴只要在1-10日承保全部保单，即可获得冲锋队按摩仪0个"/>
        <s v="谢家集樊荣伙伴只要在1-10日承保全部保单，即可获得冲锋队按摩仪0个"/>
        <s v="凤台赵肖伙伴只要在1-10日承保全部保单，即可获得冲锋队按摩仪0个"/>
        <s v="淮南本部刘红梅伙伴只要在1-10日承保全部保单，即可获得冲锋队按摩仪0个"/>
        <s v="淮南本部陈静伙伴只要在1-10日承保全部保单，即可获得冲锋队按摩仪0个"/>
        <s v="淮南本部王小燕伙伴只要在1-10日承保全部保单，即可获得冲锋队按摩仪0个"/>
        <s v="凤台刘春艳伙伴只要在1-10日承保全部保单，即可获得冲锋队按摩仪0个"/>
        <s v="凤台王洁伙伴只要在1-10日承保全部保单，即可获得冲锋队按摩仪0个"/>
        <s v="淮南本部王宛宛伙伴只要在1-10日承保全部保单，即可获得冲锋队按摩仪0个"/>
        <s v="谢家集魏春生伙伴只要在1-10日承保全部保单，即可获得冲锋队按摩仪0个"/>
        <s v="凤台梁栋伙伴只要在1-10日承保全部保单，即可获得冲锋队按摩仪0个"/>
        <s v="凤台荣向芹伙伴只要在1-10日承保全部保单，即可获得冲锋队按摩仪0个"/>
        <s v="谢家集孙传宏伙伴只要在1-10日承保全部保单，即可获得冲锋队按摩仪0个"/>
        <s v="谢家集陈凯伙伴只要在1-10日承保全部保单，即可获得冲锋队按摩仪0个"/>
        <s v="凤台金家好伙伴只要在1-10日承保全部保单，即可获得冲锋队按摩仪0个"/>
        <s v="淮南本部吴程程伙伴只要在1-10日承保全部保单，即可获得冲锋队按摩仪0个"/>
        <s v="谢家集管国群伙伴只要在1-10日承保全部保单，即可获得冲锋队按摩仪0个"/>
        <s v="凤台吴煜伙伴只要在1-10日承保全部保单，即可获得冲锋队按摩仪0个"/>
        <s v="凤台常宏利伙伴只要在1-10日承保全部保单，即可获得冲锋队按摩仪0个"/>
        <s v="淮南本部徐婉婉伙伴只要在1-10日承保全部保单，即可获得冲锋队按摩仪0个"/>
        <s v="淮南本部方若瑜伙伴只要在1-10日承保全部保单，即可获得冲锋队按摩仪0个"/>
        <s v="凤台李梅伙伴只要在1-10日承保全部保单，即可获得冲锋队按摩仪0个"/>
        <s v="淮南本部杨之义伙伴只要在1-10日承保全部保单，即可获得冲锋队按摩仪0个"/>
        <s v="谢家集郑兆喜伙伴只要在1-10日承保全部保单，即可获得冲锋队按摩仪0个"/>
        <s v="淮南本部李范勤伙伴只要在1-10日承保全部保单，即可获得冲锋队按摩仪0个"/>
        <s v="淮南本部方杰伙伴只要在1-10日承保全部保单，即可获得冲锋队按摩仪0个"/>
        <s v="谢家集吴家美伙伴只要在1-10日承保全部保单，即可获得冲锋队按摩仪0个"/>
        <s v="淮南本部王秀美伙伴只要在1-10日承保全部保单，即可获得冲锋队按摩仪0个"/>
        <s v="谢家集陈榕华伙伴只要在1-10日承保全部保单，即可获得冲锋队按摩仪0个"/>
        <s v="凤台叶永艳伙伴只要在1-10日承保全部保单，即可获得冲锋队按摩仪0个"/>
        <s v="淮南本部李连秀伙伴只要在1-10日承保全部保单，即可获得冲锋队按摩仪0个"/>
        <s v="凤台陈佳敏伙伴只要在1-10日承保全部保单，即可获得冲锋队按摩仪0个"/>
        <s v="淮南本部张玉霞伙伴只要在1-10日承保全部保单，即可获得冲锋队按摩仪0个"/>
        <s v="谢家集裴华伙伴只要在1-10日承保全部保单，即可获得冲锋队按摩仪0个"/>
        <s v="谢家集马强伙伴只要在1-10日承保全部保单，即可获得冲锋队按摩仪0个"/>
        <s v="凤台胡莺莺伙伴只要在1-10日承保全部保单，即可获得冲锋队按摩仪0个"/>
        <s v="淮南本部芦鸿文伙伴只要在1-10日承保全部保单，即可获得冲锋队按摩仪0个"/>
        <s v="谢家集缪龙宇伙伴只要在1-10日承保全部保单，即可获得冲锋队按摩仪0个"/>
        <s v="谢家集范晓丽伙伴只要在1-10日承保全部保单，即可获得冲锋队按摩仪0个"/>
        <s v="谢家集张丽伙伴只要在1-10日承保全部保单，即可获得冲锋队按摩仪0个"/>
        <s v="凤台陈桂侠伙伴只要在1-10日承保全部保单，即可获得冲锋队按摩仪0个"/>
        <s v="凤台万德清伙伴只要在1-10日承保全部保单，即可获得冲锋队按摩仪0个"/>
        <s v="谢家集王利利伙伴只要在1-10日承保全部保单，即可获得冲锋队按摩仪0个"/>
        <s v="淮南本部倪荣跃伙伴只要在1-10日承保全部保单，即可获得冲锋队按摩仪0个"/>
        <s v="凤台刘祥伙伴只要在1-10日承保全部保单，即可获得冲锋队按摩仪0个"/>
        <s v="凤台刘洁君伙伴只要在1-10日承保全部保单，即可获得冲锋队按摩仪0个"/>
        <s v="凤台蔡影伙伴只要在1-10日承保全部保单，即可获得冲锋队按摩仪0个"/>
        <s v="淮南本部陆梅伙伴只要在1-10日承保全部保单，即可获得冲锋队按摩仪0个"/>
        <s v="凤台李青青伙伴只要在1-10日承保全部保单，即可获得冲锋队按摩仪0个"/>
        <s v="凤台陈娟主管只要在1-10日承保全部保单，即可获得冲锋队按摩仪0个"/>
        <s v="凤台聂晓梅伙伴只要在1-10日承保全部保单，即可获得冲锋队按摩仪0个"/>
        <s v="淮南本部王宗波伙伴只要在1-10日承保全部保单，即可获得冲锋队按摩仪0个"/>
        <s v="凤台梁可敏伙伴只要在1-10日承保全部保单，即可获得冲锋队按摩仪0个"/>
        <s v="凤台仲静静伙伴只要在1-10日承保全部保单，即可获得冲锋队按摩仪0个"/>
        <s v="凤台缪侠伙伴只要在1-10日承保全部保单，即可获得冲锋队按摩仪0个"/>
        <s v="凤台蒋中云伙伴只要在1-10日承保全部保单，即可获得冲锋队按摩仪0个"/>
        <s v="凤台童明明伙伴只要在1-10日承保全部保单，即可获得冲锋队按摩仪0个"/>
        <s v="潘集朱磊磊伙伴只要在1-10日承保全部保单，即可获得冲锋队按摩仪0个"/>
        <s v="潘集杨军伙伴只要在1-10日承保全部保单，即可获得冲锋队按摩仪0个"/>
        <s v="淮南本部李晓珍伙伴只要在1-10日承保全部保单，即可获得冲锋队按摩仪0个"/>
        <s v="淮南本部孙敏伙伴只要在1-10日承保全部保单，即可获得冲锋队按摩仪0个"/>
        <s v="凤台吴迎雪伙伴只要在1-10日承保全部保单，即可获得冲锋队按摩仪0个"/>
        <s v="淮南本部方国兵伙伴只要在1-10日承保全部保单，即可获得冲锋队按摩仪0个"/>
        <s v="谢家集施燕群伙伴只要在1-10日承保全部保单，即可获得冲锋队按摩仪0个"/>
        <s v="潘集苏磊伙伴只要在1-10日承保全部保单，即可获得冲锋队按摩仪0个"/>
        <s v="淮南本部张磊伙伴只要在1-10日承保全部保单，即可获得冲锋队按摩仪0个"/>
        <s v="凤台孙雪萍伙伴只要在1-10日承保全部保单，即可获得冲锋队按摩仪0个"/>
        <s v="谢家集刘艳伙伴只要在1-10日承保全部保单，即可获得冲锋队按摩仪0个"/>
        <s v="淮南本部李晓寒伙伴只要在1-10日承保全部保单，即可获得冲锋队按摩仪0个"/>
        <s v="淮南本部童会主管只要在1-10日承保全部保单，即可获得冲锋队按摩仪0个"/>
        <s v="潘集付双勤伙伴只要在1-10日承保全部保单，即可获得冲锋队按摩仪0个"/>
        <s v="淮南本部王旭旭伙伴只要在1-10日承保全部保单，即可获得冲锋队按摩仪0个"/>
        <s v="凤台胡婷伙伴只要在1-10日承保全部保单，即可获得冲锋队按摩仪0个"/>
        <s v="凤台石秀钰伙伴只要在1-10日承保全部保单，即可获得冲锋队按摩仪0个"/>
        <s v="凤台梁仁芳伙伴只要在1-10日承保全部保单，即可获得冲锋队按摩仪0个"/>
        <s v="淮南本部周淮霞伙伴只要在1-10日承保全部保单，即可获得冲锋队按摩仪0个"/>
        <s v="凤台董利伙伴只要在1-10日承保全部保单，即可获得冲锋队按摩仪0个"/>
        <s v="淮南本部周家萍伙伴只要在1-10日承保全部保单，即可获得冲锋队按摩仪0个"/>
        <s v="谢家集顾正莉伙伴只要在1-10日承保全部保单，即可获得冲锋队按摩仪0个"/>
        <s v="淮南本部胡孝萍伙伴只要在1-10日承保全部保单，即可获得冲锋队按摩仪0个"/>
        <s v="凤台曹化利伙伴只要在1-10日承保全部保单，即可获得冲锋队按摩仪0个"/>
        <s v="谢家集代伟伟伙伴只要在1-10日承保全部保单，即可获得冲锋队按摩仪0个"/>
        <s v="谢家集李克勤伙伴只要在1-10日承保全部保单，即可获得冲锋队按摩仪0个"/>
        <s v="凤台刘庆书伙伴只要在1-10日承保全部保单，即可获得冲锋队按摩仪0个"/>
        <s v="谢家集王蓓凤伙伴只要在1-10日承保全部保单，即可获得冲锋队按摩仪0个"/>
        <s v="淮南本部孙雅莉伙伴只要在1-10日承保全部保单，即可获得冲锋队按摩仪0个"/>
        <s v="凤台刘庆涛伙伴只要在1-10日承保全部保单，即可获得冲锋队按摩仪0个"/>
        <s v="淮南本部刘松伙伴只要在1-10日承保全部保单，即可获得冲锋队按摩仪0个"/>
        <s v="淮南本部韩彦霞伙伴只要在1-10日承保全部保单，即可获得冲锋队按摩仪0个"/>
        <s v="凤台刘东伙伴只要在1-10日承保全部保单，即可获得冲锋队按摩仪0个"/>
        <s v="凤台李开梅主管只要在1-10日承保全部保单，即可获得冲锋队按摩仪0个"/>
        <s v="凤台陈军伙伴只要在1-10日承保全部保单，即可获得冲锋队按摩仪0个"/>
        <s v="谢家集刘耀强伙伴只要在1-10日承保全部保单，即可获得冲锋队按摩仪0个"/>
        <s v="凤台叶永茂伙伴只要在1-10日承保全部保单，即可获得冲锋队按摩仪0个"/>
        <s v="淮南本部何静主管只要在1-10日承保全部保单，即可获得冲锋队按摩仪0个"/>
        <s v="淮南本部沈宏荣伙伴只要在1-10日承保全部保单，即可获得冲锋队按摩仪0个"/>
        <s v="淮南本部程永华伙伴只要在1-10日承保全部保单，即可获得冲锋队按摩仪0个"/>
        <s v="谢家集张彩云伙伴只要在1-10日承保全部保单，即可获得冲锋队按摩仪0个"/>
        <s v="谢家集陆彬主管只要在1-10日承保全部保单，即可获得冲锋队按摩仪0个"/>
        <s v="凤台叶燕燕伙伴只要在1-10日承保全部保单，即可获得冲锋队按摩仪0个"/>
        <s v="凤台梁燕群伙伴只要在1-10日承保全部保单，即可获得冲锋队按摩仪0个"/>
        <s v="凤台叶龙伙伴只要在1-10日承保全部保单，即可获得冲锋队按摩仪0个"/>
        <s v="淮南本部柏楠伙伴只要在1-10日承保全部保单，即可获得冲锋队按摩仪0个"/>
        <s v="淮南本部况红梅伙伴只要在1-10日承保全部保单，即可获得冲锋队按摩仪0个"/>
        <s v="凤台唐晓燕伙伴只要在1-10日承保全部保单，即可获得冲锋队按摩仪0个"/>
        <s v="淮南本部宗友杰伙伴只要在1-10日承保全部保单，即可获得冲锋队按摩仪0个"/>
        <s v="凤台宋玉华伙伴只要在1-10日承保全部保单，即可获得冲锋队按摩仪0个"/>
        <s v="凤台常红霞伙伴只要在1-10日承保全部保单，即可获得冲锋队按摩仪0个"/>
        <s v="凤台万雪梅伙伴只要在1-10日承保全部保单，即可获得冲锋队按摩仪0个"/>
        <s v="淮南本部录爱丽主管只要在1-10日承保全部保单，即可获得冲锋队按摩仪0个"/>
        <s v="淮南本部陶兰伙伴只要在1-10日承保全部保单，即可获得冲锋队按摩仪0个"/>
        <s v="淮南本部李娜伙伴只要在1-10日承保全部保单，即可获得冲锋队按摩仪0个"/>
        <s v="淮南本部刘振云伙伴只要在1-10日承保全部保单，即可获得冲锋队按摩仪0个"/>
        <s v="淮南本部姚文俊伙伴只要在1-10日承保全部保单，即可获得冲锋队按摩仪0个"/>
        <s v="凤台王康玉伙伴只要在1-10日承保全部保单，即可获得冲锋队按摩仪0个"/>
        <s v="淮南本部尹淑玉伙伴只要在1-10日承保全部保单，即可获得冲锋队按摩仪0个"/>
        <s v="淮南本部王娜伙伴只要在1-10日承保全部保单，即可获得冲锋队按摩仪0个"/>
        <s v="淮南本部王道格伙伴只要在1-10日承保全部保单，即可获得冲锋队按摩仪0个"/>
        <s v="谢家集周游伙伴只要在1-10日承保全部保单，即可获得冲锋队按摩仪0个"/>
        <s v="淮南本部张静伙伴只要在1-10日承保全部保单，即可获得冲锋队按摩仪0个"/>
        <s v="凤台陈桂美主管只要在1-10日承保全部保单，即可获得冲锋队按摩仪0个"/>
        <s v="凤台万传秀伙伴只要在1-10日承保全部保单，即可获得冲锋队按摩仪0个"/>
        <s v="凤台张银银伙伴只要在1-10日承保全部保单，即可获得冲锋队按摩仪0个"/>
        <s v="谢家集何建军伙伴只要在1-10日承保全部保单，即可获得冲锋队按摩仪0个"/>
        <s v="淮南本部邹怀霞伙伴只要在1-10日承保全部保单，即可获得冲锋队按摩仪0个"/>
        <s v="淮南本部宗林伙伴只要在1-10日承保全部保单，即可获得冲锋队按摩仪0个"/>
        <s v="淮南本部刘继英主管只要在1-10日承保全部保单，即可获得冲锋队按摩仪0个"/>
        <s v="凤台许广纺伙伴只要在1-10日承保全部保单，即可获得冲锋队按摩仪0个"/>
        <s v="凤台左颖主管只要在1-10日承保全部保单，即可获得冲锋队按摩仪0个"/>
        <s v="淮南本部韦丽丽伙伴只要在1-10日承保全部保单，即可获得冲锋队按摩仪0个"/>
        <s v="淮南本部颜世霞伙伴只要在1-10日承保全部保单，即可获得冲锋队按摩仪0个"/>
        <s v="淮南本部杨会玲伙伴只要在1-10日承保全部保单，即可获得冲锋队按摩仪0个"/>
        <s v="凤台武保米伙伴只要在1-10日承保全部保单，即可获得冲锋队按摩仪0个"/>
        <s v="淮南本部常萍伙伴只要在1-10日承保全部保单，即可获得冲锋队按摩仪0个"/>
        <s v="淮南本部蔡士兰伙伴只要在1-10日承保全部保单，即可获得冲锋队按摩仪0个"/>
        <s v="淮南本部孙庆梅伙伴只要在1-10日承保全部保单，即可获得冲锋队按摩仪0个"/>
        <s v="凤台胡本阁主管只要在1-10日承保全部保单，即可获得冲锋队按摩仪0个"/>
        <s v="谢家集刘川凤伙伴只要在1-10日承保全部保单，即可获得冲锋队按摩仪0个"/>
        <s v="谢家集叶琳主管只要在1-10日承保全部保单，即可获得冲锋队按摩仪0个"/>
        <s v="谢家集樊琦伙伴只要在1-10日承保全部保单，即可获得冲锋队按摩仪0个"/>
        <s v="谢家集王新雯伙伴只要在1-10日承保全部保单，即可获得冲锋队按摩仪0个"/>
        <s v="凤台缪玉玲伙伴只要在1-10日承保全部保单，即可获得冲锋队按摩仪0个"/>
        <s v="淮南本部王来艳伙伴只要在1-10日承保全部保单，即可获得冲锋队按摩仪0个"/>
        <s v="谢家集董慧慧伙伴只要在1-10日承保全部保单，即可获得冲锋队按摩仪0个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1"/>
    <x v="1"/>
    <x v="1"/>
  </r>
  <r>
    <x v="0"/>
    <x v="0"/>
    <x v="2"/>
    <x v="2"/>
    <x v="2"/>
    <x v="2"/>
    <x v="0"/>
    <x v="2"/>
    <x v="0"/>
    <x v="2"/>
    <x v="2"/>
    <x v="0"/>
    <x v="0"/>
    <x v="0"/>
    <x v="0"/>
    <x v="2"/>
    <x v="2"/>
    <x v="2"/>
    <x v="0"/>
    <x v="0"/>
    <x v="2"/>
    <x v="0"/>
    <x v="2"/>
    <x v="0"/>
    <x v="2"/>
    <x v="2"/>
    <x v="2"/>
    <x v="0"/>
    <x v="2"/>
    <x v="0"/>
    <x v="0"/>
    <x v="0"/>
    <x v="2"/>
    <x v="0"/>
    <x v="0"/>
    <x v="2"/>
  </r>
  <r>
    <x v="0"/>
    <x v="2"/>
    <x v="3"/>
    <x v="3"/>
    <x v="3"/>
    <x v="1"/>
    <x v="1"/>
    <x v="3"/>
    <x v="0"/>
    <x v="3"/>
    <x v="3"/>
    <x v="0"/>
    <x v="0"/>
    <x v="0"/>
    <x v="0"/>
    <x v="3"/>
    <x v="3"/>
    <x v="3"/>
    <x v="0"/>
    <x v="0"/>
    <x v="3"/>
    <x v="0"/>
    <x v="3"/>
    <x v="0"/>
    <x v="3"/>
    <x v="3"/>
    <x v="3"/>
    <x v="0"/>
    <x v="3"/>
    <x v="0"/>
    <x v="1"/>
    <x v="0"/>
    <x v="3"/>
    <x v="0"/>
    <x v="0"/>
    <x v="3"/>
  </r>
  <r>
    <x v="1"/>
    <x v="3"/>
    <x v="4"/>
    <x v="4"/>
    <x v="4"/>
    <x v="3"/>
    <x v="0"/>
    <x v="4"/>
    <x v="0"/>
    <x v="4"/>
    <x v="4"/>
    <x v="0"/>
    <x v="0"/>
    <x v="0"/>
    <x v="0"/>
    <x v="4"/>
    <x v="4"/>
    <x v="4"/>
    <x v="2"/>
    <x v="0"/>
    <x v="4"/>
    <x v="0"/>
    <x v="4"/>
    <x v="0"/>
    <x v="4"/>
    <x v="4"/>
    <x v="4"/>
    <x v="0"/>
    <x v="4"/>
    <x v="0"/>
    <x v="0"/>
    <x v="0"/>
    <x v="4"/>
    <x v="0"/>
    <x v="0"/>
    <x v="4"/>
  </r>
  <r>
    <x v="2"/>
    <x v="4"/>
    <x v="5"/>
    <x v="5"/>
    <x v="5"/>
    <x v="2"/>
    <x v="0"/>
    <x v="5"/>
    <x v="2"/>
    <x v="5"/>
    <x v="5"/>
    <x v="2"/>
    <x v="2"/>
    <x v="1"/>
    <x v="0"/>
    <x v="4"/>
    <x v="4"/>
    <x v="5"/>
    <x v="3"/>
    <x v="2"/>
    <x v="5"/>
    <x v="2"/>
    <x v="5"/>
    <x v="1"/>
    <x v="5"/>
    <x v="5"/>
    <x v="5"/>
    <x v="2"/>
    <x v="5"/>
    <x v="0"/>
    <x v="0"/>
    <x v="2"/>
    <x v="5"/>
    <x v="1"/>
    <x v="2"/>
    <x v="5"/>
  </r>
  <r>
    <x v="1"/>
    <x v="3"/>
    <x v="6"/>
    <x v="6"/>
    <x v="6"/>
    <x v="1"/>
    <x v="1"/>
    <x v="6"/>
    <x v="3"/>
    <x v="6"/>
    <x v="6"/>
    <x v="3"/>
    <x v="3"/>
    <x v="0"/>
    <x v="0"/>
    <x v="4"/>
    <x v="4"/>
    <x v="6"/>
    <x v="4"/>
    <x v="3"/>
    <x v="6"/>
    <x v="3"/>
    <x v="5"/>
    <x v="0"/>
    <x v="6"/>
    <x v="6"/>
    <x v="2"/>
    <x v="3"/>
    <x v="6"/>
    <x v="1"/>
    <x v="2"/>
    <x v="3"/>
    <x v="6"/>
    <x v="0"/>
    <x v="1"/>
    <x v="6"/>
  </r>
  <r>
    <x v="0"/>
    <x v="1"/>
    <x v="7"/>
    <x v="7"/>
    <x v="7"/>
    <x v="4"/>
    <x v="1"/>
    <x v="7"/>
    <x v="4"/>
    <x v="7"/>
    <x v="7"/>
    <x v="4"/>
    <x v="4"/>
    <x v="0"/>
    <x v="0"/>
    <x v="4"/>
    <x v="4"/>
    <x v="7"/>
    <x v="5"/>
    <x v="4"/>
    <x v="7"/>
    <x v="4"/>
    <x v="5"/>
    <x v="0"/>
    <x v="7"/>
    <x v="7"/>
    <x v="3"/>
    <x v="1"/>
    <x v="7"/>
    <x v="0"/>
    <x v="1"/>
    <x v="1"/>
    <x v="7"/>
    <x v="0"/>
    <x v="1"/>
    <x v="7"/>
  </r>
  <r>
    <x v="0"/>
    <x v="2"/>
    <x v="3"/>
    <x v="8"/>
    <x v="8"/>
    <x v="2"/>
    <x v="0"/>
    <x v="8"/>
    <x v="5"/>
    <x v="8"/>
    <x v="8"/>
    <x v="5"/>
    <x v="5"/>
    <x v="0"/>
    <x v="0"/>
    <x v="4"/>
    <x v="4"/>
    <x v="8"/>
    <x v="0"/>
    <x v="0"/>
    <x v="8"/>
    <x v="5"/>
    <x v="5"/>
    <x v="0"/>
    <x v="8"/>
    <x v="8"/>
    <x v="3"/>
    <x v="1"/>
    <x v="8"/>
    <x v="2"/>
    <x v="3"/>
    <x v="0"/>
    <x v="8"/>
    <x v="2"/>
    <x v="0"/>
    <x v="8"/>
  </r>
  <r>
    <x v="0"/>
    <x v="0"/>
    <x v="8"/>
    <x v="9"/>
    <x v="9"/>
    <x v="4"/>
    <x v="1"/>
    <x v="9"/>
    <x v="6"/>
    <x v="9"/>
    <x v="9"/>
    <x v="6"/>
    <x v="6"/>
    <x v="0"/>
    <x v="0"/>
    <x v="4"/>
    <x v="4"/>
    <x v="9"/>
    <x v="6"/>
    <x v="0"/>
    <x v="9"/>
    <x v="6"/>
    <x v="6"/>
    <x v="0"/>
    <x v="9"/>
    <x v="9"/>
    <x v="3"/>
    <x v="0"/>
    <x v="9"/>
    <x v="0"/>
    <x v="3"/>
    <x v="0"/>
    <x v="9"/>
    <x v="2"/>
    <x v="0"/>
    <x v="9"/>
  </r>
  <r>
    <x v="0"/>
    <x v="1"/>
    <x v="9"/>
    <x v="10"/>
    <x v="10"/>
    <x v="1"/>
    <x v="1"/>
    <x v="10"/>
    <x v="0"/>
    <x v="10"/>
    <x v="10"/>
    <x v="0"/>
    <x v="0"/>
    <x v="2"/>
    <x v="1"/>
    <x v="4"/>
    <x v="4"/>
    <x v="10"/>
    <x v="0"/>
    <x v="0"/>
    <x v="10"/>
    <x v="0"/>
    <x v="7"/>
    <x v="2"/>
    <x v="10"/>
    <x v="10"/>
    <x v="6"/>
    <x v="0"/>
    <x v="10"/>
    <x v="0"/>
    <x v="3"/>
    <x v="0"/>
    <x v="10"/>
    <x v="2"/>
    <x v="0"/>
    <x v="10"/>
  </r>
  <r>
    <x v="2"/>
    <x v="5"/>
    <x v="10"/>
    <x v="11"/>
    <x v="11"/>
    <x v="2"/>
    <x v="0"/>
    <x v="11"/>
    <x v="0"/>
    <x v="11"/>
    <x v="11"/>
    <x v="0"/>
    <x v="0"/>
    <x v="2"/>
    <x v="1"/>
    <x v="4"/>
    <x v="4"/>
    <x v="11"/>
    <x v="7"/>
    <x v="0"/>
    <x v="11"/>
    <x v="0"/>
    <x v="8"/>
    <x v="2"/>
    <x v="10"/>
    <x v="11"/>
    <x v="6"/>
    <x v="0"/>
    <x v="11"/>
    <x v="0"/>
    <x v="3"/>
    <x v="0"/>
    <x v="11"/>
    <x v="2"/>
    <x v="0"/>
    <x v="11"/>
  </r>
  <r>
    <x v="2"/>
    <x v="6"/>
    <x v="11"/>
    <x v="12"/>
    <x v="12"/>
    <x v="2"/>
    <x v="0"/>
    <x v="12"/>
    <x v="7"/>
    <x v="12"/>
    <x v="12"/>
    <x v="7"/>
    <x v="7"/>
    <x v="2"/>
    <x v="1"/>
    <x v="4"/>
    <x v="4"/>
    <x v="12"/>
    <x v="0"/>
    <x v="0"/>
    <x v="12"/>
    <x v="7"/>
    <x v="5"/>
    <x v="2"/>
    <x v="10"/>
    <x v="12"/>
    <x v="6"/>
    <x v="0"/>
    <x v="12"/>
    <x v="2"/>
    <x v="3"/>
    <x v="0"/>
    <x v="12"/>
    <x v="2"/>
    <x v="0"/>
    <x v="12"/>
  </r>
  <r>
    <x v="0"/>
    <x v="0"/>
    <x v="12"/>
    <x v="13"/>
    <x v="13"/>
    <x v="0"/>
    <x v="0"/>
    <x v="13"/>
    <x v="8"/>
    <x v="13"/>
    <x v="13"/>
    <x v="8"/>
    <x v="8"/>
    <x v="2"/>
    <x v="1"/>
    <x v="4"/>
    <x v="4"/>
    <x v="13"/>
    <x v="0"/>
    <x v="0"/>
    <x v="13"/>
    <x v="8"/>
    <x v="5"/>
    <x v="2"/>
    <x v="10"/>
    <x v="13"/>
    <x v="6"/>
    <x v="0"/>
    <x v="13"/>
    <x v="2"/>
    <x v="3"/>
    <x v="0"/>
    <x v="13"/>
    <x v="2"/>
    <x v="0"/>
    <x v="13"/>
  </r>
  <r>
    <x v="2"/>
    <x v="7"/>
    <x v="13"/>
    <x v="14"/>
    <x v="14"/>
    <x v="1"/>
    <x v="1"/>
    <x v="14"/>
    <x v="9"/>
    <x v="14"/>
    <x v="14"/>
    <x v="9"/>
    <x v="9"/>
    <x v="2"/>
    <x v="1"/>
    <x v="4"/>
    <x v="4"/>
    <x v="14"/>
    <x v="8"/>
    <x v="5"/>
    <x v="14"/>
    <x v="9"/>
    <x v="5"/>
    <x v="2"/>
    <x v="10"/>
    <x v="14"/>
    <x v="6"/>
    <x v="0"/>
    <x v="14"/>
    <x v="2"/>
    <x v="3"/>
    <x v="0"/>
    <x v="14"/>
    <x v="2"/>
    <x v="0"/>
    <x v="14"/>
  </r>
  <r>
    <x v="0"/>
    <x v="0"/>
    <x v="14"/>
    <x v="15"/>
    <x v="15"/>
    <x v="2"/>
    <x v="0"/>
    <x v="15"/>
    <x v="10"/>
    <x v="15"/>
    <x v="15"/>
    <x v="10"/>
    <x v="10"/>
    <x v="2"/>
    <x v="1"/>
    <x v="4"/>
    <x v="4"/>
    <x v="15"/>
    <x v="9"/>
    <x v="6"/>
    <x v="15"/>
    <x v="10"/>
    <x v="5"/>
    <x v="2"/>
    <x v="10"/>
    <x v="15"/>
    <x v="6"/>
    <x v="0"/>
    <x v="15"/>
    <x v="2"/>
    <x v="3"/>
    <x v="0"/>
    <x v="15"/>
    <x v="2"/>
    <x v="0"/>
    <x v="15"/>
  </r>
  <r>
    <x v="2"/>
    <x v="6"/>
    <x v="11"/>
    <x v="16"/>
    <x v="16"/>
    <x v="2"/>
    <x v="0"/>
    <x v="16"/>
    <x v="11"/>
    <x v="16"/>
    <x v="16"/>
    <x v="11"/>
    <x v="11"/>
    <x v="2"/>
    <x v="1"/>
    <x v="4"/>
    <x v="4"/>
    <x v="16"/>
    <x v="10"/>
    <x v="7"/>
    <x v="16"/>
    <x v="11"/>
    <x v="5"/>
    <x v="2"/>
    <x v="10"/>
    <x v="16"/>
    <x v="6"/>
    <x v="0"/>
    <x v="16"/>
    <x v="0"/>
    <x v="3"/>
    <x v="0"/>
    <x v="16"/>
    <x v="2"/>
    <x v="0"/>
    <x v="16"/>
  </r>
  <r>
    <x v="2"/>
    <x v="8"/>
    <x v="15"/>
    <x v="17"/>
    <x v="17"/>
    <x v="0"/>
    <x v="0"/>
    <x v="17"/>
    <x v="0"/>
    <x v="17"/>
    <x v="17"/>
    <x v="0"/>
    <x v="0"/>
    <x v="2"/>
    <x v="1"/>
    <x v="4"/>
    <x v="4"/>
    <x v="17"/>
    <x v="0"/>
    <x v="0"/>
    <x v="17"/>
    <x v="0"/>
    <x v="5"/>
    <x v="2"/>
    <x v="10"/>
    <x v="17"/>
    <x v="6"/>
    <x v="0"/>
    <x v="17"/>
    <x v="2"/>
    <x v="3"/>
    <x v="0"/>
    <x v="17"/>
    <x v="2"/>
    <x v="0"/>
    <x v="17"/>
  </r>
  <r>
    <x v="2"/>
    <x v="8"/>
    <x v="15"/>
    <x v="18"/>
    <x v="18"/>
    <x v="0"/>
    <x v="0"/>
    <x v="17"/>
    <x v="0"/>
    <x v="17"/>
    <x v="17"/>
    <x v="0"/>
    <x v="0"/>
    <x v="2"/>
    <x v="1"/>
    <x v="4"/>
    <x v="4"/>
    <x v="18"/>
    <x v="0"/>
    <x v="0"/>
    <x v="17"/>
    <x v="0"/>
    <x v="5"/>
    <x v="2"/>
    <x v="10"/>
    <x v="18"/>
    <x v="6"/>
    <x v="0"/>
    <x v="18"/>
    <x v="2"/>
    <x v="3"/>
    <x v="0"/>
    <x v="18"/>
    <x v="2"/>
    <x v="0"/>
    <x v="18"/>
  </r>
  <r>
    <x v="0"/>
    <x v="0"/>
    <x v="14"/>
    <x v="19"/>
    <x v="19"/>
    <x v="0"/>
    <x v="0"/>
    <x v="17"/>
    <x v="0"/>
    <x v="17"/>
    <x v="17"/>
    <x v="0"/>
    <x v="0"/>
    <x v="2"/>
    <x v="1"/>
    <x v="4"/>
    <x v="4"/>
    <x v="19"/>
    <x v="0"/>
    <x v="0"/>
    <x v="17"/>
    <x v="0"/>
    <x v="5"/>
    <x v="2"/>
    <x v="10"/>
    <x v="19"/>
    <x v="6"/>
    <x v="0"/>
    <x v="19"/>
    <x v="2"/>
    <x v="3"/>
    <x v="0"/>
    <x v="19"/>
    <x v="2"/>
    <x v="0"/>
    <x v="19"/>
  </r>
  <r>
    <x v="2"/>
    <x v="9"/>
    <x v="16"/>
    <x v="20"/>
    <x v="20"/>
    <x v="0"/>
    <x v="0"/>
    <x v="17"/>
    <x v="0"/>
    <x v="17"/>
    <x v="17"/>
    <x v="0"/>
    <x v="0"/>
    <x v="2"/>
    <x v="1"/>
    <x v="4"/>
    <x v="4"/>
    <x v="20"/>
    <x v="0"/>
    <x v="0"/>
    <x v="17"/>
    <x v="0"/>
    <x v="5"/>
    <x v="2"/>
    <x v="10"/>
    <x v="20"/>
    <x v="6"/>
    <x v="0"/>
    <x v="20"/>
    <x v="2"/>
    <x v="3"/>
    <x v="0"/>
    <x v="20"/>
    <x v="2"/>
    <x v="0"/>
    <x v="20"/>
  </r>
  <r>
    <x v="2"/>
    <x v="8"/>
    <x v="15"/>
    <x v="21"/>
    <x v="21"/>
    <x v="0"/>
    <x v="0"/>
    <x v="17"/>
    <x v="0"/>
    <x v="17"/>
    <x v="17"/>
    <x v="0"/>
    <x v="0"/>
    <x v="2"/>
    <x v="1"/>
    <x v="4"/>
    <x v="4"/>
    <x v="21"/>
    <x v="0"/>
    <x v="0"/>
    <x v="17"/>
    <x v="0"/>
    <x v="5"/>
    <x v="2"/>
    <x v="10"/>
    <x v="21"/>
    <x v="6"/>
    <x v="0"/>
    <x v="21"/>
    <x v="0"/>
    <x v="3"/>
    <x v="0"/>
    <x v="21"/>
    <x v="2"/>
    <x v="0"/>
    <x v="21"/>
  </r>
  <r>
    <x v="2"/>
    <x v="8"/>
    <x v="15"/>
    <x v="22"/>
    <x v="22"/>
    <x v="0"/>
    <x v="0"/>
    <x v="17"/>
    <x v="0"/>
    <x v="17"/>
    <x v="17"/>
    <x v="0"/>
    <x v="0"/>
    <x v="2"/>
    <x v="1"/>
    <x v="4"/>
    <x v="4"/>
    <x v="22"/>
    <x v="0"/>
    <x v="0"/>
    <x v="17"/>
    <x v="0"/>
    <x v="5"/>
    <x v="2"/>
    <x v="10"/>
    <x v="22"/>
    <x v="6"/>
    <x v="0"/>
    <x v="22"/>
    <x v="2"/>
    <x v="3"/>
    <x v="0"/>
    <x v="22"/>
    <x v="2"/>
    <x v="0"/>
    <x v="22"/>
  </r>
  <r>
    <x v="2"/>
    <x v="6"/>
    <x v="11"/>
    <x v="23"/>
    <x v="23"/>
    <x v="0"/>
    <x v="0"/>
    <x v="17"/>
    <x v="0"/>
    <x v="17"/>
    <x v="17"/>
    <x v="0"/>
    <x v="0"/>
    <x v="2"/>
    <x v="1"/>
    <x v="4"/>
    <x v="4"/>
    <x v="23"/>
    <x v="0"/>
    <x v="0"/>
    <x v="17"/>
    <x v="0"/>
    <x v="5"/>
    <x v="2"/>
    <x v="10"/>
    <x v="23"/>
    <x v="6"/>
    <x v="0"/>
    <x v="23"/>
    <x v="0"/>
    <x v="3"/>
    <x v="0"/>
    <x v="23"/>
    <x v="2"/>
    <x v="0"/>
    <x v="23"/>
  </r>
  <r>
    <x v="0"/>
    <x v="0"/>
    <x v="2"/>
    <x v="24"/>
    <x v="24"/>
    <x v="0"/>
    <x v="0"/>
    <x v="17"/>
    <x v="0"/>
    <x v="17"/>
    <x v="17"/>
    <x v="0"/>
    <x v="0"/>
    <x v="2"/>
    <x v="1"/>
    <x v="4"/>
    <x v="4"/>
    <x v="24"/>
    <x v="0"/>
    <x v="0"/>
    <x v="17"/>
    <x v="0"/>
    <x v="5"/>
    <x v="2"/>
    <x v="10"/>
    <x v="24"/>
    <x v="6"/>
    <x v="0"/>
    <x v="24"/>
    <x v="2"/>
    <x v="3"/>
    <x v="0"/>
    <x v="24"/>
    <x v="2"/>
    <x v="0"/>
    <x v="24"/>
  </r>
  <r>
    <x v="2"/>
    <x v="8"/>
    <x v="15"/>
    <x v="25"/>
    <x v="25"/>
    <x v="0"/>
    <x v="0"/>
    <x v="17"/>
    <x v="0"/>
    <x v="17"/>
    <x v="17"/>
    <x v="0"/>
    <x v="0"/>
    <x v="2"/>
    <x v="1"/>
    <x v="4"/>
    <x v="4"/>
    <x v="25"/>
    <x v="0"/>
    <x v="0"/>
    <x v="17"/>
    <x v="0"/>
    <x v="5"/>
    <x v="2"/>
    <x v="10"/>
    <x v="25"/>
    <x v="6"/>
    <x v="0"/>
    <x v="25"/>
    <x v="2"/>
    <x v="3"/>
    <x v="0"/>
    <x v="25"/>
    <x v="2"/>
    <x v="0"/>
    <x v="25"/>
  </r>
  <r>
    <x v="0"/>
    <x v="0"/>
    <x v="2"/>
    <x v="26"/>
    <x v="26"/>
    <x v="0"/>
    <x v="0"/>
    <x v="17"/>
    <x v="0"/>
    <x v="17"/>
    <x v="17"/>
    <x v="0"/>
    <x v="0"/>
    <x v="2"/>
    <x v="1"/>
    <x v="4"/>
    <x v="4"/>
    <x v="26"/>
    <x v="0"/>
    <x v="0"/>
    <x v="17"/>
    <x v="0"/>
    <x v="5"/>
    <x v="2"/>
    <x v="10"/>
    <x v="26"/>
    <x v="6"/>
    <x v="0"/>
    <x v="26"/>
    <x v="0"/>
    <x v="3"/>
    <x v="0"/>
    <x v="26"/>
    <x v="2"/>
    <x v="0"/>
    <x v="26"/>
  </r>
  <r>
    <x v="1"/>
    <x v="3"/>
    <x v="6"/>
    <x v="27"/>
    <x v="27"/>
    <x v="0"/>
    <x v="0"/>
    <x v="17"/>
    <x v="0"/>
    <x v="17"/>
    <x v="17"/>
    <x v="0"/>
    <x v="0"/>
    <x v="2"/>
    <x v="1"/>
    <x v="4"/>
    <x v="4"/>
    <x v="27"/>
    <x v="0"/>
    <x v="0"/>
    <x v="17"/>
    <x v="0"/>
    <x v="5"/>
    <x v="2"/>
    <x v="10"/>
    <x v="27"/>
    <x v="6"/>
    <x v="0"/>
    <x v="27"/>
    <x v="2"/>
    <x v="3"/>
    <x v="0"/>
    <x v="27"/>
    <x v="2"/>
    <x v="0"/>
    <x v="27"/>
  </r>
  <r>
    <x v="0"/>
    <x v="0"/>
    <x v="14"/>
    <x v="28"/>
    <x v="28"/>
    <x v="0"/>
    <x v="0"/>
    <x v="17"/>
    <x v="0"/>
    <x v="17"/>
    <x v="17"/>
    <x v="0"/>
    <x v="0"/>
    <x v="2"/>
    <x v="1"/>
    <x v="4"/>
    <x v="4"/>
    <x v="28"/>
    <x v="0"/>
    <x v="0"/>
    <x v="17"/>
    <x v="0"/>
    <x v="5"/>
    <x v="2"/>
    <x v="10"/>
    <x v="28"/>
    <x v="6"/>
    <x v="0"/>
    <x v="28"/>
    <x v="2"/>
    <x v="3"/>
    <x v="0"/>
    <x v="28"/>
    <x v="2"/>
    <x v="0"/>
    <x v="28"/>
  </r>
  <r>
    <x v="1"/>
    <x v="3"/>
    <x v="6"/>
    <x v="29"/>
    <x v="29"/>
    <x v="0"/>
    <x v="0"/>
    <x v="17"/>
    <x v="0"/>
    <x v="17"/>
    <x v="17"/>
    <x v="0"/>
    <x v="0"/>
    <x v="2"/>
    <x v="1"/>
    <x v="4"/>
    <x v="4"/>
    <x v="29"/>
    <x v="0"/>
    <x v="0"/>
    <x v="17"/>
    <x v="0"/>
    <x v="5"/>
    <x v="2"/>
    <x v="10"/>
    <x v="29"/>
    <x v="6"/>
    <x v="0"/>
    <x v="29"/>
    <x v="2"/>
    <x v="3"/>
    <x v="0"/>
    <x v="29"/>
    <x v="2"/>
    <x v="0"/>
    <x v="29"/>
  </r>
  <r>
    <x v="0"/>
    <x v="0"/>
    <x v="2"/>
    <x v="30"/>
    <x v="30"/>
    <x v="0"/>
    <x v="0"/>
    <x v="17"/>
    <x v="0"/>
    <x v="17"/>
    <x v="17"/>
    <x v="0"/>
    <x v="0"/>
    <x v="2"/>
    <x v="1"/>
    <x v="4"/>
    <x v="4"/>
    <x v="30"/>
    <x v="0"/>
    <x v="0"/>
    <x v="17"/>
    <x v="0"/>
    <x v="5"/>
    <x v="2"/>
    <x v="10"/>
    <x v="30"/>
    <x v="6"/>
    <x v="0"/>
    <x v="30"/>
    <x v="2"/>
    <x v="3"/>
    <x v="0"/>
    <x v="30"/>
    <x v="2"/>
    <x v="0"/>
    <x v="30"/>
  </r>
  <r>
    <x v="0"/>
    <x v="1"/>
    <x v="17"/>
    <x v="31"/>
    <x v="31"/>
    <x v="0"/>
    <x v="0"/>
    <x v="17"/>
    <x v="0"/>
    <x v="17"/>
    <x v="17"/>
    <x v="0"/>
    <x v="0"/>
    <x v="2"/>
    <x v="1"/>
    <x v="4"/>
    <x v="4"/>
    <x v="31"/>
    <x v="0"/>
    <x v="0"/>
    <x v="17"/>
    <x v="0"/>
    <x v="5"/>
    <x v="2"/>
    <x v="10"/>
    <x v="31"/>
    <x v="6"/>
    <x v="0"/>
    <x v="31"/>
    <x v="2"/>
    <x v="3"/>
    <x v="0"/>
    <x v="31"/>
    <x v="2"/>
    <x v="0"/>
    <x v="31"/>
  </r>
  <r>
    <x v="1"/>
    <x v="3"/>
    <x v="4"/>
    <x v="32"/>
    <x v="32"/>
    <x v="0"/>
    <x v="0"/>
    <x v="17"/>
    <x v="0"/>
    <x v="17"/>
    <x v="17"/>
    <x v="0"/>
    <x v="0"/>
    <x v="2"/>
    <x v="1"/>
    <x v="4"/>
    <x v="4"/>
    <x v="32"/>
    <x v="0"/>
    <x v="0"/>
    <x v="17"/>
    <x v="0"/>
    <x v="5"/>
    <x v="2"/>
    <x v="10"/>
    <x v="32"/>
    <x v="6"/>
    <x v="0"/>
    <x v="32"/>
    <x v="0"/>
    <x v="3"/>
    <x v="0"/>
    <x v="32"/>
    <x v="2"/>
    <x v="0"/>
    <x v="32"/>
  </r>
  <r>
    <x v="0"/>
    <x v="0"/>
    <x v="8"/>
    <x v="33"/>
    <x v="33"/>
    <x v="0"/>
    <x v="0"/>
    <x v="17"/>
    <x v="0"/>
    <x v="17"/>
    <x v="17"/>
    <x v="0"/>
    <x v="0"/>
    <x v="2"/>
    <x v="1"/>
    <x v="4"/>
    <x v="4"/>
    <x v="33"/>
    <x v="0"/>
    <x v="0"/>
    <x v="17"/>
    <x v="0"/>
    <x v="5"/>
    <x v="2"/>
    <x v="10"/>
    <x v="33"/>
    <x v="6"/>
    <x v="0"/>
    <x v="33"/>
    <x v="2"/>
    <x v="3"/>
    <x v="0"/>
    <x v="33"/>
    <x v="2"/>
    <x v="0"/>
    <x v="33"/>
  </r>
  <r>
    <x v="0"/>
    <x v="0"/>
    <x v="2"/>
    <x v="34"/>
    <x v="34"/>
    <x v="0"/>
    <x v="0"/>
    <x v="17"/>
    <x v="0"/>
    <x v="17"/>
    <x v="17"/>
    <x v="0"/>
    <x v="0"/>
    <x v="2"/>
    <x v="1"/>
    <x v="4"/>
    <x v="4"/>
    <x v="34"/>
    <x v="0"/>
    <x v="0"/>
    <x v="17"/>
    <x v="0"/>
    <x v="5"/>
    <x v="2"/>
    <x v="10"/>
    <x v="34"/>
    <x v="6"/>
    <x v="0"/>
    <x v="34"/>
    <x v="2"/>
    <x v="3"/>
    <x v="0"/>
    <x v="34"/>
    <x v="2"/>
    <x v="0"/>
    <x v="34"/>
  </r>
  <r>
    <x v="1"/>
    <x v="3"/>
    <x v="6"/>
    <x v="35"/>
    <x v="35"/>
    <x v="0"/>
    <x v="0"/>
    <x v="17"/>
    <x v="0"/>
    <x v="17"/>
    <x v="17"/>
    <x v="0"/>
    <x v="0"/>
    <x v="2"/>
    <x v="1"/>
    <x v="4"/>
    <x v="4"/>
    <x v="35"/>
    <x v="0"/>
    <x v="0"/>
    <x v="17"/>
    <x v="0"/>
    <x v="5"/>
    <x v="2"/>
    <x v="10"/>
    <x v="35"/>
    <x v="6"/>
    <x v="0"/>
    <x v="35"/>
    <x v="2"/>
    <x v="3"/>
    <x v="0"/>
    <x v="35"/>
    <x v="2"/>
    <x v="0"/>
    <x v="35"/>
  </r>
  <r>
    <x v="2"/>
    <x v="9"/>
    <x v="16"/>
    <x v="36"/>
    <x v="36"/>
    <x v="0"/>
    <x v="0"/>
    <x v="17"/>
    <x v="0"/>
    <x v="17"/>
    <x v="17"/>
    <x v="0"/>
    <x v="0"/>
    <x v="2"/>
    <x v="1"/>
    <x v="4"/>
    <x v="4"/>
    <x v="36"/>
    <x v="0"/>
    <x v="0"/>
    <x v="17"/>
    <x v="0"/>
    <x v="5"/>
    <x v="2"/>
    <x v="10"/>
    <x v="36"/>
    <x v="6"/>
    <x v="0"/>
    <x v="36"/>
    <x v="2"/>
    <x v="3"/>
    <x v="0"/>
    <x v="36"/>
    <x v="2"/>
    <x v="0"/>
    <x v="36"/>
  </r>
  <r>
    <x v="2"/>
    <x v="6"/>
    <x v="11"/>
    <x v="37"/>
    <x v="37"/>
    <x v="0"/>
    <x v="0"/>
    <x v="17"/>
    <x v="0"/>
    <x v="17"/>
    <x v="17"/>
    <x v="0"/>
    <x v="0"/>
    <x v="2"/>
    <x v="1"/>
    <x v="4"/>
    <x v="4"/>
    <x v="37"/>
    <x v="0"/>
    <x v="0"/>
    <x v="17"/>
    <x v="0"/>
    <x v="5"/>
    <x v="2"/>
    <x v="10"/>
    <x v="37"/>
    <x v="6"/>
    <x v="0"/>
    <x v="37"/>
    <x v="2"/>
    <x v="3"/>
    <x v="0"/>
    <x v="37"/>
    <x v="2"/>
    <x v="0"/>
    <x v="37"/>
  </r>
  <r>
    <x v="1"/>
    <x v="3"/>
    <x v="6"/>
    <x v="38"/>
    <x v="38"/>
    <x v="0"/>
    <x v="0"/>
    <x v="17"/>
    <x v="0"/>
    <x v="17"/>
    <x v="17"/>
    <x v="0"/>
    <x v="0"/>
    <x v="2"/>
    <x v="1"/>
    <x v="4"/>
    <x v="4"/>
    <x v="38"/>
    <x v="0"/>
    <x v="0"/>
    <x v="17"/>
    <x v="0"/>
    <x v="5"/>
    <x v="2"/>
    <x v="10"/>
    <x v="38"/>
    <x v="6"/>
    <x v="0"/>
    <x v="38"/>
    <x v="2"/>
    <x v="3"/>
    <x v="0"/>
    <x v="38"/>
    <x v="2"/>
    <x v="0"/>
    <x v="38"/>
  </r>
  <r>
    <x v="1"/>
    <x v="3"/>
    <x v="4"/>
    <x v="39"/>
    <x v="39"/>
    <x v="0"/>
    <x v="0"/>
    <x v="17"/>
    <x v="0"/>
    <x v="17"/>
    <x v="17"/>
    <x v="0"/>
    <x v="0"/>
    <x v="2"/>
    <x v="1"/>
    <x v="4"/>
    <x v="4"/>
    <x v="39"/>
    <x v="0"/>
    <x v="0"/>
    <x v="17"/>
    <x v="0"/>
    <x v="5"/>
    <x v="2"/>
    <x v="10"/>
    <x v="39"/>
    <x v="6"/>
    <x v="0"/>
    <x v="39"/>
    <x v="0"/>
    <x v="3"/>
    <x v="0"/>
    <x v="39"/>
    <x v="2"/>
    <x v="0"/>
    <x v="39"/>
  </r>
  <r>
    <x v="1"/>
    <x v="3"/>
    <x v="6"/>
    <x v="40"/>
    <x v="40"/>
    <x v="0"/>
    <x v="0"/>
    <x v="17"/>
    <x v="0"/>
    <x v="17"/>
    <x v="17"/>
    <x v="0"/>
    <x v="0"/>
    <x v="2"/>
    <x v="1"/>
    <x v="4"/>
    <x v="4"/>
    <x v="40"/>
    <x v="0"/>
    <x v="0"/>
    <x v="17"/>
    <x v="0"/>
    <x v="5"/>
    <x v="2"/>
    <x v="10"/>
    <x v="40"/>
    <x v="6"/>
    <x v="0"/>
    <x v="40"/>
    <x v="2"/>
    <x v="3"/>
    <x v="0"/>
    <x v="40"/>
    <x v="2"/>
    <x v="0"/>
    <x v="40"/>
  </r>
  <r>
    <x v="0"/>
    <x v="0"/>
    <x v="8"/>
    <x v="41"/>
    <x v="41"/>
    <x v="0"/>
    <x v="0"/>
    <x v="17"/>
    <x v="0"/>
    <x v="17"/>
    <x v="17"/>
    <x v="0"/>
    <x v="0"/>
    <x v="2"/>
    <x v="1"/>
    <x v="4"/>
    <x v="4"/>
    <x v="41"/>
    <x v="0"/>
    <x v="0"/>
    <x v="17"/>
    <x v="0"/>
    <x v="5"/>
    <x v="2"/>
    <x v="10"/>
    <x v="41"/>
    <x v="6"/>
    <x v="0"/>
    <x v="41"/>
    <x v="2"/>
    <x v="3"/>
    <x v="0"/>
    <x v="41"/>
    <x v="2"/>
    <x v="0"/>
    <x v="41"/>
  </r>
  <r>
    <x v="0"/>
    <x v="0"/>
    <x v="0"/>
    <x v="42"/>
    <x v="42"/>
    <x v="0"/>
    <x v="0"/>
    <x v="17"/>
    <x v="0"/>
    <x v="17"/>
    <x v="17"/>
    <x v="0"/>
    <x v="0"/>
    <x v="2"/>
    <x v="1"/>
    <x v="4"/>
    <x v="4"/>
    <x v="42"/>
    <x v="0"/>
    <x v="0"/>
    <x v="17"/>
    <x v="0"/>
    <x v="5"/>
    <x v="2"/>
    <x v="10"/>
    <x v="42"/>
    <x v="6"/>
    <x v="0"/>
    <x v="42"/>
    <x v="0"/>
    <x v="3"/>
    <x v="0"/>
    <x v="42"/>
    <x v="2"/>
    <x v="0"/>
    <x v="42"/>
  </r>
  <r>
    <x v="2"/>
    <x v="8"/>
    <x v="15"/>
    <x v="43"/>
    <x v="43"/>
    <x v="0"/>
    <x v="0"/>
    <x v="17"/>
    <x v="0"/>
    <x v="17"/>
    <x v="17"/>
    <x v="0"/>
    <x v="0"/>
    <x v="2"/>
    <x v="1"/>
    <x v="4"/>
    <x v="4"/>
    <x v="43"/>
    <x v="0"/>
    <x v="0"/>
    <x v="17"/>
    <x v="0"/>
    <x v="5"/>
    <x v="2"/>
    <x v="10"/>
    <x v="43"/>
    <x v="6"/>
    <x v="0"/>
    <x v="43"/>
    <x v="0"/>
    <x v="3"/>
    <x v="0"/>
    <x v="43"/>
    <x v="2"/>
    <x v="0"/>
    <x v="43"/>
  </r>
  <r>
    <x v="2"/>
    <x v="7"/>
    <x v="18"/>
    <x v="44"/>
    <x v="44"/>
    <x v="0"/>
    <x v="0"/>
    <x v="17"/>
    <x v="0"/>
    <x v="17"/>
    <x v="17"/>
    <x v="0"/>
    <x v="0"/>
    <x v="2"/>
    <x v="1"/>
    <x v="4"/>
    <x v="4"/>
    <x v="44"/>
    <x v="0"/>
    <x v="0"/>
    <x v="17"/>
    <x v="0"/>
    <x v="5"/>
    <x v="2"/>
    <x v="10"/>
    <x v="44"/>
    <x v="6"/>
    <x v="0"/>
    <x v="44"/>
    <x v="2"/>
    <x v="3"/>
    <x v="0"/>
    <x v="44"/>
    <x v="2"/>
    <x v="0"/>
    <x v="44"/>
  </r>
  <r>
    <x v="1"/>
    <x v="3"/>
    <x v="4"/>
    <x v="45"/>
    <x v="45"/>
    <x v="0"/>
    <x v="0"/>
    <x v="17"/>
    <x v="0"/>
    <x v="17"/>
    <x v="17"/>
    <x v="0"/>
    <x v="0"/>
    <x v="2"/>
    <x v="1"/>
    <x v="4"/>
    <x v="4"/>
    <x v="45"/>
    <x v="0"/>
    <x v="0"/>
    <x v="17"/>
    <x v="0"/>
    <x v="5"/>
    <x v="2"/>
    <x v="10"/>
    <x v="45"/>
    <x v="6"/>
    <x v="0"/>
    <x v="45"/>
    <x v="2"/>
    <x v="3"/>
    <x v="0"/>
    <x v="45"/>
    <x v="2"/>
    <x v="0"/>
    <x v="45"/>
  </r>
  <r>
    <x v="1"/>
    <x v="3"/>
    <x v="6"/>
    <x v="46"/>
    <x v="46"/>
    <x v="0"/>
    <x v="0"/>
    <x v="17"/>
    <x v="0"/>
    <x v="17"/>
    <x v="17"/>
    <x v="0"/>
    <x v="0"/>
    <x v="2"/>
    <x v="1"/>
    <x v="4"/>
    <x v="4"/>
    <x v="46"/>
    <x v="0"/>
    <x v="0"/>
    <x v="17"/>
    <x v="0"/>
    <x v="5"/>
    <x v="2"/>
    <x v="10"/>
    <x v="46"/>
    <x v="6"/>
    <x v="0"/>
    <x v="46"/>
    <x v="2"/>
    <x v="3"/>
    <x v="0"/>
    <x v="46"/>
    <x v="2"/>
    <x v="0"/>
    <x v="46"/>
  </r>
  <r>
    <x v="2"/>
    <x v="8"/>
    <x v="15"/>
    <x v="47"/>
    <x v="47"/>
    <x v="0"/>
    <x v="0"/>
    <x v="17"/>
    <x v="0"/>
    <x v="17"/>
    <x v="17"/>
    <x v="0"/>
    <x v="0"/>
    <x v="2"/>
    <x v="1"/>
    <x v="4"/>
    <x v="4"/>
    <x v="47"/>
    <x v="0"/>
    <x v="0"/>
    <x v="17"/>
    <x v="0"/>
    <x v="5"/>
    <x v="2"/>
    <x v="10"/>
    <x v="47"/>
    <x v="6"/>
    <x v="0"/>
    <x v="47"/>
    <x v="0"/>
    <x v="3"/>
    <x v="0"/>
    <x v="47"/>
    <x v="2"/>
    <x v="0"/>
    <x v="47"/>
  </r>
  <r>
    <x v="2"/>
    <x v="9"/>
    <x v="16"/>
    <x v="48"/>
    <x v="48"/>
    <x v="0"/>
    <x v="0"/>
    <x v="17"/>
    <x v="0"/>
    <x v="17"/>
    <x v="17"/>
    <x v="0"/>
    <x v="0"/>
    <x v="2"/>
    <x v="1"/>
    <x v="4"/>
    <x v="4"/>
    <x v="48"/>
    <x v="0"/>
    <x v="0"/>
    <x v="17"/>
    <x v="0"/>
    <x v="5"/>
    <x v="2"/>
    <x v="10"/>
    <x v="48"/>
    <x v="6"/>
    <x v="0"/>
    <x v="48"/>
    <x v="2"/>
    <x v="3"/>
    <x v="0"/>
    <x v="48"/>
    <x v="2"/>
    <x v="0"/>
    <x v="48"/>
  </r>
  <r>
    <x v="0"/>
    <x v="1"/>
    <x v="9"/>
    <x v="49"/>
    <x v="49"/>
    <x v="0"/>
    <x v="0"/>
    <x v="17"/>
    <x v="0"/>
    <x v="17"/>
    <x v="17"/>
    <x v="0"/>
    <x v="0"/>
    <x v="2"/>
    <x v="1"/>
    <x v="4"/>
    <x v="4"/>
    <x v="49"/>
    <x v="0"/>
    <x v="0"/>
    <x v="17"/>
    <x v="0"/>
    <x v="5"/>
    <x v="2"/>
    <x v="10"/>
    <x v="49"/>
    <x v="6"/>
    <x v="0"/>
    <x v="49"/>
    <x v="2"/>
    <x v="3"/>
    <x v="0"/>
    <x v="49"/>
    <x v="2"/>
    <x v="0"/>
    <x v="49"/>
  </r>
  <r>
    <x v="1"/>
    <x v="3"/>
    <x v="4"/>
    <x v="50"/>
    <x v="50"/>
    <x v="0"/>
    <x v="0"/>
    <x v="17"/>
    <x v="0"/>
    <x v="17"/>
    <x v="17"/>
    <x v="0"/>
    <x v="0"/>
    <x v="2"/>
    <x v="1"/>
    <x v="4"/>
    <x v="4"/>
    <x v="50"/>
    <x v="0"/>
    <x v="0"/>
    <x v="17"/>
    <x v="0"/>
    <x v="5"/>
    <x v="2"/>
    <x v="10"/>
    <x v="50"/>
    <x v="6"/>
    <x v="0"/>
    <x v="50"/>
    <x v="2"/>
    <x v="3"/>
    <x v="0"/>
    <x v="50"/>
    <x v="2"/>
    <x v="0"/>
    <x v="50"/>
  </r>
  <r>
    <x v="2"/>
    <x v="6"/>
    <x v="11"/>
    <x v="51"/>
    <x v="51"/>
    <x v="0"/>
    <x v="0"/>
    <x v="17"/>
    <x v="0"/>
    <x v="17"/>
    <x v="17"/>
    <x v="0"/>
    <x v="0"/>
    <x v="2"/>
    <x v="1"/>
    <x v="4"/>
    <x v="4"/>
    <x v="51"/>
    <x v="0"/>
    <x v="0"/>
    <x v="17"/>
    <x v="0"/>
    <x v="5"/>
    <x v="2"/>
    <x v="10"/>
    <x v="51"/>
    <x v="6"/>
    <x v="0"/>
    <x v="51"/>
    <x v="0"/>
    <x v="3"/>
    <x v="0"/>
    <x v="51"/>
    <x v="2"/>
    <x v="0"/>
    <x v="51"/>
  </r>
  <r>
    <x v="1"/>
    <x v="3"/>
    <x v="4"/>
    <x v="52"/>
    <x v="52"/>
    <x v="0"/>
    <x v="0"/>
    <x v="17"/>
    <x v="0"/>
    <x v="17"/>
    <x v="17"/>
    <x v="0"/>
    <x v="0"/>
    <x v="2"/>
    <x v="1"/>
    <x v="4"/>
    <x v="4"/>
    <x v="52"/>
    <x v="0"/>
    <x v="0"/>
    <x v="17"/>
    <x v="0"/>
    <x v="5"/>
    <x v="2"/>
    <x v="10"/>
    <x v="52"/>
    <x v="6"/>
    <x v="0"/>
    <x v="52"/>
    <x v="2"/>
    <x v="3"/>
    <x v="0"/>
    <x v="52"/>
    <x v="2"/>
    <x v="0"/>
    <x v="52"/>
  </r>
  <r>
    <x v="2"/>
    <x v="10"/>
    <x v="19"/>
    <x v="53"/>
    <x v="53"/>
    <x v="0"/>
    <x v="0"/>
    <x v="17"/>
    <x v="0"/>
    <x v="17"/>
    <x v="17"/>
    <x v="0"/>
    <x v="0"/>
    <x v="2"/>
    <x v="1"/>
    <x v="4"/>
    <x v="4"/>
    <x v="53"/>
    <x v="0"/>
    <x v="0"/>
    <x v="17"/>
    <x v="0"/>
    <x v="5"/>
    <x v="2"/>
    <x v="10"/>
    <x v="53"/>
    <x v="6"/>
    <x v="0"/>
    <x v="53"/>
    <x v="2"/>
    <x v="3"/>
    <x v="0"/>
    <x v="53"/>
    <x v="2"/>
    <x v="0"/>
    <x v="53"/>
  </r>
  <r>
    <x v="2"/>
    <x v="6"/>
    <x v="11"/>
    <x v="54"/>
    <x v="54"/>
    <x v="0"/>
    <x v="0"/>
    <x v="17"/>
    <x v="0"/>
    <x v="17"/>
    <x v="17"/>
    <x v="0"/>
    <x v="0"/>
    <x v="2"/>
    <x v="1"/>
    <x v="4"/>
    <x v="4"/>
    <x v="54"/>
    <x v="0"/>
    <x v="0"/>
    <x v="17"/>
    <x v="0"/>
    <x v="5"/>
    <x v="2"/>
    <x v="10"/>
    <x v="54"/>
    <x v="6"/>
    <x v="0"/>
    <x v="54"/>
    <x v="0"/>
    <x v="3"/>
    <x v="0"/>
    <x v="54"/>
    <x v="2"/>
    <x v="0"/>
    <x v="54"/>
  </r>
  <r>
    <x v="1"/>
    <x v="3"/>
    <x v="20"/>
    <x v="55"/>
    <x v="55"/>
    <x v="0"/>
    <x v="0"/>
    <x v="18"/>
    <x v="0"/>
    <x v="18"/>
    <x v="18"/>
    <x v="0"/>
    <x v="0"/>
    <x v="0"/>
    <x v="0"/>
    <x v="4"/>
    <x v="4"/>
    <x v="55"/>
    <x v="0"/>
    <x v="0"/>
    <x v="18"/>
    <x v="0"/>
    <x v="9"/>
    <x v="0"/>
    <x v="11"/>
    <x v="55"/>
    <x v="3"/>
    <x v="0"/>
    <x v="55"/>
    <x v="0"/>
    <x v="1"/>
    <x v="0"/>
    <x v="55"/>
    <x v="0"/>
    <x v="0"/>
    <x v="55"/>
  </r>
  <r>
    <x v="0"/>
    <x v="0"/>
    <x v="21"/>
    <x v="56"/>
    <x v="56"/>
    <x v="0"/>
    <x v="0"/>
    <x v="17"/>
    <x v="0"/>
    <x v="17"/>
    <x v="17"/>
    <x v="0"/>
    <x v="0"/>
    <x v="2"/>
    <x v="1"/>
    <x v="4"/>
    <x v="4"/>
    <x v="56"/>
    <x v="0"/>
    <x v="0"/>
    <x v="17"/>
    <x v="0"/>
    <x v="5"/>
    <x v="2"/>
    <x v="10"/>
    <x v="56"/>
    <x v="6"/>
    <x v="0"/>
    <x v="56"/>
    <x v="2"/>
    <x v="3"/>
    <x v="0"/>
    <x v="56"/>
    <x v="2"/>
    <x v="0"/>
    <x v="56"/>
  </r>
  <r>
    <x v="0"/>
    <x v="2"/>
    <x v="3"/>
    <x v="57"/>
    <x v="57"/>
    <x v="0"/>
    <x v="0"/>
    <x v="17"/>
    <x v="0"/>
    <x v="17"/>
    <x v="17"/>
    <x v="0"/>
    <x v="0"/>
    <x v="2"/>
    <x v="1"/>
    <x v="4"/>
    <x v="4"/>
    <x v="57"/>
    <x v="0"/>
    <x v="0"/>
    <x v="17"/>
    <x v="0"/>
    <x v="5"/>
    <x v="2"/>
    <x v="10"/>
    <x v="57"/>
    <x v="6"/>
    <x v="0"/>
    <x v="57"/>
    <x v="2"/>
    <x v="3"/>
    <x v="0"/>
    <x v="57"/>
    <x v="2"/>
    <x v="0"/>
    <x v="57"/>
  </r>
  <r>
    <x v="0"/>
    <x v="0"/>
    <x v="14"/>
    <x v="58"/>
    <x v="58"/>
    <x v="0"/>
    <x v="0"/>
    <x v="17"/>
    <x v="0"/>
    <x v="17"/>
    <x v="17"/>
    <x v="0"/>
    <x v="0"/>
    <x v="2"/>
    <x v="1"/>
    <x v="4"/>
    <x v="4"/>
    <x v="58"/>
    <x v="0"/>
    <x v="0"/>
    <x v="17"/>
    <x v="0"/>
    <x v="5"/>
    <x v="2"/>
    <x v="10"/>
    <x v="58"/>
    <x v="6"/>
    <x v="0"/>
    <x v="58"/>
    <x v="0"/>
    <x v="3"/>
    <x v="0"/>
    <x v="58"/>
    <x v="2"/>
    <x v="0"/>
    <x v="58"/>
  </r>
  <r>
    <x v="0"/>
    <x v="0"/>
    <x v="14"/>
    <x v="59"/>
    <x v="59"/>
    <x v="0"/>
    <x v="0"/>
    <x v="17"/>
    <x v="0"/>
    <x v="17"/>
    <x v="17"/>
    <x v="0"/>
    <x v="0"/>
    <x v="2"/>
    <x v="1"/>
    <x v="4"/>
    <x v="4"/>
    <x v="59"/>
    <x v="0"/>
    <x v="0"/>
    <x v="17"/>
    <x v="0"/>
    <x v="5"/>
    <x v="2"/>
    <x v="10"/>
    <x v="59"/>
    <x v="6"/>
    <x v="0"/>
    <x v="59"/>
    <x v="0"/>
    <x v="3"/>
    <x v="0"/>
    <x v="59"/>
    <x v="2"/>
    <x v="0"/>
    <x v="59"/>
  </r>
  <r>
    <x v="0"/>
    <x v="2"/>
    <x v="3"/>
    <x v="60"/>
    <x v="60"/>
    <x v="0"/>
    <x v="0"/>
    <x v="17"/>
    <x v="0"/>
    <x v="17"/>
    <x v="17"/>
    <x v="0"/>
    <x v="0"/>
    <x v="2"/>
    <x v="1"/>
    <x v="4"/>
    <x v="4"/>
    <x v="60"/>
    <x v="0"/>
    <x v="0"/>
    <x v="17"/>
    <x v="0"/>
    <x v="5"/>
    <x v="2"/>
    <x v="10"/>
    <x v="60"/>
    <x v="6"/>
    <x v="0"/>
    <x v="60"/>
    <x v="2"/>
    <x v="3"/>
    <x v="0"/>
    <x v="60"/>
    <x v="2"/>
    <x v="0"/>
    <x v="60"/>
  </r>
  <r>
    <x v="0"/>
    <x v="1"/>
    <x v="1"/>
    <x v="61"/>
    <x v="61"/>
    <x v="2"/>
    <x v="0"/>
    <x v="17"/>
    <x v="0"/>
    <x v="17"/>
    <x v="17"/>
    <x v="0"/>
    <x v="0"/>
    <x v="2"/>
    <x v="1"/>
    <x v="4"/>
    <x v="4"/>
    <x v="61"/>
    <x v="0"/>
    <x v="0"/>
    <x v="17"/>
    <x v="0"/>
    <x v="5"/>
    <x v="2"/>
    <x v="10"/>
    <x v="61"/>
    <x v="6"/>
    <x v="0"/>
    <x v="61"/>
    <x v="2"/>
    <x v="3"/>
    <x v="0"/>
    <x v="61"/>
    <x v="2"/>
    <x v="0"/>
    <x v="61"/>
  </r>
  <r>
    <x v="0"/>
    <x v="0"/>
    <x v="12"/>
    <x v="62"/>
    <x v="62"/>
    <x v="3"/>
    <x v="0"/>
    <x v="17"/>
    <x v="0"/>
    <x v="17"/>
    <x v="17"/>
    <x v="0"/>
    <x v="0"/>
    <x v="2"/>
    <x v="1"/>
    <x v="4"/>
    <x v="4"/>
    <x v="62"/>
    <x v="0"/>
    <x v="0"/>
    <x v="17"/>
    <x v="0"/>
    <x v="5"/>
    <x v="2"/>
    <x v="10"/>
    <x v="62"/>
    <x v="6"/>
    <x v="0"/>
    <x v="62"/>
    <x v="0"/>
    <x v="3"/>
    <x v="0"/>
    <x v="62"/>
    <x v="2"/>
    <x v="0"/>
    <x v="62"/>
  </r>
  <r>
    <x v="1"/>
    <x v="3"/>
    <x v="4"/>
    <x v="63"/>
    <x v="63"/>
    <x v="0"/>
    <x v="0"/>
    <x v="17"/>
    <x v="0"/>
    <x v="17"/>
    <x v="17"/>
    <x v="0"/>
    <x v="0"/>
    <x v="2"/>
    <x v="1"/>
    <x v="4"/>
    <x v="4"/>
    <x v="63"/>
    <x v="0"/>
    <x v="0"/>
    <x v="17"/>
    <x v="0"/>
    <x v="5"/>
    <x v="2"/>
    <x v="10"/>
    <x v="63"/>
    <x v="6"/>
    <x v="0"/>
    <x v="63"/>
    <x v="2"/>
    <x v="3"/>
    <x v="0"/>
    <x v="63"/>
    <x v="2"/>
    <x v="0"/>
    <x v="63"/>
  </r>
  <r>
    <x v="0"/>
    <x v="0"/>
    <x v="2"/>
    <x v="64"/>
    <x v="64"/>
    <x v="0"/>
    <x v="0"/>
    <x v="17"/>
    <x v="0"/>
    <x v="17"/>
    <x v="17"/>
    <x v="0"/>
    <x v="0"/>
    <x v="2"/>
    <x v="1"/>
    <x v="4"/>
    <x v="4"/>
    <x v="64"/>
    <x v="0"/>
    <x v="0"/>
    <x v="17"/>
    <x v="0"/>
    <x v="5"/>
    <x v="2"/>
    <x v="10"/>
    <x v="64"/>
    <x v="6"/>
    <x v="0"/>
    <x v="64"/>
    <x v="2"/>
    <x v="3"/>
    <x v="0"/>
    <x v="64"/>
    <x v="2"/>
    <x v="0"/>
    <x v="64"/>
  </r>
  <r>
    <x v="0"/>
    <x v="0"/>
    <x v="2"/>
    <x v="65"/>
    <x v="65"/>
    <x v="0"/>
    <x v="0"/>
    <x v="17"/>
    <x v="0"/>
    <x v="17"/>
    <x v="17"/>
    <x v="0"/>
    <x v="0"/>
    <x v="2"/>
    <x v="1"/>
    <x v="4"/>
    <x v="4"/>
    <x v="65"/>
    <x v="0"/>
    <x v="0"/>
    <x v="17"/>
    <x v="0"/>
    <x v="5"/>
    <x v="2"/>
    <x v="10"/>
    <x v="65"/>
    <x v="6"/>
    <x v="0"/>
    <x v="65"/>
    <x v="2"/>
    <x v="3"/>
    <x v="0"/>
    <x v="65"/>
    <x v="2"/>
    <x v="0"/>
    <x v="65"/>
  </r>
  <r>
    <x v="0"/>
    <x v="0"/>
    <x v="2"/>
    <x v="66"/>
    <x v="66"/>
    <x v="0"/>
    <x v="0"/>
    <x v="17"/>
    <x v="0"/>
    <x v="17"/>
    <x v="17"/>
    <x v="0"/>
    <x v="0"/>
    <x v="2"/>
    <x v="1"/>
    <x v="4"/>
    <x v="4"/>
    <x v="66"/>
    <x v="0"/>
    <x v="0"/>
    <x v="17"/>
    <x v="0"/>
    <x v="5"/>
    <x v="2"/>
    <x v="10"/>
    <x v="66"/>
    <x v="6"/>
    <x v="0"/>
    <x v="66"/>
    <x v="2"/>
    <x v="3"/>
    <x v="0"/>
    <x v="66"/>
    <x v="2"/>
    <x v="0"/>
    <x v="66"/>
  </r>
  <r>
    <x v="2"/>
    <x v="8"/>
    <x v="15"/>
    <x v="67"/>
    <x v="67"/>
    <x v="2"/>
    <x v="0"/>
    <x v="17"/>
    <x v="0"/>
    <x v="17"/>
    <x v="17"/>
    <x v="0"/>
    <x v="0"/>
    <x v="2"/>
    <x v="1"/>
    <x v="4"/>
    <x v="4"/>
    <x v="67"/>
    <x v="0"/>
    <x v="0"/>
    <x v="17"/>
    <x v="0"/>
    <x v="5"/>
    <x v="2"/>
    <x v="10"/>
    <x v="67"/>
    <x v="6"/>
    <x v="0"/>
    <x v="67"/>
    <x v="0"/>
    <x v="3"/>
    <x v="0"/>
    <x v="67"/>
    <x v="2"/>
    <x v="0"/>
    <x v="67"/>
  </r>
  <r>
    <x v="0"/>
    <x v="0"/>
    <x v="21"/>
    <x v="68"/>
    <x v="68"/>
    <x v="0"/>
    <x v="0"/>
    <x v="17"/>
    <x v="0"/>
    <x v="17"/>
    <x v="17"/>
    <x v="0"/>
    <x v="0"/>
    <x v="2"/>
    <x v="1"/>
    <x v="4"/>
    <x v="4"/>
    <x v="68"/>
    <x v="0"/>
    <x v="0"/>
    <x v="17"/>
    <x v="0"/>
    <x v="5"/>
    <x v="2"/>
    <x v="10"/>
    <x v="68"/>
    <x v="6"/>
    <x v="0"/>
    <x v="68"/>
    <x v="2"/>
    <x v="3"/>
    <x v="0"/>
    <x v="68"/>
    <x v="2"/>
    <x v="0"/>
    <x v="68"/>
  </r>
  <r>
    <x v="1"/>
    <x v="3"/>
    <x v="6"/>
    <x v="69"/>
    <x v="69"/>
    <x v="0"/>
    <x v="0"/>
    <x v="17"/>
    <x v="0"/>
    <x v="17"/>
    <x v="17"/>
    <x v="0"/>
    <x v="0"/>
    <x v="2"/>
    <x v="1"/>
    <x v="4"/>
    <x v="4"/>
    <x v="69"/>
    <x v="0"/>
    <x v="0"/>
    <x v="17"/>
    <x v="0"/>
    <x v="5"/>
    <x v="2"/>
    <x v="10"/>
    <x v="69"/>
    <x v="6"/>
    <x v="0"/>
    <x v="69"/>
    <x v="2"/>
    <x v="3"/>
    <x v="0"/>
    <x v="69"/>
    <x v="2"/>
    <x v="0"/>
    <x v="69"/>
  </r>
  <r>
    <x v="0"/>
    <x v="0"/>
    <x v="2"/>
    <x v="70"/>
    <x v="70"/>
    <x v="2"/>
    <x v="0"/>
    <x v="17"/>
    <x v="0"/>
    <x v="17"/>
    <x v="17"/>
    <x v="0"/>
    <x v="0"/>
    <x v="2"/>
    <x v="1"/>
    <x v="4"/>
    <x v="4"/>
    <x v="70"/>
    <x v="0"/>
    <x v="0"/>
    <x v="17"/>
    <x v="0"/>
    <x v="5"/>
    <x v="2"/>
    <x v="10"/>
    <x v="70"/>
    <x v="6"/>
    <x v="0"/>
    <x v="70"/>
    <x v="2"/>
    <x v="3"/>
    <x v="0"/>
    <x v="70"/>
    <x v="2"/>
    <x v="0"/>
    <x v="70"/>
  </r>
  <r>
    <x v="0"/>
    <x v="0"/>
    <x v="2"/>
    <x v="71"/>
    <x v="71"/>
    <x v="5"/>
    <x v="0"/>
    <x v="17"/>
    <x v="0"/>
    <x v="17"/>
    <x v="17"/>
    <x v="0"/>
    <x v="0"/>
    <x v="2"/>
    <x v="1"/>
    <x v="4"/>
    <x v="4"/>
    <x v="71"/>
    <x v="0"/>
    <x v="0"/>
    <x v="17"/>
    <x v="0"/>
    <x v="5"/>
    <x v="2"/>
    <x v="10"/>
    <x v="71"/>
    <x v="6"/>
    <x v="0"/>
    <x v="71"/>
    <x v="2"/>
    <x v="3"/>
    <x v="0"/>
    <x v="71"/>
    <x v="2"/>
    <x v="0"/>
    <x v="71"/>
  </r>
  <r>
    <x v="0"/>
    <x v="2"/>
    <x v="3"/>
    <x v="72"/>
    <x v="72"/>
    <x v="5"/>
    <x v="0"/>
    <x v="17"/>
    <x v="0"/>
    <x v="17"/>
    <x v="17"/>
    <x v="0"/>
    <x v="0"/>
    <x v="2"/>
    <x v="1"/>
    <x v="4"/>
    <x v="4"/>
    <x v="72"/>
    <x v="0"/>
    <x v="0"/>
    <x v="17"/>
    <x v="0"/>
    <x v="5"/>
    <x v="2"/>
    <x v="10"/>
    <x v="72"/>
    <x v="6"/>
    <x v="0"/>
    <x v="72"/>
    <x v="2"/>
    <x v="3"/>
    <x v="0"/>
    <x v="72"/>
    <x v="2"/>
    <x v="0"/>
    <x v="72"/>
  </r>
  <r>
    <x v="0"/>
    <x v="0"/>
    <x v="2"/>
    <x v="73"/>
    <x v="73"/>
    <x v="2"/>
    <x v="0"/>
    <x v="17"/>
    <x v="0"/>
    <x v="17"/>
    <x v="17"/>
    <x v="0"/>
    <x v="0"/>
    <x v="2"/>
    <x v="1"/>
    <x v="4"/>
    <x v="4"/>
    <x v="73"/>
    <x v="0"/>
    <x v="0"/>
    <x v="17"/>
    <x v="0"/>
    <x v="5"/>
    <x v="2"/>
    <x v="10"/>
    <x v="73"/>
    <x v="6"/>
    <x v="0"/>
    <x v="73"/>
    <x v="2"/>
    <x v="3"/>
    <x v="0"/>
    <x v="73"/>
    <x v="2"/>
    <x v="0"/>
    <x v="73"/>
  </r>
  <r>
    <x v="0"/>
    <x v="0"/>
    <x v="0"/>
    <x v="74"/>
    <x v="74"/>
    <x v="2"/>
    <x v="0"/>
    <x v="17"/>
    <x v="0"/>
    <x v="17"/>
    <x v="17"/>
    <x v="0"/>
    <x v="0"/>
    <x v="2"/>
    <x v="1"/>
    <x v="4"/>
    <x v="4"/>
    <x v="74"/>
    <x v="0"/>
    <x v="0"/>
    <x v="17"/>
    <x v="0"/>
    <x v="5"/>
    <x v="2"/>
    <x v="10"/>
    <x v="74"/>
    <x v="6"/>
    <x v="0"/>
    <x v="74"/>
    <x v="0"/>
    <x v="3"/>
    <x v="0"/>
    <x v="74"/>
    <x v="2"/>
    <x v="0"/>
    <x v="74"/>
  </r>
  <r>
    <x v="0"/>
    <x v="0"/>
    <x v="2"/>
    <x v="75"/>
    <x v="75"/>
    <x v="2"/>
    <x v="0"/>
    <x v="17"/>
    <x v="0"/>
    <x v="17"/>
    <x v="17"/>
    <x v="0"/>
    <x v="0"/>
    <x v="2"/>
    <x v="1"/>
    <x v="4"/>
    <x v="4"/>
    <x v="75"/>
    <x v="0"/>
    <x v="0"/>
    <x v="17"/>
    <x v="0"/>
    <x v="5"/>
    <x v="2"/>
    <x v="10"/>
    <x v="75"/>
    <x v="6"/>
    <x v="0"/>
    <x v="75"/>
    <x v="2"/>
    <x v="3"/>
    <x v="0"/>
    <x v="75"/>
    <x v="2"/>
    <x v="0"/>
    <x v="75"/>
  </r>
  <r>
    <x v="0"/>
    <x v="0"/>
    <x v="2"/>
    <x v="76"/>
    <x v="76"/>
    <x v="2"/>
    <x v="0"/>
    <x v="17"/>
    <x v="0"/>
    <x v="17"/>
    <x v="17"/>
    <x v="0"/>
    <x v="0"/>
    <x v="2"/>
    <x v="1"/>
    <x v="4"/>
    <x v="4"/>
    <x v="76"/>
    <x v="0"/>
    <x v="0"/>
    <x v="17"/>
    <x v="0"/>
    <x v="5"/>
    <x v="2"/>
    <x v="10"/>
    <x v="76"/>
    <x v="6"/>
    <x v="0"/>
    <x v="76"/>
    <x v="2"/>
    <x v="3"/>
    <x v="0"/>
    <x v="76"/>
    <x v="2"/>
    <x v="0"/>
    <x v="76"/>
  </r>
  <r>
    <x v="2"/>
    <x v="8"/>
    <x v="15"/>
    <x v="77"/>
    <x v="77"/>
    <x v="0"/>
    <x v="0"/>
    <x v="17"/>
    <x v="0"/>
    <x v="17"/>
    <x v="17"/>
    <x v="0"/>
    <x v="0"/>
    <x v="2"/>
    <x v="1"/>
    <x v="4"/>
    <x v="4"/>
    <x v="77"/>
    <x v="0"/>
    <x v="0"/>
    <x v="17"/>
    <x v="0"/>
    <x v="5"/>
    <x v="2"/>
    <x v="10"/>
    <x v="77"/>
    <x v="6"/>
    <x v="0"/>
    <x v="77"/>
    <x v="2"/>
    <x v="3"/>
    <x v="0"/>
    <x v="77"/>
    <x v="2"/>
    <x v="0"/>
    <x v="77"/>
  </r>
  <r>
    <x v="2"/>
    <x v="7"/>
    <x v="18"/>
    <x v="78"/>
    <x v="78"/>
    <x v="0"/>
    <x v="0"/>
    <x v="17"/>
    <x v="0"/>
    <x v="17"/>
    <x v="17"/>
    <x v="0"/>
    <x v="0"/>
    <x v="2"/>
    <x v="1"/>
    <x v="4"/>
    <x v="4"/>
    <x v="78"/>
    <x v="0"/>
    <x v="0"/>
    <x v="17"/>
    <x v="0"/>
    <x v="5"/>
    <x v="2"/>
    <x v="10"/>
    <x v="78"/>
    <x v="6"/>
    <x v="0"/>
    <x v="78"/>
    <x v="2"/>
    <x v="3"/>
    <x v="0"/>
    <x v="78"/>
    <x v="2"/>
    <x v="0"/>
    <x v="78"/>
  </r>
  <r>
    <x v="2"/>
    <x v="8"/>
    <x v="15"/>
    <x v="79"/>
    <x v="79"/>
    <x v="0"/>
    <x v="0"/>
    <x v="17"/>
    <x v="0"/>
    <x v="17"/>
    <x v="17"/>
    <x v="0"/>
    <x v="0"/>
    <x v="2"/>
    <x v="1"/>
    <x v="4"/>
    <x v="4"/>
    <x v="79"/>
    <x v="0"/>
    <x v="0"/>
    <x v="17"/>
    <x v="0"/>
    <x v="5"/>
    <x v="2"/>
    <x v="10"/>
    <x v="79"/>
    <x v="6"/>
    <x v="0"/>
    <x v="79"/>
    <x v="2"/>
    <x v="3"/>
    <x v="0"/>
    <x v="79"/>
    <x v="2"/>
    <x v="0"/>
    <x v="79"/>
  </r>
  <r>
    <x v="0"/>
    <x v="0"/>
    <x v="12"/>
    <x v="80"/>
    <x v="80"/>
    <x v="0"/>
    <x v="0"/>
    <x v="17"/>
    <x v="0"/>
    <x v="17"/>
    <x v="17"/>
    <x v="0"/>
    <x v="0"/>
    <x v="2"/>
    <x v="1"/>
    <x v="4"/>
    <x v="4"/>
    <x v="80"/>
    <x v="0"/>
    <x v="0"/>
    <x v="17"/>
    <x v="0"/>
    <x v="5"/>
    <x v="2"/>
    <x v="10"/>
    <x v="80"/>
    <x v="6"/>
    <x v="0"/>
    <x v="80"/>
    <x v="2"/>
    <x v="3"/>
    <x v="0"/>
    <x v="80"/>
    <x v="2"/>
    <x v="0"/>
    <x v="80"/>
  </r>
  <r>
    <x v="2"/>
    <x v="8"/>
    <x v="15"/>
    <x v="81"/>
    <x v="81"/>
    <x v="0"/>
    <x v="0"/>
    <x v="17"/>
    <x v="0"/>
    <x v="17"/>
    <x v="17"/>
    <x v="0"/>
    <x v="0"/>
    <x v="2"/>
    <x v="1"/>
    <x v="4"/>
    <x v="4"/>
    <x v="81"/>
    <x v="0"/>
    <x v="0"/>
    <x v="17"/>
    <x v="0"/>
    <x v="5"/>
    <x v="2"/>
    <x v="10"/>
    <x v="81"/>
    <x v="6"/>
    <x v="0"/>
    <x v="81"/>
    <x v="2"/>
    <x v="3"/>
    <x v="0"/>
    <x v="81"/>
    <x v="2"/>
    <x v="0"/>
    <x v="81"/>
  </r>
  <r>
    <x v="2"/>
    <x v="8"/>
    <x v="15"/>
    <x v="82"/>
    <x v="82"/>
    <x v="0"/>
    <x v="0"/>
    <x v="17"/>
    <x v="0"/>
    <x v="17"/>
    <x v="17"/>
    <x v="0"/>
    <x v="0"/>
    <x v="2"/>
    <x v="1"/>
    <x v="4"/>
    <x v="4"/>
    <x v="82"/>
    <x v="0"/>
    <x v="0"/>
    <x v="17"/>
    <x v="0"/>
    <x v="5"/>
    <x v="2"/>
    <x v="10"/>
    <x v="82"/>
    <x v="6"/>
    <x v="0"/>
    <x v="82"/>
    <x v="2"/>
    <x v="3"/>
    <x v="0"/>
    <x v="82"/>
    <x v="2"/>
    <x v="0"/>
    <x v="82"/>
  </r>
  <r>
    <x v="0"/>
    <x v="1"/>
    <x v="7"/>
    <x v="83"/>
    <x v="83"/>
    <x v="0"/>
    <x v="0"/>
    <x v="17"/>
    <x v="0"/>
    <x v="17"/>
    <x v="17"/>
    <x v="0"/>
    <x v="0"/>
    <x v="2"/>
    <x v="1"/>
    <x v="4"/>
    <x v="4"/>
    <x v="83"/>
    <x v="0"/>
    <x v="0"/>
    <x v="17"/>
    <x v="0"/>
    <x v="5"/>
    <x v="2"/>
    <x v="10"/>
    <x v="83"/>
    <x v="6"/>
    <x v="0"/>
    <x v="83"/>
    <x v="2"/>
    <x v="3"/>
    <x v="0"/>
    <x v="83"/>
    <x v="2"/>
    <x v="0"/>
    <x v="83"/>
  </r>
  <r>
    <x v="1"/>
    <x v="3"/>
    <x v="4"/>
    <x v="84"/>
    <x v="84"/>
    <x v="5"/>
    <x v="0"/>
    <x v="17"/>
    <x v="0"/>
    <x v="17"/>
    <x v="17"/>
    <x v="0"/>
    <x v="0"/>
    <x v="2"/>
    <x v="1"/>
    <x v="4"/>
    <x v="4"/>
    <x v="84"/>
    <x v="0"/>
    <x v="0"/>
    <x v="17"/>
    <x v="0"/>
    <x v="5"/>
    <x v="2"/>
    <x v="10"/>
    <x v="84"/>
    <x v="6"/>
    <x v="0"/>
    <x v="84"/>
    <x v="2"/>
    <x v="3"/>
    <x v="0"/>
    <x v="84"/>
    <x v="2"/>
    <x v="0"/>
    <x v="84"/>
  </r>
  <r>
    <x v="0"/>
    <x v="1"/>
    <x v="7"/>
    <x v="85"/>
    <x v="85"/>
    <x v="0"/>
    <x v="0"/>
    <x v="17"/>
    <x v="0"/>
    <x v="17"/>
    <x v="17"/>
    <x v="0"/>
    <x v="0"/>
    <x v="2"/>
    <x v="1"/>
    <x v="4"/>
    <x v="4"/>
    <x v="85"/>
    <x v="0"/>
    <x v="0"/>
    <x v="17"/>
    <x v="0"/>
    <x v="5"/>
    <x v="2"/>
    <x v="10"/>
    <x v="85"/>
    <x v="6"/>
    <x v="0"/>
    <x v="85"/>
    <x v="2"/>
    <x v="3"/>
    <x v="0"/>
    <x v="85"/>
    <x v="2"/>
    <x v="0"/>
    <x v="85"/>
  </r>
  <r>
    <x v="0"/>
    <x v="0"/>
    <x v="14"/>
    <x v="86"/>
    <x v="86"/>
    <x v="2"/>
    <x v="0"/>
    <x v="17"/>
    <x v="0"/>
    <x v="17"/>
    <x v="17"/>
    <x v="0"/>
    <x v="0"/>
    <x v="2"/>
    <x v="1"/>
    <x v="4"/>
    <x v="4"/>
    <x v="86"/>
    <x v="0"/>
    <x v="0"/>
    <x v="17"/>
    <x v="0"/>
    <x v="5"/>
    <x v="2"/>
    <x v="10"/>
    <x v="86"/>
    <x v="6"/>
    <x v="0"/>
    <x v="86"/>
    <x v="2"/>
    <x v="3"/>
    <x v="0"/>
    <x v="86"/>
    <x v="2"/>
    <x v="0"/>
    <x v="86"/>
  </r>
  <r>
    <x v="0"/>
    <x v="0"/>
    <x v="0"/>
    <x v="87"/>
    <x v="87"/>
    <x v="0"/>
    <x v="0"/>
    <x v="17"/>
    <x v="0"/>
    <x v="17"/>
    <x v="17"/>
    <x v="0"/>
    <x v="0"/>
    <x v="2"/>
    <x v="1"/>
    <x v="4"/>
    <x v="4"/>
    <x v="87"/>
    <x v="0"/>
    <x v="0"/>
    <x v="17"/>
    <x v="0"/>
    <x v="5"/>
    <x v="2"/>
    <x v="10"/>
    <x v="87"/>
    <x v="6"/>
    <x v="0"/>
    <x v="87"/>
    <x v="2"/>
    <x v="3"/>
    <x v="0"/>
    <x v="87"/>
    <x v="2"/>
    <x v="0"/>
    <x v="87"/>
  </r>
  <r>
    <x v="1"/>
    <x v="3"/>
    <x v="6"/>
    <x v="88"/>
    <x v="88"/>
    <x v="5"/>
    <x v="0"/>
    <x v="17"/>
    <x v="0"/>
    <x v="17"/>
    <x v="17"/>
    <x v="0"/>
    <x v="0"/>
    <x v="2"/>
    <x v="1"/>
    <x v="4"/>
    <x v="4"/>
    <x v="88"/>
    <x v="0"/>
    <x v="0"/>
    <x v="17"/>
    <x v="0"/>
    <x v="5"/>
    <x v="2"/>
    <x v="10"/>
    <x v="88"/>
    <x v="6"/>
    <x v="0"/>
    <x v="88"/>
    <x v="2"/>
    <x v="3"/>
    <x v="0"/>
    <x v="88"/>
    <x v="2"/>
    <x v="0"/>
    <x v="88"/>
  </r>
  <r>
    <x v="2"/>
    <x v="8"/>
    <x v="15"/>
    <x v="89"/>
    <x v="89"/>
    <x v="0"/>
    <x v="0"/>
    <x v="17"/>
    <x v="0"/>
    <x v="17"/>
    <x v="17"/>
    <x v="0"/>
    <x v="0"/>
    <x v="2"/>
    <x v="1"/>
    <x v="4"/>
    <x v="4"/>
    <x v="89"/>
    <x v="0"/>
    <x v="0"/>
    <x v="17"/>
    <x v="0"/>
    <x v="5"/>
    <x v="2"/>
    <x v="10"/>
    <x v="89"/>
    <x v="6"/>
    <x v="0"/>
    <x v="89"/>
    <x v="2"/>
    <x v="3"/>
    <x v="0"/>
    <x v="89"/>
    <x v="2"/>
    <x v="0"/>
    <x v="89"/>
  </r>
  <r>
    <x v="0"/>
    <x v="0"/>
    <x v="8"/>
    <x v="90"/>
    <x v="90"/>
    <x v="5"/>
    <x v="0"/>
    <x v="17"/>
    <x v="0"/>
    <x v="17"/>
    <x v="17"/>
    <x v="0"/>
    <x v="0"/>
    <x v="2"/>
    <x v="1"/>
    <x v="4"/>
    <x v="4"/>
    <x v="90"/>
    <x v="0"/>
    <x v="0"/>
    <x v="17"/>
    <x v="0"/>
    <x v="5"/>
    <x v="2"/>
    <x v="10"/>
    <x v="90"/>
    <x v="6"/>
    <x v="0"/>
    <x v="90"/>
    <x v="2"/>
    <x v="3"/>
    <x v="0"/>
    <x v="90"/>
    <x v="2"/>
    <x v="0"/>
    <x v="90"/>
  </r>
  <r>
    <x v="1"/>
    <x v="3"/>
    <x v="6"/>
    <x v="91"/>
    <x v="91"/>
    <x v="0"/>
    <x v="0"/>
    <x v="17"/>
    <x v="0"/>
    <x v="17"/>
    <x v="17"/>
    <x v="0"/>
    <x v="0"/>
    <x v="2"/>
    <x v="1"/>
    <x v="4"/>
    <x v="4"/>
    <x v="91"/>
    <x v="0"/>
    <x v="0"/>
    <x v="17"/>
    <x v="0"/>
    <x v="5"/>
    <x v="2"/>
    <x v="10"/>
    <x v="91"/>
    <x v="6"/>
    <x v="0"/>
    <x v="91"/>
    <x v="2"/>
    <x v="3"/>
    <x v="0"/>
    <x v="91"/>
    <x v="2"/>
    <x v="0"/>
    <x v="91"/>
  </r>
  <r>
    <x v="0"/>
    <x v="0"/>
    <x v="0"/>
    <x v="92"/>
    <x v="92"/>
    <x v="3"/>
    <x v="0"/>
    <x v="17"/>
    <x v="0"/>
    <x v="17"/>
    <x v="17"/>
    <x v="0"/>
    <x v="0"/>
    <x v="2"/>
    <x v="1"/>
    <x v="4"/>
    <x v="4"/>
    <x v="92"/>
    <x v="0"/>
    <x v="0"/>
    <x v="17"/>
    <x v="0"/>
    <x v="5"/>
    <x v="2"/>
    <x v="10"/>
    <x v="92"/>
    <x v="6"/>
    <x v="0"/>
    <x v="92"/>
    <x v="0"/>
    <x v="3"/>
    <x v="0"/>
    <x v="92"/>
    <x v="2"/>
    <x v="0"/>
    <x v="92"/>
  </r>
  <r>
    <x v="2"/>
    <x v="8"/>
    <x v="15"/>
    <x v="93"/>
    <x v="93"/>
    <x v="0"/>
    <x v="0"/>
    <x v="17"/>
    <x v="0"/>
    <x v="17"/>
    <x v="17"/>
    <x v="0"/>
    <x v="0"/>
    <x v="2"/>
    <x v="1"/>
    <x v="4"/>
    <x v="4"/>
    <x v="93"/>
    <x v="0"/>
    <x v="0"/>
    <x v="17"/>
    <x v="0"/>
    <x v="5"/>
    <x v="2"/>
    <x v="10"/>
    <x v="93"/>
    <x v="6"/>
    <x v="0"/>
    <x v="93"/>
    <x v="2"/>
    <x v="3"/>
    <x v="0"/>
    <x v="93"/>
    <x v="2"/>
    <x v="0"/>
    <x v="93"/>
  </r>
  <r>
    <x v="2"/>
    <x v="8"/>
    <x v="15"/>
    <x v="94"/>
    <x v="94"/>
    <x v="5"/>
    <x v="0"/>
    <x v="17"/>
    <x v="0"/>
    <x v="17"/>
    <x v="17"/>
    <x v="0"/>
    <x v="0"/>
    <x v="2"/>
    <x v="1"/>
    <x v="4"/>
    <x v="4"/>
    <x v="94"/>
    <x v="0"/>
    <x v="0"/>
    <x v="17"/>
    <x v="0"/>
    <x v="5"/>
    <x v="2"/>
    <x v="10"/>
    <x v="94"/>
    <x v="6"/>
    <x v="0"/>
    <x v="94"/>
    <x v="2"/>
    <x v="3"/>
    <x v="0"/>
    <x v="94"/>
    <x v="2"/>
    <x v="0"/>
    <x v="94"/>
  </r>
  <r>
    <x v="2"/>
    <x v="8"/>
    <x v="15"/>
    <x v="95"/>
    <x v="95"/>
    <x v="5"/>
    <x v="0"/>
    <x v="17"/>
    <x v="0"/>
    <x v="17"/>
    <x v="17"/>
    <x v="0"/>
    <x v="0"/>
    <x v="2"/>
    <x v="1"/>
    <x v="4"/>
    <x v="4"/>
    <x v="95"/>
    <x v="0"/>
    <x v="0"/>
    <x v="17"/>
    <x v="0"/>
    <x v="5"/>
    <x v="2"/>
    <x v="10"/>
    <x v="95"/>
    <x v="6"/>
    <x v="0"/>
    <x v="95"/>
    <x v="2"/>
    <x v="3"/>
    <x v="0"/>
    <x v="95"/>
    <x v="2"/>
    <x v="0"/>
    <x v="95"/>
  </r>
  <r>
    <x v="0"/>
    <x v="0"/>
    <x v="14"/>
    <x v="96"/>
    <x v="96"/>
    <x v="2"/>
    <x v="0"/>
    <x v="17"/>
    <x v="0"/>
    <x v="17"/>
    <x v="17"/>
    <x v="0"/>
    <x v="0"/>
    <x v="2"/>
    <x v="1"/>
    <x v="4"/>
    <x v="4"/>
    <x v="96"/>
    <x v="0"/>
    <x v="0"/>
    <x v="17"/>
    <x v="0"/>
    <x v="5"/>
    <x v="2"/>
    <x v="10"/>
    <x v="96"/>
    <x v="6"/>
    <x v="0"/>
    <x v="96"/>
    <x v="2"/>
    <x v="3"/>
    <x v="0"/>
    <x v="96"/>
    <x v="2"/>
    <x v="0"/>
    <x v="96"/>
  </r>
  <r>
    <x v="0"/>
    <x v="2"/>
    <x v="3"/>
    <x v="97"/>
    <x v="97"/>
    <x v="2"/>
    <x v="0"/>
    <x v="17"/>
    <x v="0"/>
    <x v="17"/>
    <x v="17"/>
    <x v="0"/>
    <x v="0"/>
    <x v="2"/>
    <x v="1"/>
    <x v="4"/>
    <x v="4"/>
    <x v="97"/>
    <x v="0"/>
    <x v="0"/>
    <x v="17"/>
    <x v="0"/>
    <x v="5"/>
    <x v="2"/>
    <x v="10"/>
    <x v="97"/>
    <x v="6"/>
    <x v="0"/>
    <x v="97"/>
    <x v="2"/>
    <x v="3"/>
    <x v="0"/>
    <x v="97"/>
    <x v="2"/>
    <x v="0"/>
    <x v="97"/>
  </r>
  <r>
    <x v="0"/>
    <x v="0"/>
    <x v="0"/>
    <x v="98"/>
    <x v="98"/>
    <x v="5"/>
    <x v="0"/>
    <x v="17"/>
    <x v="0"/>
    <x v="17"/>
    <x v="17"/>
    <x v="0"/>
    <x v="0"/>
    <x v="2"/>
    <x v="1"/>
    <x v="4"/>
    <x v="4"/>
    <x v="98"/>
    <x v="0"/>
    <x v="0"/>
    <x v="17"/>
    <x v="0"/>
    <x v="5"/>
    <x v="2"/>
    <x v="10"/>
    <x v="98"/>
    <x v="6"/>
    <x v="0"/>
    <x v="98"/>
    <x v="2"/>
    <x v="3"/>
    <x v="0"/>
    <x v="98"/>
    <x v="2"/>
    <x v="0"/>
    <x v="98"/>
  </r>
  <r>
    <x v="2"/>
    <x v="8"/>
    <x v="15"/>
    <x v="99"/>
    <x v="99"/>
    <x v="2"/>
    <x v="0"/>
    <x v="17"/>
    <x v="0"/>
    <x v="17"/>
    <x v="17"/>
    <x v="0"/>
    <x v="0"/>
    <x v="2"/>
    <x v="1"/>
    <x v="4"/>
    <x v="4"/>
    <x v="99"/>
    <x v="0"/>
    <x v="0"/>
    <x v="17"/>
    <x v="0"/>
    <x v="5"/>
    <x v="2"/>
    <x v="10"/>
    <x v="99"/>
    <x v="6"/>
    <x v="0"/>
    <x v="99"/>
    <x v="0"/>
    <x v="3"/>
    <x v="0"/>
    <x v="99"/>
    <x v="2"/>
    <x v="0"/>
    <x v="99"/>
  </r>
  <r>
    <x v="2"/>
    <x v="8"/>
    <x v="15"/>
    <x v="100"/>
    <x v="100"/>
    <x v="0"/>
    <x v="0"/>
    <x v="17"/>
    <x v="0"/>
    <x v="17"/>
    <x v="17"/>
    <x v="0"/>
    <x v="0"/>
    <x v="2"/>
    <x v="1"/>
    <x v="4"/>
    <x v="4"/>
    <x v="100"/>
    <x v="0"/>
    <x v="0"/>
    <x v="17"/>
    <x v="0"/>
    <x v="5"/>
    <x v="2"/>
    <x v="10"/>
    <x v="100"/>
    <x v="6"/>
    <x v="0"/>
    <x v="100"/>
    <x v="2"/>
    <x v="3"/>
    <x v="0"/>
    <x v="100"/>
    <x v="2"/>
    <x v="0"/>
    <x v="100"/>
  </r>
  <r>
    <x v="0"/>
    <x v="2"/>
    <x v="22"/>
    <x v="101"/>
    <x v="101"/>
    <x v="0"/>
    <x v="0"/>
    <x v="17"/>
    <x v="0"/>
    <x v="17"/>
    <x v="17"/>
    <x v="0"/>
    <x v="0"/>
    <x v="2"/>
    <x v="1"/>
    <x v="4"/>
    <x v="4"/>
    <x v="101"/>
    <x v="0"/>
    <x v="0"/>
    <x v="17"/>
    <x v="0"/>
    <x v="5"/>
    <x v="2"/>
    <x v="10"/>
    <x v="101"/>
    <x v="6"/>
    <x v="0"/>
    <x v="101"/>
    <x v="2"/>
    <x v="3"/>
    <x v="0"/>
    <x v="101"/>
    <x v="2"/>
    <x v="0"/>
    <x v="101"/>
  </r>
  <r>
    <x v="0"/>
    <x v="0"/>
    <x v="14"/>
    <x v="102"/>
    <x v="102"/>
    <x v="2"/>
    <x v="0"/>
    <x v="17"/>
    <x v="0"/>
    <x v="17"/>
    <x v="17"/>
    <x v="0"/>
    <x v="0"/>
    <x v="2"/>
    <x v="1"/>
    <x v="4"/>
    <x v="4"/>
    <x v="102"/>
    <x v="0"/>
    <x v="0"/>
    <x v="17"/>
    <x v="0"/>
    <x v="5"/>
    <x v="2"/>
    <x v="10"/>
    <x v="102"/>
    <x v="6"/>
    <x v="0"/>
    <x v="102"/>
    <x v="2"/>
    <x v="3"/>
    <x v="0"/>
    <x v="102"/>
    <x v="2"/>
    <x v="0"/>
    <x v="102"/>
  </r>
  <r>
    <x v="2"/>
    <x v="8"/>
    <x v="15"/>
    <x v="103"/>
    <x v="103"/>
    <x v="0"/>
    <x v="0"/>
    <x v="17"/>
    <x v="0"/>
    <x v="17"/>
    <x v="17"/>
    <x v="0"/>
    <x v="0"/>
    <x v="2"/>
    <x v="1"/>
    <x v="4"/>
    <x v="4"/>
    <x v="103"/>
    <x v="0"/>
    <x v="0"/>
    <x v="17"/>
    <x v="0"/>
    <x v="5"/>
    <x v="2"/>
    <x v="10"/>
    <x v="103"/>
    <x v="6"/>
    <x v="0"/>
    <x v="103"/>
    <x v="2"/>
    <x v="3"/>
    <x v="0"/>
    <x v="103"/>
    <x v="2"/>
    <x v="0"/>
    <x v="103"/>
  </r>
  <r>
    <x v="2"/>
    <x v="7"/>
    <x v="18"/>
    <x v="104"/>
    <x v="104"/>
    <x v="0"/>
    <x v="0"/>
    <x v="17"/>
    <x v="0"/>
    <x v="17"/>
    <x v="17"/>
    <x v="0"/>
    <x v="0"/>
    <x v="2"/>
    <x v="1"/>
    <x v="4"/>
    <x v="4"/>
    <x v="104"/>
    <x v="0"/>
    <x v="0"/>
    <x v="17"/>
    <x v="0"/>
    <x v="5"/>
    <x v="2"/>
    <x v="10"/>
    <x v="104"/>
    <x v="6"/>
    <x v="0"/>
    <x v="104"/>
    <x v="0"/>
    <x v="3"/>
    <x v="0"/>
    <x v="104"/>
    <x v="2"/>
    <x v="0"/>
    <x v="104"/>
  </r>
  <r>
    <x v="2"/>
    <x v="8"/>
    <x v="15"/>
    <x v="105"/>
    <x v="105"/>
    <x v="0"/>
    <x v="0"/>
    <x v="17"/>
    <x v="0"/>
    <x v="17"/>
    <x v="17"/>
    <x v="0"/>
    <x v="0"/>
    <x v="2"/>
    <x v="1"/>
    <x v="4"/>
    <x v="4"/>
    <x v="105"/>
    <x v="0"/>
    <x v="0"/>
    <x v="17"/>
    <x v="0"/>
    <x v="5"/>
    <x v="2"/>
    <x v="10"/>
    <x v="105"/>
    <x v="6"/>
    <x v="0"/>
    <x v="105"/>
    <x v="2"/>
    <x v="3"/>
    <x v="0"/>
    <x v="105"/>
    <x v="2"/>
    <x v="0"/>
    <x v="105"/>
  </r>
  <r>
    <x v="2"/>
    <x v="8"/>
    <x v="15"/>
    <x v="106"/>
    <x v="106"/>
    <x v="0"/>
    <x v="0"/>
    <x v="17"/>
    <x v="0"/>
    <x v="17"/>
    <x v="17"/>
    <x v="0"/>
    <x v="0"/>
    <x v="2"/>
    <x v="1"/>
    <x v="4"/>
    <x v="4"/>
    <x v="106"/>
    <x v="0"/>
    <x v="0"/>
    <x v="17"/>
    <x v="0"/>
    <x v="5"/>
    <x v="2"/>
    <x v="10"/>
    <x v="106"/>
    <x v="6"/>
    <x v="0"/>
    <x v="106"/>
    <x v="2"/>
    <x v="3"/>
    <x v="0"/>
    <x v="106"/>
    <x v="2"/>
    <x v="0"/>
    <x v="106"/>
  </r>
  <r>
    <x v="2"/>
    <x v="8"/>
    <x v="15"/>
    <x v="107"/>
    <x v="107"/>
    <x v="2"/>
    <x v="0"/>
    <x v="17"/>
    <x v="0"/>
    <x v="17"/>
    <x v="17"/>
    <x v="0"/>
    <x v="0"/>
    <x v="2"/>
    <x v="1"/>
    <x v="4"/>
    <x v="4"/>
    <x v="107"/>
    <x v="0"/>
    <x v="0"/>
    <x v="17"/>
    <x v="0"/>
    <x v="5"/>
    <x v="2"/>
    <x v="10"/>
    <x v="107"/>
    <x v="6"/>
    <x v="0"/>
    <x v="107"/>
    <x v="0"/>
    <x v="3"/>
    <x v="0"/>
    <x v="107"/>
    <x v="2"/>
    <x v="0"/>
    <x v="107"/>
  </r>
  <r>
    <x v="0"/>
    <x v="0"/>
    <x v="21"/>
    <x v="108"/>
    <x v="108"/>
    <x v="5"/>
    <x v="0"/>
    <x v="17"/>
    <x v="0"/>
    <x v="17"/>
    <x v="17"/>
    <x v="0"/>
    <x v="0"/>
    <x v="2"/>
    <x v="1"/>
    <x v="4"/>
    <x v="4"/>
    <x v="108"/>
    <x v="0"/>
    <x v="0"/>
    <x v="17"/>
    <x v="0"/>
    <x v="5"/>
    <x v="2"/>
    <x v="10"/>
    <x v="108"/>
    <x v="6"/>
    <x v="0"/>
    <x v="108"/>
    <x v="2"/>
    <x v="3"/>
    <x v="0"/>
    <x v="108"/>
    <x v="2"/>
    <x v="0"/>
    <x v="108"/>
  </r>
  <r>
    <x v="2"/>
    <x v="8"/>
    <x v="15"/>
    <x v="109"/>
    <x v="109"/>
    <x v="5"/>
    <x v="0"/>
    <x v="17"/>
    <x v="0"/>
    <x v="17"/>
    <x v="17"/>
    <x v="0"/>
    <x v="0"/>
    <x v="2"/>
    <x v="1"/>
    <x v="4"/>
    <x v="4"/>
    <x v="109"/>
    <x v="0"/>
    <x v="0"/>
    <x v="17"/>
    <x v="0"/>
    <x v="5"/>
    <x v="2"/>
    <x v="10"/>
    <x v="109"/>
    <x v="6"/>
    <x v="0"/>
    <x v="109"/>
    <x v="2"/>
    <x v="3"/>
    <x v="0"/>
    <x v="109"/>
    <x v="2"/>
    <x v="0"/>
    <x v="109"/>
  </r>
  <r>
    <x v="2"/>
    <x v="8"/>
    <x v="15"/>
    <x v="110"/>
    <x v="110"/>
    <x v="5"/>
    <x v="0"/>
    <x v="17"/>
    <x v="0"/>
    <x v="17"/>
    <x v="17"/>
    <x v="0"/>
    <x v="0"/>
    <x v="2"/>
    <x v="1"/>
    <x v="4"/>
    <x v="4"/>
    <x v="110"/>
    <x v="0"/>
    <x v="0"/>
    <x v="17"/>
    <x v="0"/>
    <x v="5"/>
    <x v="2"/>
    <x v="10"/>
    <x v="110"/>
    <x v="6"/>
    <x v="0"/>
    <x v="110"/>
    <x v="2"/>
    <x v="3"/>
    <x v="0"/>
    <x v="110"/>
    <x v="2"/>
    <x v="0"/>
    <x v="110"/>
  </r>
  <r>
    <x v="2"/>
    <x v="8"/>
    <x v="15"/>
    <x v="111"/>
    <x v="111"/>
    <x v="5"/>
    <x v="0"/>
    <x v="17"/>
    <x v="0"/>
    <x v="17"/>
    <x v="17"/>
    <x v="0"/>
    <x v="0"/>
    <x v="2"/>
    <x v="1"/>
    <x v="4"/>
    <x v="4"/>
    <x v="111"/>
    <x v="0"/>
    <x v="0"/>
    <x v="17"/>
    <x v="0"/>
    <x v="5"/>
    <x v="2"/>
    <x v="10"/>
    <x v="111"/>
    <x v="6"/>
    <x v="0"/>
    <x v="111"/>
    <x v="2"/>
    <x v="3"/>
    <x v="0"/>
    <x v="111"/>
    <x v="2"/>
    <x v="0"/>
    <x v="111"/>
  </r>
  <r>
    <x v="2"/>
    <x v="8"/>
    <x v="15"/>
    <x v="112"/>
    <x v="112"/>
    <x v="0"/>
    <x v="0"/>
    <x v="17"/>
    <x v="0"/>
    <x v="17"/>
    <x v="17"/>
    <x v="0"/>
    <x v="0"/>
    <x v="2"/>
    <x v="1"/>
    <x v="4"/>
    <x v="4"/>
    <x v="112"/>
    <x v="0"/>
    <x v="0"/>
    <x v="17"/>
    <x v="0"/>
    <x v="5"/>
    <x v="2"/>
    <x v="10"/>
    <x v="112"/>
    <x v="6"/>
    <x v="0"/>
    <x v="112"/>
    <x v="2"/>
    <x v="3"/>
    <x v="0"/>
    <x v="112"/>
    <x v="2"/>
    <x v="0"/>
    <x v="112"/>
  </r>
  <r>
    <x v="2"/>
    <x v="6"/>
    <x v="11"/>
    <x v="113"/>
    <x v="113"/>
    <x v="5"/>
    <x v="0"/>
    <x v="17"/>
    <x v="0"/>
    <x v="17"/>
    <x v="17"/>
    <x v="0"/>
    <x v="0"/>
    <x v="2"/>
    <x v="1"/>
    <x v="4"/>
    <x v="4"/>
    <x v="113"/>
    <x v="0"/>
    <x v="0"/>
    <x v="17"/>
    <x v="0"/>
    <x v="5"/>
    <x v="2"/>
    <x v="10"/>
    <x v="113"/>
    <x v="6"/>
    <x v="0"/>
    <x v="113"/>
    <x v="2"/>
    <x v="3"/>
    <x v="0"/>
    <x v="113"/>
    <x v="2"/>
    <x v="0"/>
    <x v="113"/>
  </r>
  <r>
    <x v="2"/>
    <x v="8"/>
    <x v="15"/>
    <x v="114"/>
    <x v="114"/>
    <x v="5"/>
    <x v="0"/>
    <x v="17"/>
    <x v="0"/>
    <x v="17"/>
    <x v="17"/>
    <x v="0"/>
    <x v="0"/>
    <x v="2"/>
    <x v="1"/>
    <x v="4"/>
    <x v="4"/>
    <x v="114"/>
    <x v="0"/>
    <x v="0"/>
    <x v="17"/>
    <x v="0"/>
    <x v="5"/>
    <x v="2"/>
    <x v="10"/>
    <x v="114"/>
    <x v="6"/>
    <x v="0"/>
    <x v="114"/>
    <x v="2"/>
    <x v="3"/>
    <x v="0"/>
    <x v="114"/>
    <x v="2"/>
    <x v="0"/>
    <x v="114"/>
  </r>
  <r>
    <x v="2"/>
    <x v="6"/>
    <x v="11"/>
    <x v="115"/>
    <x v="115"/>
    <x v="0"/>
    <x v="0"/>
    <x v="17"/>
    <x v="0"/>
    <x v="17"/>
    <x v="17"/>
    <x v="0"/>
    <x v="0"/>
    <x v="2"/>
    <x v="1"/>
    <x v="4"/>
    <x v="4"/>
    <x v="115"/>
    <x v="0"/>
    <x v="0"/>
    <x v="17"/>
    <x v="0"/>
    <x v="5"/>
    <x v="2"/>
    <x v="10"/>
    <x v="115"/>
    <x v="6"/>
    <x v="0"/>
    <x v="115"/>
    <x v="2"/>
    <x v="3"/>
    <x v="0"/>
    <x v="115"/>
    <x v="2"/>
    <x v="0"/>
    <x v="115"/>
  </r>
  <r>
    <x v="2"/>
    <x v="8"/>
    <x v="15"/>
    <x v="116"/>
    <x v="116"/>
    <x v="5"/>
    <x v="0"/>
    <x v="17"/>
    <x v="0"/>
    <x v="17"/>
    <x v="17"/>
    <x v="0"/>
    <x v="0"/>
    <x v="2"/>
    <x v="1"/>
    <x v="4"/>
    <x v="4"/>
    <x v="116"/>
    <x v="0"/>
    <x v="0"/>
    <x v="17"/>
    <x v="0"/>
    <x v="5"/>
    <x v="2"/>
    <x v="10"/>
    <x v="116"/>
    <x v="6"/>
    <x v="0"/>
    <x v="116"/>
    <x v="2"/>
    <x v="3"/>
    <x v="0"/>
    <x v="116"/>
    <x v="2"/>
    <x v="0"/>
    <x v="116"/>
  </r>
  <r>
    <x v="0"/>
    <x v="2"/>
    <x v="22"/>
    <x v="117"/>
    <x v="117"/>
    <x v="5"/>
    <x v="0"/>
    <x v="17"/>
    <x v="0"/>
    <x v="17"/>
    <x v="17"/>
    <x v="0"/>
    <x v="0"/>
    <x v="2"/>
    <x v="1"/>
    <x v="4"/>
    <x v="4"/>
    <x v="117"/>
    <x v="0"/>
    <x v="0"/>
    <x v="17"/>
    <x v="0"/>
    <x v="5"/>
    <x v="2"/>
    <x v="10"/>
    <x v="117"/>
    <x v="6"/>
    <x v="0"/>
    <x v="117"/>
    <x v="2"/>
    <x v="3"/>
    <x v="0"/>
    <x v="117"/>
    <x v="2"/>
    <x v="0"/>
    <x v="117"/>
  </r>
  <r>
    <x v="0"/>
    <x v="0"/>
    <x v="14"/>
    <x v="118"/>
    <x v="118"/>
    <x v="5"/>
    <x v="0"/>
    <x v="17"/>
    <x v="0"/>
    <x v="17"/>
    <x v="17"/>
    <x v="0"/>
    <x v="0"/>
    <x v="2"/>
    <x v="1"/>
    <x v="4"/>
    <x v="4"/>
    <x v="118"/>
    <x v="0"/>
    <x v="0"/>
    <x v="17"/>
    <x v="0"/>
    <x v="5"/>
    <x v="2"/>
    <x v="10"/>
    <x v="118"/>
    <x v="6"/>
    <x v="0"/>
    <x v="118"/>
    <x v="2"/>
    <x v="3"/>
    <x v="0"/>
    <x v="118"/>
    <x v="2"/>
    <x v="0"/>
    <x v="118"/>
  </r>
  <r>
    <x v="0"/>
    <x v="0"/>
    <x v="0"/>
    <x v="119"/>
    <x v="119"/>
    <x v="2"/>
    <x v="0"/>
    <x v="17"/>
    <x v="0"/>
    <x v="17"/>
    <x v="17"/>
    <x v="0"/>
    <x v="0"/>
    <x v="2"/>
    <x v="1"/>
    <x v="4"/>
    <x v="4"/>
    <x v="119"/>
    <x v="0"/>
    <x v="0"/>
    <x v="17"/>
    <x v="0"/>
    <x v="5"/>
    <x v="2"/>
    <x v="10"/>
    <x v="119"/>
    <x v="6"/>
    <x v="0"/>
    <x v="119"/>
    <x v="0"/>
    <x v="3"/>
    <x v="0"/>
    <x v="119"/>
    <x v="2"/>
    <x v="0"/>
    <x v="119"/>
  </r>
  <r>
    <x v="1"/>
    <x v="3"/>
    <x v="20"/>
    <x v="120"/>
    <x v="120"/>
    <x v="5"/>
    <x v="0"/>
    <x v="17"/>
    <x v="0"/>
    <x v="17"/>
    <x v="17"/>
    <x v="0"/>
    <x v="0"/>
    <x v="2"/>
    <x v="1"/>
    <x v="4"/>
    <x v="4"/>
    <x v="120"/>
    <x v="0"/>
    <x v="0"/>
    <x v="17"/>
    <x v="0"/>
    <x v="5"/>
    <x v="2"/>
    <x v="10"/>
    <x v="120"/>
    <x v="6"/>
    <x v="0"/>
    <x v="120"/>
    <x v="2"/>
    <x v="3"/>
    <x v="0"/>
    <x v="120"/>
    <x v="2"/>
    <x v="0"/>
    <x v="120"/>
  </r>
  <r>
    <x v="2"/>
    <x v="9"/>
    <x v="16"/>
    <x v="121"/>
    <x v="121"/>
    <x v="5"/>
    <x v="0"/>
    <x v="17"/>
    <x v="0"/>
    <x v="17"/>
    <x v="17"/>
    <x v="0"/>
    <x v="0"/>
    <x v="2"/>
    <x v="1"/>
    <x v="4"/>
    <x v="4"/>
    <x v="121"/>
    <x v="0"/>
    <x v="0"/>
    <x v="17"/>
    <x v="0"/>
    <x v="5"/>
    <x v="2"/>
    <x v="10"/>
    <x v="121"/>
    <x v="6"/>
    <x v="0"/>
    <x v="121"/>
    <x v="2"/>
    <x v="3"/>
    <x v="0"/>
    <x v="121"/>
    <x v="2"/>
    <x v="0"/>
    <x v="121"/>
  </r>
  <r>
    <x v="2"/>
    <x v="9"/>
    <x v="16"/>
    <x v="122"/>
    <x v="122"/>
    <x v="5"/>
    <x v="0"/>
    <x v="17"/>
    <x v="0"/>
    <x v="17"/>
    <x v="17"/>
    <x v="0"/>
    <x v="0"/>
    <x v="2"/>
    <x v="1"/>
    <x v="4"/>
    <x v="4"/>
    <x v="122"/>
    <x v="0"/>
    <x v="0"/>
    <x v="17"/>
    <x v="0"/>
    <x v="5"/>
    <x v="2"/>
    <x v="10"/>
    <x v="122"/>
    <x v="6"/>
    <x v="0"/>
    <x v="122"/>
    <x v="2"/>
    <x v="3"/>
    <x v="0"/>
    <x v="122"/>
    <x v="2"/>
    <x v="0"/>
    <x v="122"/>
  </r>
  <r>
    <x v="2"/>
    <x v="7"/>
    <x v="18"/>
    <x v="123"/>
    <x v="123"/>
    <x v="2"/>
    <x v="0"/>
    <x v="17"/>
    <x v="0"/>
    <x v="17"/>
    <x v="17"/>
    <x v="0"/>
    <x v="0"/>
    <x v="2"/>
    <x v="1"/>
    <x v="4"/>
    <x v="4"/>
    <x v="123"/>
    <x v="0"/>
    <x v="0"/>
    <x v="17"/>
    <x v="0"/>
    <x v="5"/>
    <x v="2"/>
    <x v="10"/>
    <x v="123"/>
    <x v="6"/>
    <x v="0"/>
    <x v="123"/>
    <x v="0"/>
    <x v="3"/>
    <x v="0"/>
    <x v="123"/>
    <x v="2"/>
    <x v="0"/>
    <x v="123"/>
  </r>
  <r>
    <x v="0"/>
    <x v="1"/>
    <x v="9"/>
    <x v="124"/>
    <x v="124"/>
    <x v="5"/>
    <x v="0"/>
    <x v="17"/>
    <x v="0"/>
    <x v="17"/>
    <x v="17"/>
    <x v="0"/>
    <x v="0"/>
    <x v="2"/>
    <x v="1"/>
    <x v="4"/>
    <x v="4"/>
    <x v="124"/>
    <x v="0"/>
    <x v="0"/>
    <x v="17"/>
    <x v="0"/>
    <x v="5"/>
    <x v="2"/>
    <x v="10"/>
    <x v="124"/>
    <x v="6"/>
    <x v="0"/>
    <x v="124"/>
    <x v="2"/>
    <x v="3"/>
    <x v="0"/>
    <x v="124"/>
    <x v="2"/>
    <x v="0"/>
    <x v="124"/>
  </r>
  <r>
    <x v="2"/>
    <x v="7"/>
    <x v="18"/>
    <x v="125"/>
    <x v="125"/>
    <x v="2"/>
    <x v="0"/>
    <x v="17"/>
    <x v="0"/>
    <x v="17"/>
    <x v="17"/>
    <x v="0"/>
    <x v="0"/>
    <x v="2"/>
    <x v="1"/>
    <x v="4"/>
    <x v="4"/>
    <x v="125"/>
    <x v="0"/>
    <x v="0"/>
    <x v="17"/>
    <x v="0"/>
    <x v="5"/>
    <x v="2"/>
    <x v="10"/>
    <x v="125"/>
    <x v="6"/>
    <x v="0"/>
    <x v="125"/>
    <x v="0"/>
    <x v="3"/>
    <x v="0"/>
    <x v="125"/>
    <x v="2"/>
    <x v="0"/>
    <x v="125"/>
  </r>
  <r>
    <x v="0"/>
    <x v="0"/>
    <x v="14"/>
    <x v="126"/>
    <x v="126"/>
    <x v="0"/>
    <x v="0"/>
    <x v="17"/>
    <x v="0"/>
    <x v="17"/>
    <x v="17"/>
    <x v="0"/>
    <x v="0"/>
    <x v="2"/>
    <x v="1"/>
    <x v="4"/>
    <x v="4"/>
    <x v="126"/>
    <x v="0"/>
    <x v="0"/>
    <x v="17"/>
    <x v="0"/>
    <x v="5"/>
    <x v="2"/>
    <x v="10"/>
    <x v="126"/>
    <x v="6"/>
    <x v="0"/>
    <x v="126"/>
    <x v="2"/>
    <x v="3"/>
    <x v="0"/>
    <x v="126"/>
    <x v="2"/>
    <x v="0"/>
    <x v="126"/>
  </r>
  <r>
    <x v="0"/>
    <x v="0"/>
    <x v="2"/>
    <x v="127"/>
    <x v="127"/>
    <x v="5"/>
    <x v="0"/>
    <x v="17"/>
    <x v="0"/>
    <x v="17"/>
    <x v="17"/>
    <x v="0"/>
    <x v="0"/>
    <x v="2"/>
    <x v="1"/>
    <x v="4"/>
    <x v="4"/>
    <x v="127"/>
    <x v="0"/>
    <x v="0"/>
    <x v="17"/>
    <x v="0"/>
    <x v="5"/>
    <x v="2"/>
    <x v="10"/>
    <x v="127"/>
    <x v="6"/>
    <x v="0"/>
    <x v="127"/>
    <x v="2"/>
    <x v="3"/>
    <x v="0"/>
    <x v="127"/>
    <x v="2"/>
    <x v="0"/>
    <x v="127"/>
  </r>
  <r>
    <x v="0"/>
    <x v="0"/>
    <x v="2"/>
    <x v="128"/>
    <x v="128"/>
    <x v="1"/>
    <x v="1"/>
    <x v="17"/>
    <x v="0"/>
    <x v="17"/>
    <x v="17"/>
    <x v="0"/>
    <x v="0"/>
    <x v="2"/>
    <x v="1"/>
    <x v="4"/>
    <x v="4"/>
    <x v="128"/>
    <x v="0"/>
    <x v="0"/>
    <x v="17"/>
    <x v="0"/>
    <x v="5"/>
    <x v="2"/>
    <x v="10"/>
    <x v="128"/>
    <x v="6"/>
    <x v="0"/>
    <x v="128"/>
    <x v="0"/>
    <x v="3"/>
    <x v="0"/>
    <x v="128"/>
    <x v="2"/>
    <x v="0"/>
    <x v="128"/>
  </r>
  <r>
    <x v="0"/>
    <x v="0"/>
    <x v="14"/>
    <x v="129"/>
    <x v="129"/>
    <x v="2"/>
    <x v="0"/>
    <x v="17"/>
    <x v="0"/>
    <x v="17"/>
    <x v="17"/>
    <x v="0"/>
    <x v="0"/>
    <x v="2"/>
    <x v="1"/>
    <x v="4"/>
    <x v="4"/>
    <x v="129"/>
    <x v="0"/>
    <x v="0"/>
    <x v="17"/>
    <x v="0"/>
    <x v="5"/>
    <x v="2"/>
    <x v="10"/>
    <x v="129"/>
    <x v="6"/>
    <x v="0"/>
    <x v="129"/>
    <x v="2"/>
    <x v="3"/>
    <x v="0"/>
    <x v="129"/>
    <x v="2"/>
    <x v="0"/>
    <x v="129"/>
  </r>
  <r>
    <x v="1"/>
    <x v="3"/>
    <x v="20"/>
    <x v="130"/>
    <x v="130"/>
    <x v="5"/>
    <x v="0"/>
    <x v="17"/>
    <x v="0"/>
    <x v="17"/>
    <x v="17"/>
    <x v="0"/>
    <x v="0"/>
    <x v="2"/>
    <x v="1"/>
    <x v="4"/>
    <x v="4"/>
    <x v="130"/>
    <x v="0"/>
    <x v="0"/>
    <x v="17"/>
    <x v="0"/>
    <x v="5"/>
    <x v="2"/>
    <x v="10"/>
    <x v="130"/>
    <x v="6"/>
    <x v="0"/>
    <x v="130"/>
    <x v="2"/>
    <x v="3"/>
    <x v="0"/>
    <x v="130"/>
    <x v="2"/>
    <x v="0"/>
    <x v="130"/>
  </r>
  <r>
    <x v="0"/>
    <x v="2"/>
    <x v="22"/>
    <x v="131"/>
    <x v="131"/>
    <x v="5"/>
    <x v="0"/>
    <x v="17"/>
    <x v="0"/>
    <x v="17"/>
    <x v="17"/>
    <x v="0"/>
    <x v="0"/>
    <x v="2"/>
    <x v="1"/>
    <x v="4"/>
    <x v="4"/>
    <x v="131"/>
    <x v="0"/>
    <x v="0"/>
    <x v="17"/>
    <x v="0"/>
    <x v="5"/>
    <x v="2"/>
    <x v="10"/>
    <x v="131"/>
    <x v="6"/>
    <x v="0"/>
    <x v="131"/>
    <x v="2"/>
    <x v="3"/>
    <x v="0"/>
    <x v="131"/>
    <x v="2"/>
    <x v="0"/>
    <x v="131"/>
  </r>
  <r>
    <x v="1"/>
    <x v="3"/>
    <x v="4"/>
    <x v="132"/>
    <x v="132"/>
    <x v="5"/>
    <x v="0"/>
    <x v="17"/>
    <x v="0"/>
    <x v="17"/>
    <x v="17"/>
    <x v="0"/>
    <x v="0"/>
    <x v="2"/>
    <x v="1"/>
    <x v="4"/>
    <x v="4"/>
    <x v="132"/>
    <x v="0"/>
    <x v="0"/>
    <x v="17"/>
    <x v="0"/>
    <x v="5"/>
    <x v="2"/>
    <x v="10"/>
    <x v="132"/>
    <x v="6"/>
    <x v="0"/>
    <x v="132"/>
    <x v="2"/>
    <x v="3"/>
    <x v="0"/>
    <x v="132"/>
    <x v="2"/>
    <x v="0"/>
    <x v="132"/>
  </r>
  <r>
    <x v="2"/>
    <x v="8"/>
    <x v="15"/>
    <x v="133"/>
    <x v="133"/>
    <x v="0"/>
    <x v="0"/>
    <x v="17"/>
    <x v="0"/>
    <x v="17"/>
    <x v="17"/>
    <x v="0"/>
    <x v="0"/>
    <x v="2"/>
    <x v="1"/>
    <x v="4"/>
    <x v="4"/>
    <x v="133"/>
    <x v="0"/>
    <x v="0"/>
    <x v="17"/>
    <x v="0"/>
    <x v="5"/>
    <x v="2"/>
    <x v="10"/>
    <x v="133"/>
    <x v="6"/>
    <x v="0"/>
    <x v="133"/>
    <x v="2"/>
    <x v="3"/>
    <x v="0"/>
    <x v="133"/>
    <x v="2"/>
    <x v="0"/>
    <x v="133"/>
  </r>
  <r>
    <x v="0"/>
    <x v="2"/>
    <x v="3"/>
    <x v="134"/>
    <x v="134"/>
    <x v="5"/>
    <x v="0"/>
    <x v="17"/>
    <x v="0"/>
    <x v="17"/>
    <x v="17"/>
    <x v="0"/>
    <x v="0"/>
    <x v="2"/>
    <x v="1"/>
    <x v="4"/>
    <x v="4"/>
    <x v="134"/>
    <x v="0"/>
    <x v="0"/>
    <x v="17"/>
    <x v="0"/>
    <x v="5"/>
    <x v="2"/>
    <x v="10"/>
    <x v="134"/>
    <x v="6"/>
    <x v="0"/>
    <x v="134"/>
    <x v="2"/>
    <x v="3"/>
    <x v="0"/>
    <x v="134"/>
    <x v="2"/>
    <x v="0"/>
    <x v="134"/>
  </r>
  <r>
    <x v="0"/>
    <x v="0"/>
    <x v="0"/>
    <x v="135"/>
    <x v="135"/>
    <x v="1"/>
    <x v="1"/>
    <x v="17"/>
    <x v="0"/>
    <x v="17"/>
    <x v="17"/>
    <x v="0"/>
    <x v="0"/>
    <x v="2"/>
    <x v="1"/>
    <x v="4"/>
    <x v="4"/>
    <x v="135"/>
    <x v="0"/>
    <x v="0"/>
    <x v="17"/>
    <x v="0"/>
    <x v="5"/>
    <x v="2"/>
    <x v="10"/>
    <x v="135"/>
    <x v="6"/>
    <x v="0"/>
    <x v="135"/>
    <x v="0"/>
    <x v="3"/>
    <x v="0"/>
    <x v="135"/>
    <x v="2"/>
    <x v="0"/>
    <x v="135"/>
  </r>
  <r>
    <x v="2"/>
    <x v="8"/>
    <x v="15"/>
    <x v="136"/>
    <x v="136"/>
    <x v="5"/>
    <x v="0"/>
    <x v="17"/>
    <x v="0"/>
    <x v="17"/>
    <x v="17"/>
    <x v="0"/>
    <x v="0"/>
    <x v="2"/>
    <x v="1"/>
    <x v="4"/>
    <x v="4"/>
    <x v="136"/>
    <x v="0"/>
    <x v="0"/>
    <x v="17"/>
    <x v="0"/>
    <x v="5"/>
    <x v="2"/>
    <x v="10"/>
    <x v="136"/>
    <x v="6"/>
    <x v="0"/>
    <x v="136"/>
    <x v="2"/>
    <x v="3"/>
    <x v="0"/>
    <x v="136"/>
    <x v="2"/>
    <x v="0"/>
    <x v="136"/>
  </r>
  <r>
    <x v="2"/>
    <x v="6"/>
    <x v="11"/>
    <x v="137"/>
    <x v="137"/>
    <x v="0"/>
    <x v="0"/>
    <x v="17"/>
    <x v="0"/>
    <x v="17"/>
    <x v="17"/>
    <x v="0"/>
    <x v="0"/>
    <x v="2"/>
    <x v="1"/>
    <x v="4"/>
    <x v="4"/>
    <x v="137"/>
    <x v="0"/>
    <x v="0"/>
    <x v="17"/>
    <x v="0"/>
    <x v="5"/>
    <x v="2"/>
    <x v="10"/>
    <x v="137"/>
    <x v="6"/>
    <x v="0"/>
    <x v="137"/>
    <x v="2"/>
    <x v="3"/>
    <x v="0"/>
    <x v="137"/>
    <x v="2"/>
    <x v="0"/>
    <x v="137"/>
  </r>
  <r>
    <x v="0"/>
    <x v="1"/>
    <x v="1"/>
    <x v="138"/>
    <x v="138"/>
    <x v="0"/>
    <x v="0"/>
    <x v="17"/>
    <x v="0"/>
    <x v="17"/>
    <x v="17"/>
    <x v="0"/>
    <x v="0"/>
    <x v="2"/>
    <x v="1"/>
    <x v="4"/>
    <x v="4"/>
    <x v="138"/>
    <x v="0"/>
    <x v="0"/>
    <x v="17"/>
    <x v="0"/>
    <x v="5"/>
    <x v="2"/>
    <x v="10"/>
    <x v="138"/>
    <x v="6"/>
    <x v="0"/>
    <x v="138"/>
    <x v="2"/>
    <x v="3"/>
    <x v="0"/>
    <x v="138"/>
    <x v="2"/>
    <x v="0"/>
    <x v="138"/>
  </r>
  <r>
    <x v="0"/>
    <x v="1"/>
    <x v="7"/>
    <x v="139"/>
    <x v="139"/>
    <x v="5"/>
    <x v="0"/>
    <x v="17"/>
    <x v="0"/>
    <x v="17"/>
    <x v="17"/>
    <x v="0"/>
    <x v="0"/>
    <x v="2"/>
    <x v="1"/>
    <x v="4"/>
    <x v="4"/>
    <x v="139"/>
    <x v="0"/>
    <x v="0"/>
    <x v="17"/>
    <x v="0"/>
    <x v="5"/>
    <x v="2"/>
    <x v="10"/>
    <x v="139"/>
    <x v="6"/>
    <x v="0"/>
    <x v="139"/>
    <x v="2"/>
    <x v="3"/>
    <x v="0"/>
    <x v="139"/>
    <x v="2"/>
    <x v="0"/>
    <x v="139"/>
  </r>
  <r>
    <x v="2"/>
    <x v="8"/>
    <x v="15"/>
    <x v="140"/>
    <x v="140"/>
    <x v="0"/>
    <x v="0"/>
    <x v="17"/>
    <x v="0"/>
    <x v="17"/>
    <x v="17"/>
    <x v="0"/>
    <x v="0"/>
    <x v="2"/>
    <x v="1"/>
    <x v="4"/>
    <x v="4"/>
    <x v="140"/>
    <x v="0"/>
    <x v="0"/>
    <x v="17"/>
    <x v="0"/>
    <x v="5"/>
    <x v="2"/>
    <x v="10"/>
    <x v="140"/>
    <x v="6"/>
    <x v="0"/>
    <x v="140"/>
    <x v="2"/>
    <x v="3"/>
    <x v="0"/>
    <x v="140"/>
    <x v="2"/>
    <x v="0"/>
    <x v="140"/>
  </r>
  <r>
    <x v="2"/>
    <x v="9"/>
    <x v="16"/>
    <x v="141"/>
    <x v="141"/>
    <x v="5"/>
    <x v="0"/>
    <x v="17"/>
    <x v="0"/>
    <x v="17"/>
    <x v="17"/>
    <x v="0"/>
    <x v="0"/>
    <x v="2"/>
    <x v="1"/>
    <x v="4"/>
    <x v="4"/>
    <x v="141"/>
    <x v="0"/>
    <x v="0"/>
    <x v="17"/>
    <x v="0"/>
    <x v="5"/>
    <x v="2"/>
    <x v="10"/>
    <x v="141"/>
    <x v="6"/>
    <x v="0"/>
    <x v="141"/>
    <x v="2"/>
    <x v="3"/>
    <x v="0"/>
    <x v="141"/>
    <x v="2"/>
    <x v="0"/>
    <x v="141"/>
  </r>
  <r>
    <x v="0"/>
    <x v="2"/>
    <x v="3"/>
    <x v="142"/>
    <x v="142"/>
    <x v="5"/>
    <x v="0"/>
    <x v="17"/>
    <x v="0"/>
    <x v="17"/>
    <x v="17"/>
    <x v="0"/>
    <x v="0"/>
    <x v="2"/>
    <x v="1"/>
    <x v="4"/>
    <x v="4"/>
    <x v="142"/>
    <x v="0"/>
    <x v="0"/>
    <x v="17"/>
    <x v="0"/>
    <x v="5"/>
    <x v="2"/>
    <x v="10"/>
    <x v="142"/>
    <x v="6"/>
    <x v="0"/>
    <x v="142"/>
    <x v="2"/>
    <x v="3"/>
    <x v="0"/>
    <x v="142"/>
    <x v="2"/>
    <x v="0"/>
    <x v="142"/>
  </r>
  <r>
    <x v="0"/>
    <x v="0"/>
    <x v="14"/>
    <x v="143"/>
    <x v="143"/>
    <x v="5"/>
    <x v="0"/>
    <x v="17"/>
    <x v="0"/>
    <x v="17"/>
    <x v="17"/>
    <x v="0"/>
    <x v="0"/>
    <x v="2"/>
    <x v="1"/>
    <x v="4"/>
    <x v="4"/>
    <x v="143"/>
    <x v="0"/>
    <x v="0"/>
    <x v="17"/>
    <x v="0"/>
    <x v="5"/>
    <x v="2"/>
    <x v="10"/>
    <x v="143"/>
    <x v="6"/>
    <x v="0"/>
    <x v="143"/>
    <x v="2"/>
    <x v="3"/>
    <x v="0"/>
    <x v="143"/>
    <x v="2"/>
    <x v="0"/>
    <x v="143"/>
  </r>
  <r>
    <x v="2"/>
    <x v="8"/>
    <x v="23"/>
    <x v="144"/>
    <x v="144"/>
    <x v="0"/>
    <x v="0"/>
    <x v="17"/>
    <x v="0"/>
    <x v="17"/>
    <x v="17"/>
    <x v="0"/>
    <x v="0"/>
    <x v="2"/>
    <x v="1"/>
    <x v="4"/>
    <x v="4"/>
    <x v="144"/>
    <x v="0"/>
    <x v="0"/>
    <x v="17"/>
    <x v="0"/>
    <x v="5"/>
    <x v="2"/>
    <x v="10"/>
    <x v="144"/>
    <x v="6"/>
    <x v="0"/>
    <x v="144"/>
    <x v="2"/>
    <x v="3"/>
    <x v="0"/>
    <x v="144"/>
    <x v="2"/>
    <x v="0"/>
    <x v="144"/>
  </r>
  <r>
    <x v="2"/>
    <x v="9"/>
    <x v="16"/>
    <x v="145"/>
    <x v="145"/>
    <x v="0"/>
    <x v="0"/>
    <x v="17"/>
    <x v="0"/>
    <x v="17"/>
    <x v="17"/>
    <x v="0"/>
    <x v="0"/>
    <x v="2"/>
    <x v="1"/>
    <x v="4"/>
    <x v="4"/>
    <x v="145"/>
    <x v="0"/>
    <x v="0"/>
    <x v="17"/>
    <x v="0"/>
    <x v="5"/>
    <x v="2"/>
    <x v="10"/>
    <x v="145"/>
    <x v="6"/>
    <x v="0"/>
    <x v="145"/>
    <x v="2"/>
    <x v="3"/>
    <x v="0"/>
    <x v="145"/>
    <x v="2"/>
    <x v="0"/>
    <x v="145"/>
  </r>
  <r>
    <x v="1"/>
    <x v="3"/>
    <x v="20"/>
    <x v="146"/>
    <x v="146"/>
    <x v="2"/>
    <x v="0"/>
    <x v="17"/>
    <x v="0"/>
    <x v="17"/>
    <x v="17"/>
    <x v="0"/>
    <x v="0"/>
    <x v="2"/>
    <x v="1"/>
    <x v="4"/>
    <x v="4"/>
    <x v="146"/>
    <x v="0"/>
    <x v="0"/>
    <x v="17"/>
    <x v="0"/>
    <x v="5"/>
    <x v="2"/>
    <x v="10"/>
    <x v="146"/>
    <x v="6"/>
    <x v="0"/>
    <x v="146"/>
    <x v="0"/>
    <x v="3"/>
    <x v="0"/>
    <x v="146"/>
    <x v="2"/>
    <x v="0"/>
    <x v="146"/>
  </r>
  <r>
    <x v="1"/>
    <x v="3"/>
    <x v="4"/>
    <x v="147"/>
    <x v="147"/>
    <x v="0"/>
    <x v="0"/>
    <x v="17"/>
    <x v="0"/>
    <x v="17"/>
    <x v="17"/>
    <x v="0"/>
    <x v="0"/>
    <x v="2"/>
    <x v="1"/>
    <x v="4"/>
    <x v="4"/>
    <x v="147"/>
    <x v="0"/>
    <x v="0"/>
    <x v="17"/>
    <x v="0"/>
    <x v="5"/>
    <x v="2"/>
    <x v="10"/>
    <x v="147"/>
    <x v="6"/>
    <x v="0"/>
    <x v="147"/>
    <x v="2"/>
    <x v="3"/>
    <x v="0"/>
    <x v="147"/>
    <x v="2"/>
    <x v="0"/>
    <x v="147"/>
  </r>
  <r>
    <x v="0"/>
    <x v="1"/>
    <x v="9"/>
    <x v="148"/>
    <x v="148"/>
    <x v="5"/>
    <x v="0"/>
    <x v="17"/>
    <x v="0"/>
    <x v="17"/>
    <x v="17"/>
    <x v="0"/>
    <x v="0"/>
    <x v="2"/>
    <x v="1"/>
    <x v="4"/>
    <x v="4"/>
    <x v="148"/>
    <x v="0"/>
    <x v="0"/>
    <x v="17"/>
    <x v="0"/>
    <x v="5"/>
    <x v="2"/>
    <x v="10"/>
    <x v="148"/>
    <x v="6"/>
    <x v="0"/>
    <x v="148"/>
    <x v="2"/>
    <x v="3"/>
    <x v="0"/>
    <x v="148"/>
    <x v="2"/>
    <x v="0"/>
    <x v="148"/>
  </r>
  <r>
    <x v="1"/>
    <x v="3"/>
    <x v="4"/>
    <x v="149"/>
    <x v="149"/>
    <x v="0"/>
    <x v="0"/>
    <x v="17"/>
    <x v="0"/>
    <x v="17"/>
    <x v="17"/>
    <x v="0"/>
    <x v="0"/>
    <x v="2"/>
    <x v="1"/>
    <x v="4"/>
    <x v="4"/>
    <x v="149"/>
    <x v="0"/>
    <x v="0"/>
    <x v="17"/>
    <x v="0"/>
    <x v="5"/>
    <x v="2"/>
    <x v="10"/>
    <x v="149"/>
    <x v="6"/>
    <x v="0"/>
    <x v="149"/>
    <x v="2"/>
    <x v="3"/>
    <x v="0"/>
    <x v="149"/>
    <x v="2"/>
    <x v="0"/>
    <x v="149"/>
  </r>
  <r>
    <x v="0"/>
    <x v="0"/>
    <x v="14"/>
    <x v="150"/>
    <x v="150"/>
    <x v="5"/>
    <x v="0"/>
    <x v="17"/>
    <x v="0"/>
    <x v="17"/>
    <x v="17"/>
    <x v="0"/>
    <x v="0"/>
    <x v="2"/>
    <x v="1"/>
    <x v="4"/>
    <x v="4"/>
    <x v="150"/>
    <x v="0"/>
    <x v="0"/>
    <x v="17"/>
    <x v="0"/>
    <x v="5"/>
    <x v="2"/>
    <x v="10"/>
    <x v="150"/>
    <x v="6"/>
    <x v="0"/>
    <x v="150"/>
    <x v="2"/>
    <x v="3"/>
    <x v="0"/>
    <x v="150"/>
    <x v="2"/>
    <x v="0"/>
    <x v="150"/>
  </r>
  <r>
    <x v="2"/>
    <x v="8"/>
    <x v="15"/>
    <x v="151"/>
    <x v="151"/>
    <x v="5"/>
    <x v="0"/>
    <x v="17"/>
    <x v="0"/>
    <x v="17"/>
    <x v="17"/>
    <x v="0"/>
    <x v="0"/>
    <x v="2"/>
    <x v="1"/>
    <x v="4"/>
    <x v="4"/>
    <x v="151"/>
    <x v="0"/>
    <x v="0"/>
    <x v="17"/>
    <x v="0"/>
    <x v="5"/>
    <x v="2"/>
    <x v="10"/>
    <x v="151"/>
    <x v="6"/>
    <x v="0"/>
    <x v="151"/>
    <x v="2"/>
    <x v="3"/>
    <x v="0"/>
    <x v="151"/>
    <x v="2"/>
    <x v="0"/>
    <x v="151"/>
  </r>
  <r>
    <x v="0"/>
    <x v="2"/>
    <x v="3"/>
    <x v="152"/>
    <x v="152"/>
    <x v="5"/>
    <x v="0"/>
    <x v="17"/>
    <x v="0"/>
    <x v="17"/>
    <x v="17"/>
    <x v="0"/>
    <x v="0"/>
    <x v="2"/>
    <x v="1"/>
    <x v="4"/>
    <x v="4"/>
    <x v="152"/>
    <x v="0"/>
    <x v="0"/>
    <x v="17"/>
    <x v="0"/>
    <x v="5"/>
    <x v="2"/>
    <x v="10"/>
    <x v="152"/>
    <x v="6"/>
    <x v="0"/>
    <x v="152"/>
    <x v="2"/>
    <x v="3"/>
    <x v="0"/>
    <x v="152"/>
    <x v="2"/>
    <x v="0"/>
    <x v="152"/>
  </r>
  <r>
    <x v="1"/>
    <x v="3"/>
    <x v="6"/>
    <x v="153"/>
    <x v="153"/>
    <x v="5"/>
    <x v="0"/>
    <x v="17"/>
    <x v="0"/>
    <x v="17"/>
    <x v="17"/>
    <x v="0"/>
    <x v="0"/>
    <x v="2"/>
    <x v="1"/>
    <x v="4"/>
    <x v="4"/>
    <x v="153"/>
    <x v="0"/>
    <x v="0"/>
    <x v="17"/>
    <x v="0"/>
    <x v="5"/>
    <x v="2"/>
    <x v="10"/>
    <x v="153"/>
    <x v="6"/>
    <x v="0"/>
    <x v="153"/>
    <x v="2"/>
    <x v="3"/>
    <x v="0"/>
    <x v="153"/>
    <x v="2"/>
    <x v="0"/>
    <x v="153"/>
  </r>
  <r>
    <x v="2"/>
    <x v="8"/>
    <x v="15"/>
    <x v="132"/>
    <x v="154"/>
    <x v="2"/>
    <x v="0"/>
    <x v="17"/>
    <x v="0"/>
    <x v="17"/>
    <x v="17"/>
    <x v="0"/>
    <x v="0"/>
    <x v="2"/>
    <x v="1"/>
    <x v="4"/>
    <x v="4"/>
    <x v="154"/>
    <x v="0"/>
    <x v="0"/>
    <x v="17"/>
    <x v="0"/>
    <x v="5"/>
    <x v="2"/>
    <x v="10"/>
    <x v="154"/>
    <x v="6"/>
    <x v="0"/>
    <x v="154"/>
    <x v="2"/>
    <x v="3"/>
    <x v="0"/>
    <x v="154"/>
    <x v="2"/>
    <x v="0"/>
    <x v="154"/>
  </r>
  <r>
    <x v="0"/>
    <x v="0"/>
    <x v="21"/>
    <x v="154"/>
    <x v="155"/>
    <x v="2"/>
    <x v="0"/>
    <x v="17"/>
    <x v="0"/>
    <x v="17"/>
    <x v="17"/>
    <x v="0"/>
    <x v="0"/>
    <x v="2"/>
    <x v="1"/>
    <x v="4"/>
    <x v="4"/>
    <x v="155"/>
    <x v="0"/>
    <x v="0"/>
    <x v="17"/>
    <x v="0"/>
    <x v="5"/>
    <x v="2"/>
    <x v="10"/>
    <x v="155"/>
    <x v="6"/>
    <x v="0"/>
    <x v="155"/>
    <x v="2"/>
    <x v="3"/>
    <x v="0"/>
    <x v="155"/>
    <x v="2"/>
    <x v="0"/>
    <x v="155"/>
  </r>
  <r>
    <x v="0"/>
    <x v="0"/>
    <x v="8"/>
    <x v="155"/>
    <x v="156"/>
    <x v="5"/>
    <x v="0"/>
    <x v="17"/>
    <x v="0"/>
    <x v="17"/>
    <x v="17"/>
    <x v="0"/>
    <x v="0"/>
    <x v="2"/>
    <x v="1"/>
    <x v="4"/>
    <x v="4"/>
    <x v="156"/>
    <x v="0"/>
    <x v="0"/>
    <x v="17"/>
    <x v="0"/>
    <x v="5"/>
    <x v="2"/>
    <x v="10"/>
    <x v="156"/>
    <x v="6"/>
    <x v="0"/>
    <x v="156"/>
    <x v="2"/>
    <x v="3"/>
    <x v="0"/>
    <x v="156"/>
    <x v="2"/>
    <x v="0"/>
    <x v="156"/>
  </r>
  <r>
    <x v="2"/>
    <x v="9"/>
    <x v="16"/>
    <x v="156"/>
    <x v="157"/>
    <x v="0"/>
    <x v="0"/>
    <x v="17"/>
    <x v="0"/>
    <x v="17"/>
    <x v="17"/>
    <x v="0"/>
    <x v="0"/>
    <x v="2"/>
    <x v="1"/>
    <x v="4"/>
    <x v="4"/>
    <x v="157"/>
    <x v="0"/>
    <x v="0"/>
    <x v="17"/>
    <x v="0"/>
    <x v="5"/>
    <x v="2"/>
    <x v="10"/>
    <x v="157"/>
    <x v="6"/>
    <x v="0"/>
    <x v="157"/>
    <x v="2"/>
    <x v="3"/>
    <x v="0"/>
    <x v="157"/>
    <x v="2"/>
    <x v="0"/>
    <x v="157"/>
  </r>
  <r>
    <x v="1"/>
    <x v="3"/>
    <x v="4"/>
    <x v="157"/>
    <x v="158"/>
    <x v="5"/>
    <x v="0"/>
    <x v="17"/>
    <x v="0"/>
    <x v="17"/>
    <x v="17"/>
    <x v="0"/>
    <x v="0"/>
    <x v="2"/>
    <x v="1"/>
    <x v="4"/>
    <x v="4"/>
    <x v="158"/>
    <x v="0"/>
    <x v="0"/>
    <x v="17"/>
    <x v="0"/>
    <x v="5"/>
    <x v="2"/>
    <x v="10"/>
    <x v="158"/>
    <x v="6"/>
    <x v="0"/>
    <x v="158"/>
    <x v="2"/>
    <x v="3"/>
    <x v="0"/>
    <x v="158"/>
    <x v="2"/>
    <x v="0"/>
    <x v="158"/>
  </r>
  <r>
    <x v="0"/>
    <x v="0"/>
    <x v="8"/>
    <x v="158"/>
    <x v="159"/>
    <x v="2"/>
    <x v="0"/>
    <x v="17"/>
    <x v="0"/>
    <x v="17"/>
    <x v="17"/>
    <x v="0"/>
    <x v="0"/>
    <x v="2"/>
    <x v="1"/>
    <x v="4"/>
    <x v="4"/>
    <x v="159"/>
    <x v="0"/>
    <x v="0"/>
    <x v="17"/>
    <x v="0"/>
    <x v="5"/>
    <x v="2"/>
    <x v="10"/>
    <x v="159"/>
    <x v="6"/>
    <x v="0"/>
    <x v="159"/>
    <x v="0"/>
    <x v="3"/>
    <x v="0"/>
    <x v="159"/>
    <x v="2"/>
    <x v="0"/>
    <x v="159"/>
  </r>
  <r>
    <x v="1"/>
    <x v="3"/>
    <x v="6"/>
    <x v="159"/>
    <x v="160"/>
    <x v="2"/>
    <x v="0"/>
    <x v="17"/>
    <x v="0"/>
    <x v="17"/>
    <x v="17"/>
    <x v="0"/>
    <x v="0"/>
    <x v="2"/>
    <x v="1"/>
    <x v="4"/>
    <x v="4"/>
    <x v="160"/>
    <x v="0"/>
    <x v="0"/>
    <x v="17"/>
    <x v="0"/>
    <x v="5"/>
    <x v="2"/>
    <x v="10"/>
    <x v="160"/>
    <x v="6"/>
    <x v="0"/>
    <x v="160"/>
    <x v="0"/>
    <x v="3"/>
    <x v="0"/>
    <x v="160"/>
    <x v="2"/>
    <x v="0"/>
    <x v="160"/>
  </r>
  <r>
    <x v="1"/>
    <x v="3"/>
    <x v="20"/>
    <x v="160"/>
    <x v="161"/>
    <x v="5"/>
    <x v="0"/>
    <x v="17"/>
    <x v="0"/>
    <x v="17"/>
    <x v="17"/>
    <x v="0"/>
    <x v="0"/>
    <x v="2"/>
    <x v="1"/>
    <x v="4"/>
    <x v="4"/>
    <x v="161"/>
    <x v="0"/>
    <x v="0"/>
    <x v="17"/>
    <x v="0"/>
    <x v="5"/>
    <x v="2"/>
    <x v="10"/>
    <x v="161"/>
    <x v="6"/>
    <x v="0"/>
    <x v="161"/>
    <x v="2"/>
    <x v="3"/>
    <x v="0"/>
    <x v="161"/>
    <x v="2"/>
    <x v="0"/>
    <x v="161"/>
  </r>
  <r>
    <x v="2"/>
    <x v="8"/>
    <x v="15"/>
    <x v="161"/>
    <x v="162"/>
    <x v="0"/>
    <x v="0"/>
    <x v="17"/>
    <x v="0"/>
    <x v="17"/>
    <x v="17"/>
    <x v="0"/>
    <x v="0"/>
    <x v="2"/>
    <x v="1"/>
    <x v="4"/>
    <x v="4"/>
    <x v="162"/>
    <x v="0"/>
    <x v="0"/>
    <x v="17"/>
    <x v="0"/>
    <x v="5"/>
    <x v="2"/>
    <x v="10"/>
    <x v="162"/>
    <x v="6"/>
    <x v="0"/>
    <x v="162"/>
    <x v="2"/>
    <x v="3"/>
    <x v="0"/>
    <x v="162"/>
    <x v="2"/>
    <x v="0"/>
    <x v="162"/>
  </r>
  <r>
    <x v="0"/>
    <x v="0"/>
    <x v="21"/>
    <x v="162"/>
    <x v="163"/>
    <x v="0"/>
    <x v="0"/>
    <x v="17"/>
    <x v="0"/>
    <x v="17"/>
    <x v="17"/>
    <x v="0"/>
    <x v="0"/>
    <x v="2"/>
    <x v="1"/>
    <x v="4"/>
    <x v="4"/>
    <x v="163"/>
    <x v="0"/>
    <x v="0"/>
    <x v="17"/>
    <x v="0"/>
    <x v="5"/>
    <x v="2"/>
    <x v="10"/>
    <x v="163"/>
    <x v="6"/>
    <x v="0"/>
    <x v="163"/>
    <x v="2"/>
    <x v="3"/>
    <x v="0"/>
    <x v="163"/>
    <x v="2"/>
    <x v="0"/>
    <x v="163"/>
  </r>
  <r>
    <x v="0"/>
    <x v="1"/>
    <x v="7"/>
    <x v="163"/>
    <x v="164"/>
    <x v="5"/>
    <x v="0"/>
    <x v="17"/>
    <x v="0"/>
    <x v="17"/>
    <x v="17"/>
    <x v="0"/>
    <x v="0"/>
    <x v="2"/>
    <x v="1"/>
    <x v="4"/>
    <x v="4"/>
    <x v="164"/>
    <x v="0"/>
    <x v="0"/>
    <x v="17"/>
    <x v="0"/>
    <x v="5"/>
    <x v="2"/>
    <x v="10"/>
    <x v="164"/>
    <x v="6"/>
    <x v="0"/>
    <x v="164"/>
    <x v="2"/>
    <x v="3"/>
    <x v="0"/>
    <x v="164"/>
    <x v="2"/>
    <x v="0"/>
    <x v="164"/>
  </r>
  <r>
    <x v="0"/>
    <x v="0"/>
    <x v="21"/>
    <x v="164"/>
    <x v="165"/>
    <x v="2"/>
    <x v="0"/>
    <x v="17"/>
    <x v="0"/>
    <x v="17"/>
    <x v="17"/>
    <x v="0"/>
    <x v="0"/>
    <x v="2"/>
    <x v="1"/>
    <x v="4"/>
    <x v="4"/>
    <x v="165"/>
    <x v="0"/>
    <x v="0"/>
    <x v="17"/>
    <x v="0"/>
    <x v="5"/>
    <x v="2"/>
    <x v="10"/>
    <x v="165"/>
    <x v="6"/>
    <x v="0"/>
    <x v="165"/>
    <x v="2"/>
    <x v="3"/>
    <x v="0"/>
    <x v="165"/>
    <x v="2"/>
    <x v="0"/>
    <x v="165"/>
  </r>
  <r>
    <x v="2"/>
    <x v="9"/>
    <x v="16"/>
    <x v="165"/>
    <x v="166"/>
    <x v="2"/>
    <x v="0"/>
    <x v="17"/>
    <x v="0"/>
    <x v="17"/>
    <x v="17"/>
    <x v="0"/>
    <x v="0"/>
    <x v="2"/>
    <x v="1"/>
    <x v="4"/>
    <x v="4"/>
    <x v="166"/>
    <x v="0"/>
    <x v="0"/>
    <x v="17"/>
    <x v="0"/>
    <x v="5"/>
    <x v="2"/>
    <x v="10"/>
    <x v="166"/>
    <x v="6"/>
    <x v="0"/>
    <x v="166"/>
    <x v="2"/>
    <x v="3"/>
    <x v="0"/>
    <x v="166"/>
    <x v="2"/>
    <x v="0"/>
    <x v="166"/>
  </r>
  <r>
    <x v="2"/>
    <x v="8"/>
    <x v="15"/>
    <x v="166"/>
    <x v="167"/>
    <x v="2"/>
    <x v="0"/>
    <x v="17"/>
    <x v="0"/>
    <x v="17"/>
    <x v="17"/>
    <x v="0"/>
    <x v="0"/>
    <x v="2"/>
    <x v="1"/>
    <x v="4"/>
    <x v="4"/>
    <x v="167"/>
    <x v="0"/>
    <x v="0"/>
    <x v="17"/>
    <x v="0"/>
    <x v="5"/>
    <x v="2"/>
    <x v="10"/>
    <x v="167"/>
    <x v="6"/>
    <x v="0"/>
    <x v="167"/>
    <x v="2"/>
    <x v="3"/>
    <x v="0"/>
    <x v="167"/>
    <x v="2"/>
    <x v="0"/>
    <x v="167"/>
  </r>
  <r>
    <x v="0"/>
    <x v="2"/>
    <x v="3"/>
    <x v="167"/>
    <x v="168"/>
    <x v="5"/>
    <x v="0"/>
    <x v="17"/>
    <x v="0"/>
    <x v="17"/>
    <x v="17"/>
    <x v="0"/>
    <x v="0"/>
    <x v="2"/>
    <x v="1"/>
    <x v="4"/>
    <x v="4"/>
    <x v="168"/>
    <x v="0"/>
    <x v="0"/>
    <x v="17"/>
    <x v="0"/>
    <x v="5"/>
    <x v="2"/>
    <x v="10"/>
    <x v="168"/>
    <x v="6"/>
    <x v="0"/>
    <x v="168"/>
    <x v="2"/>
    <x v="3"/>
    <x v="0"/>
    <x v="168"/>
    <x v="2"/>
    <x v="0"/>
    <x v="168"/>
  </r>
  <r>
    <x v="1"/>
    <x v="3"/>
    <x v="20"/>
    <x v="168"/>
    <x v="169"/>
    <x v="5"/>
    <x v="0"/>
    <x v="17"/>
    <x v="0"/>
    <x v="17"/>
    <x v="17"/>
    <x v="0"/>
    <x v="0"/>
    <x v="2"/>
    <x v="1"/>
    <x v="4"/>
    <x v="4"/>
    <x v="169"/>
    <x v="0"/>
    <x v="0"/>
    <x v="17"/>
    <x v="0"/>
    <x v="5"/>
    <x v="2"/>
    <x v="10"/>
    <x v="169"/>
    <x v="6"/>
    <x v="0"/>
    <x v="169"/>
    <x v="2"/>
    <x v="3"/>
    <x v="0"/>
    <x v="169"/>
    <x v="2"/>
    <x v="0"/>
    <x v="169"/>
  </r>
  <r>
    <x v="2"/>
    <x v="8"/>
    <x v="15"/>
    <x v="169"/>
    <x v="170"/>
    <x v="5"/>
    <x v="0"/>
    <x v="17"/>
    <x v="0"/>
    <x v="17"/>
    <x v="17"/>
    <x v="0"/>
    <x v="0"/>
    <x v="2"/>
    <x v="1"/>
    <x v="4"/>
    <x v="4"/>
    <x v="170"/>
    <x v="0"/>
    <x v="0"/>
    <x v="17"/>
    <x v="0"/>
    <x v="5"/>
    <x v="2"/>
    <x v="10"/>
    <x v="170"/>
    <x v="6"/>
    <x v="0"/>
    <x v="170"/>
    <x v="2"/>
    <x v="3"/>
    <x v="0"/>
    <x v="170"/>
    <x v="2"/>
    <x v="0"/>
    <x v="170"/>
  </r>
  <r>
    <x v="2"/>
    <x v="8"/>
    <x v="15"/>
    <x v="170"/>
    <x v="171"/>
    <x v="0"/>
    <x v="0"/>
    <x v="17"/>
    <x v="0"/>
    <x v="17"/>
    <x v="17"/>
    <x v="0"/>
    <x v="0"/>
    <x v="2"/>
    <x v="1"/>
    <x v="4"/>
    <x v="4"/>
    <x v="171"/>
    <x v="0"/>
    <x v="0"/>
    <x v="17"/>
    <x v="0"/>
    <x v="5"/>
    <x v="2"/>
    <x v="10"/>
    <x v="171"/>
    <x v="6"/>
    <x v="0"/>
    <x v="171"/>
    <x v="2"/>
    <x v="3"/>
    <x v="0"/>
    <x v="171"/>
    <x v="2"/>
    <x v="0"/>
    <x v="171"/>
  </r>
  <r>
    <x v="1"/>
    <x v="3"/>
    <x v="20"/>
    <x v="171"/>
    <x v="172"/>
    <x v="5"/>
    <x v="0"/>
    <x v="17"/>
    <x v="0"/>
    <x v="17"/>
    <x v="17"/>
    <x v="0"/>
    <x v="0"/>
    <x v="2"/>
    <x v="1"/>
    <x v="4"/>
    <x v="4"/>
    <x v="172"/>
    <x v="0"/>
    <x v="0"/>
    <x v="17"/>
    <x v="0"/>
    <x v="5"/>
    <x v="2"/>
    <x v="10"/>
    <x v="172"/>
    <x v="6"/>
    <x v="0"/>
    <x v="172"/>
    <x v="2"/>
    <x v="3"/>
    <x v="0"/>
    <x v="172"/>
    <x v="2"/>
    <x v="0"/>
    <x v="172"/>
  </r>
  <r>
    <x v="1"/>
    <x v="3"/>
    <x v="4"/>
    <x v="172"/>
    <x v="173"/>
    <x v="5"/>
    <x v="0"/>
    <x v="17"/>
    <x v="0"/>
    <x v="17"/>
    <x v="17"/>
    <x v="0"/>
    <x v="0"/>
    <x v="2"/>
    <x v="1"/>
    <x v="4"/>
    <x v="4"/>
    <x v="173"/>
    <x v="0"/>
    <x v="0"/>
    <x v="17"/>
    <x v="0"/>
    <x v="5"/>
    <x v="2"/>
    <x v="10"/>
    <x v="173"/>
    <x v="6"/>
    <x v="0"/>
    <x v="173"/>
    <x v="2"/>
    <x v="3"/>
    <x v="0"/>
    <x v="173"/>
    <x v="2"/>
    <x v="0"/>
    <x v="173"/>
  </r>
  <r>
    <x v="2"/>
    <x v="8"/>
    <x v="15"/>
    <x v="173"/>
    <x v="174"/>
    <x v="5"/>
    <x v="0"/>
    <x v="17"/>
    <x v="0"/>
    <x v="17"/>
    <x v="17"/>
    <x v="0"/>
    <x v="0"/>
    <x v="2"/>
    <x v="1"/>
    <x v="4"/>
    <x v="4"/>
    <x v="174"/>
    <x v="0"/>
    <x v="0"/>
    <x v="17"/>
    <x v="0"/>
    <x v="5"/>
    <x v="2"/>
    <x v="10"/>
    <x v="174"/>
    <x v="6"/>
    <x v="0"/>
    <x v="174"/>
    <x v="2"/>
    <x v="3"/>
    <x v="0"/>
    <x v="174"/>
    <x v="2"/>
    <x v="0"/>
    <x v="174"/>
  </r>
  <r>
    <x v="0"/>
    <x v="1"/>
    <x v="9"/>
    <x v="174"/>
    <x v="175"/>
    <x v="2"/>
    <x v="0"/>
    <x v="17"/>
    <x v="0"/>
    <x v="17"/>
    <x v="17"/>
    <x v="0"/>
    <x v="0"/>
    <x v="2"/>
    <x v="1"/>
    <x v="4"/>
    <x v="4"/>
    <x v="175"/>
    <x v="0"/>
    <x v="0"/>
    <x v="17"/>
    <x v="0"/>
    <x v="5"/>
    <x v="2"/>
    <x v="10"/>
    <x v="175"/>
    <x v="6"/>
    <x v="0"/>
    <x v="175"/>
    <x v="0"/>
    <x v="3"/>
    <x v="0"/>
    <x v="175"/>
    <x v="2"/>
    <x v="0"/>
    <x v="175"/>
  </r>
  <r>
    <x v="1"/>
    <x v="3"/>
    <x v="4"/>
    <x v="175"/>
    <x v="176"/>
    <x v="5"/>
    <x v="0"/>
    <x v="17"/>
    <x v="0"/>
    <x v="17"/>
    <x v="17"/>
    <x v="0"/>
    <x v="0"/>
    <x v="2"/>
    <x v="1"/>
    <x v="4"/>
    <x v="4"/>
    <x v="176"/>
    <x v="0"/>
    <x v="0"/>
    <x v="17"/>
    <x v="0"/>
    <x v="5"/>
    <x v="2"/>
    <x v="10"/>
    <x v="176"/>
    <x v="6"/>
    <x v="0"/>
    <x v="176"/>
    <x v="2"/>
    <x v="3"/>
    <x v="0"/>
    <x v="176"/>
    <x v="2"/>
    <x v="0"/>
    <x v="176"/>
  </r>
  <r>
    <x v="2"/>
    <x v="6"/>
    <x v="11"/>
    <x v="176"/>
    <x v="177"/>
    <x v="5"/>
    <x v="0"/>
    <x v="17"/>
    <x v="0"/>
    <x v="17"/>
    <x v="17"/>
    <x v="0"/>
    <x v="0"/>
    <x v="2"/>
    <x v="1"/>
    <x v="4"/>
    <x v="4"/>
    <x v="177"/>
    <x v="0"/>
    <x v="0"/>
    <x v="17"/>
    <x v="0"/>
    <x v="5"/>
    <x v="2"/>
    <x v="10"/>
    <x v="177"/>
    <x v="6"/>
    <x v="0"/>
    <x v="177"/>
    <x v="2"/>
    <x v="3"/>
    <x v="0"/>
    <x v="177"/>
    <x v="2"/>
    <x v="0"/>
    <x v="177"/>
  </r>
  <r>
    <x v="2"/>
    <x v="9"/>
    <x v="16"/>
    <x v="177"/>
    <x v="178"/>
    <x v="5"/>
    <x v="0"/>
    <x v="17"/>
    <x v="0"/>
    <x v="17"/>
    <x v="17"/>
    <x v="0"/>
    <x v="0"/>
    <x v="2"/>
    <x v="1"/>
    <x v="4"/>
    <x v="4"/>
    <x v="178"/>
    <x v="0"/>
    <x v="0"/>
    <x v="17"/>
    <x v="0"/>
    <x v="5"/>
    <x v="2"/>
    <x v="10"/>
    <x v="178"/>
    <x v="6"/>
    <x v="0"/>
    <x v="178"/>
    <x v="2"/>
    <x v="3"/>
    <x v="0"/>
    <x v="178"/>
    <x v="2"/>
    <x v="0"/>
    <x v="178"/>
  </r>
  <r>
    <x v="0"/>
    <x v="2"/>
    <x v="22"/>
    <x v="178"/>
    <x v="179"/>
    <x v="0"/>
    <x v="0"/>
    <x v="17"/>
    <x v="0"/>
    <x v="17"/>
    <x v="17"/>
    <x v="0"/>
    <x v="0"/>
    <x v="2"/>
    <x v="1"/>
    <x v="4"/>
    <x v="4"/>
    <x v="179"/>
    <x v="0"/>
    <x v="0"/>
    <x v="17"/>
    <x v="0"/>
    <x v="5"/>
    <x v="2"/>
    <x v="10"/>
    <x v="179"/>
    <x v="6"/>
    <x v="0"/>
    <x v="179"/>
    <x v="2"/>
    <x v="3"/>
    <x v="0"/>
    <x v="179"/>
    <x v="2"/>
    <x v="0"/>
    <x v="179"/>
  </r>
  <r>
    <x v="0"/>
    <x v="1"/>
    <x v="9"/>
    <x v="179"/>
    <x v="180"/>
    <x v="5"/>
    <x v="0"/>
    <x v="17"/>
    <x v="0"/>
    <x v="17"/>
    <x v="17"/>
    <x v="0"/>
    <x v="0"/>
    <x v="2"/>
    <x v="1"/>
    <x v="4"/>
    <x v="4"/>
    <x v="180"/>
    <x v="0"/>
    <x v="0"/>
    <x v="17"/>
    <x v="0"/>
    <x v="5"/>
    <x v="2"/>
    <x v="10"/>
    <x v="180"/>
    <x v="6"/>
    <x v="0"/>
    <x v="180"/>
    <x v="2"/>
    <x v="3"/>
    <x v="0"/>
    <x v="180"/>
    <x v="2"/>
    <x v="0"/>
    <x v="180"/>
  </r>
  <r>
    <x v="2"/>
    <x v="8"/>
    <x v="15"/>
    <x v="180"/>
    <x v="181"/>
    <x v="5"/>
    <x v="0"/>
    <x v="17"/>
    <x v="0"/>
    <x v="17"/>
    <x v="17"/>
    <x v="0"/>
    <x v="0"/>
    <x v="2"/>
    <x v="1"/>
    <x v="4"/>
    <x v="4"/>
    <x v="181"/>
    <x v="0"/>
    <x v="0"/>
    <x v="17"/>
    <x v="0"/>
    <x v="5"/>
    <x v="2"/>
    <x v="10"/>
    <x v="181"/>
    <x v="6"/>
    <x v="0"/>
    <x v="181"/>
    <x v="2"/>
    <x v="3"/>
    <x v="0"/>
    <x v="181"/>
    <x v="2"/>
    <x v="0"/>
    <x v="181"/>
  </r>
  <r>
    <x v="0"/>
    <x v="1"/>
    <x v="7"/>
    <x v="181"/>
    <x v="182"/>
    <x v="5"/>
    <x v="0"/>
    <x v="17"/>
    <x v="0"/>
    <x v="17"/>
    <x v="17"/>
    <x v="0"/>
    <x v="0"/>
    <x v="2"/>
    <x v="1"/>
    <x v="4"/>
    <x v="4"/>
    <x v="182"/>
    <x v="0"/>
    <x v="0"/>
    <x v="17"/>
    <x v="0"/>
    <x v="5"/>
    <x v="2"/>
    <x v="10"/>
    <x v="182"/>
    <x v="6"/>
    <x v="0"/>
    <x v="182"/>
    <x v="2"/>
    <x v="3"/>
    <x v="0"/>
    <x v="182"/>
    <x v="2"/>
    <x v="0"/>
    <x v="182"/>
  </r>
  <r>
    <x v="1"/>
    <x v="3"/>
    <x v="6"/>
    <x v="182"/>
    <x v="183"/>
    <x v="5"/>
    <x v="0"/>
    <x v="17"/>
    <x v="0"/>
    <x v="17"/>
    <x v="17"/>
    <x v="0"/>
    <x v="0"/>
    <x v="2"/>
    <x v="1"/>
    <x v="4"/>
    <x v="4"/>
    <x v="183"/>
    <x v="0"/>
    <x v="0"/>
    <x v="17"/>
    <x v="0"/>
    <x v="5"/>
    <x v="2"/>
    <x v="10"/>
    <x v="183"/>
    <x v="6"/>
    <x v="0"/>
    <x v="183"/>
    <x v="2"/>
    <x v="3"/>
    <x v="0"/>
    <x v="183"/>
    <x v="2"/>
    <x v="0"/>
    <x v="183"/>
  </r>
  <r>
    <x v="0"/>
    <x v="1"/>
    <x v="1"/>
    <x v="183"/>
    <x v="184"/>
    <x v="5"/>
    <x v="0"/>
    <x v="17"/>
    <x v="0"/>
    <x v="17"/>
    <x v="17"/>
    <x v="0"/>
    <x v="0"/>
    <x v="2"/>
    <x v="1"/>
    <x v="4"/>
    <x v="4"/>
    <x v="184"/>
    <x v="0"/>
    <x v="0"/>
    <x v="17"/>
    <x v="0"/>
    <x v="5"/>
    <x v="2"/>
    <x v="10"/>
    <x v="184"/>
    <x v="6"/>
    <x v="0"/>
    <x v="184"/>
    <x v="2"/>
    <x v="3"/>
    <x v="0"/>
    <x v="184"/>
    <x v="2"/>
    <x v="0"/>
    <x v="184"/>
  </r>
  <r>
    <x v="0"/>
    <x v="1"/>
    <x v="1"/>
    <x v="184"/>
    <x v="185"/>
    <x v="0"/>
    <x v="0"/>
    <x v="17"/>
    <x v="0"/>
    <x v="17"/>
    <x v="17"/>
    <x v="0"/>
    <x v="0"/>
    <x v="2"/>
    <x v="1"/>
    <x v="4"/>
    <x v="4"/>
    <x v="185"/>
    <x v="0"/>
    <x v="0"/>
    <x v="17"/>
    <x v="0"/>
    <x v="5"/>
    <x v="2"/>
    <x v="10"/>
    <x v="185"/>
    <x v="6"/>
    <x v="0"/>
    <x v="185"/>
    <x v="2"/>
    <x v="3"/>
    <x v="0"/>
    <x v="185"/>
    <x v="2"/>
    <x v="0"/>
    <x v="185"/>
  </r>
  <r>
    <x v="1"/>
    <x v="3"/>
    <x v="4"/>
    <x v="185"/>
    <x v="186"/>
    <x v="2"/>
    <x v="0"/>
    <x v="17"/>
    <x v="0"/>
    <x v="17"/>
    <x v="17"/>
    <x v="0"/>
    <x v="0"/>
    <x v="2"/>
    <x v="1"/>
    <x v="4"/>
    <x v="4"/>
    <x v="186"/>
    <x v="0"/>
    <x v="0"/>
    <x v="17"/>
    <x v="0"/>
    <x v="5"/>
    <x v="2"/>
    <x v="10"/>
    <x v="186"/>
    <x v="6"/>
    <x v="0"/>
    <x v="186"/>
    <x v="0"/>
    <x v="3"/>
    <x v="0"/>
    <x v="186"/>
    <x v="2"/>
    <x v="0"/>
    <x v="186"/>
  </r>
  <r>
    <x v="0"/>
    <x v="2"/>
    <x v="3"/>
    <x v="186"/>
    <x v="187"/>
    <x v="5"/>
    <x v="0"/>
    <x v="17"/>
    <x v="0"/>
    <x v="17"/>
    <x v="17"/>
    <x v="0"/>
    <x v="0"/>
    <x v="2"/>
    <x v="1"/>
    <x v="4"/>
    <x v="4"/>
    <x v="187"/>
    <x v="0"/>
    <x v="0"/>
    <x v="17"/>
    <x v="0"/>
    <x v="5"/>
    <x v="2"/>
    <x v="10"/>
    <x v="187"/>
    <x v="6"/>
    <x v="0"/>
    <x v="187"/>
    <x v="2"/>
    <x v="3"/>
    <x v="0"/>
    <x v="187"/>
    <x v="2"/>
    <x v="0"/>
    <x v="187"/>
  </r>
  <r>
    <x v="1"/>
    <x v="3"/>
    <x v="20"/>
    <x v="187"/>
    <x v="188"/>
    <x v="2"/>
    <x v="0"/>
    <x v="17"/>
    <x v="0"/>
    <x v="17"/>
    <x v="17"/>
    <x v="0"/>
    <x v="0"/>
    <x v="2"/>
    <x v="1"/>
    <x v="4"/>
    <x v="4"/>
    <x v="188"/>
    <x v="0"/>
    <x v="0"/>
    <x v="17"/>
    <x v="0"/>
    <x v="5"/>
    <x v="2"/>
    <x v="10"/>
    <x v="188"/>
    <x v="6"/>
    <x v="0"/>
    <x v="188"/>
    <x v="0"/>
    <x v="3"/>
    <x v="0"/>
    <x v="188"/>
    <x v="2"/>
    <x v="0"/>
    <x v="188"/>
  </r>
  <r>
    <x v="2"/>
    <x v="9"/>
    <x v="16"/>
    <x v="188"/>
    <x v="189"/>
    <x v="2"/>
    <x v="0"/>
    <x v="17"/>
    <x v="0"/>
    <x v="17"/>
    <x v="17"/>
    <x v="0"/>
    <x v="0"/>
    <x v="2"/>
    <x v="1"/>
    <x v="4"/>
    <x v="4"/>
    <x v="189"/>
    <x v="0"/>
    <x v="0"/>
    <x v="17"/>
    <x v="0"/>
    <x v="5"/>
    <x v="2"/>
    <x v="10"/>
    <x v="189"/>
    <x v="6"/>
    <x v="0"/>
    <x v="189"/>
    <x v="0"/>
    <x v="3"/>
    <x v="0"/>
    <x v="189"/>
    <x v="2"/>
    <x v="0"/>
    <x v="189"/>
  </r>
  <r>
    <x v="0"/>
    <x v="1"/>
    <x v="7"/>
    <x v="189"/>
    <x v="190"/>
    <x v="5"/>
    <x v="0"/>
    <x v="17"/>
    <x v="0"/>
    <x v="17"/>
    <x v="17"/>
    <x v="0"/>
    <x v="0"/>
    <x v="2"/>
    <x v="1"/>
    <x v="4"/>
    <x v="4"/>
    <x v="190"/>
    <x v="0"/>
    <x v="0"/>
    <x v="17"/>
    <x v="0"/>
    <x v="5"/>
    <x v="2"/>
    <x v="10"/>
    <x v="190"/>
    <x v="6"/>
    <x v="0"/>
    <x v="190"/>
    <x v="2"/>
    <x v="3"/>
    <x v="0"/>
    <x v="190"/>
    <x v="2"/>
    <x v="0"/>
    <x v="190"/>
  </r>
  <r>
    <x v="2"/>
    <x v="8"/>
    <x v="15"/>
    <x v="190"/>
    <x v="191"/>
    <x v="2"/>
    <x v="0"/>
    <x v="17"/>
    <x v="0"/>
    <x v="17"/>
    <x v="17"/>
    <x v="0"/>
    <x v="0"/>
    <x v="2"/>
    <x v="1"/>
    <x v="4"/>
    <x v="4"/>
    <x v="191"/>
    <x v="0"/>
    <x v="0"/>
    <x v="17"/>
    <x v="0"/>
    <x v="5"/>
    <x v="2"/>
    <x v="10"/>
    <x v="191"/>
    <x v="6"/>
    <x v="0"/>
    <x v="191"/>
    <x v="2"/>
    <x v="3"/>
    <x v="0"/>
    <x v="191"/>
    <x v="2"/>
    <x v="0"/>
    <x v="191"/>
  </r>
  <r>
    <x v="0"/>
    <x v="2"/>
    <x v="22"/>
    <x v="191"/>
    <x v="192"/>
    <x v="5"/>
    <x v="0"/>
    <x v="17"/>
    <x v="0"/>
    <x v="17"/>
    <x v="17"/>
    <x v="0"/>
    <x v="0"/>
    <x v="2"/>
    <x v="1"/>
    <x v="4"/>
    <x v="4"/>
    <x v="192"/>
    <x v="0"/>
    <x v="0"/>
    <x v="17"/>
    <x v="0"/>
    <x v="5"/>
    <x v="2"/>
    <x v="10"/>
    <x v="192"/>
    <x v="6"/>
    <x v="0"/>
    <x v="192"/>
    <x v="2"/>
    <x v="3"/>
    <x v="0"/>
    <x v="192"/>
    <x v="2"/>
    <x v="0"/>
    <x v="192"/>
  </r>
  <r>
    <x v="1"/>
    <x v="3"/>
    <x v="4"/>
    <x v="192"/>
    <x v="193"/>
    <x v="2"/>
    <x v="0"/>
    <x v="17"/>
    <x v="0"/>
    <x v="17"/>
    <x v="17"/>
    <x v="0"/>
    <x v="0"/>
    <x v="2"/>
    <x v="1"/>
    <x v="4"/>
    <x v="4"/>
    <x v="193"/>
    <x v="0"/>
    <x v="0"/>
    <x v="17"/>
    <x v="0"/>
    <x v="5"/>
    <x v="2"/>
    <x v="10"/>
    <x v="193"/>
    <x v="6"/>
    <x v="0"/>
    <x v="193"/>
    <x v="2"/>
    <x v="3"/>
    <x v="0"/>
    <x v="193"/>
    <x v="2"/>
    <x v="0"/>
    <x v="193"/>
  </r>
  <r>
    <x v="1"/>
    <x v="3"/>
    <x v="4"/>
    <x v="193"/>
    <x v="194"/>
    <x v="5"/>
    <x v="0"/>
    <x v="17"/>
    <x v="0"/>
    <x v="17"/>
    <x v="17"/>
    <x v="0"/>
    <x v="0"/>
    <x v="2"/>
    <x v="1"/>
    <x v="4"/>
    <x v="4"/>
    <x v="194"/>
    <x v="0"/>
    <x v="0"/>
    <x v="17"/>
    <x v="0"/>
    <x v="5"/>
    <x v="2"/>
    <x v="10"/>
    <x v="194"/>
    <x v="6"/>
    <x v="0"/>
    <x v="194"/>
    <x v="0"/>
    <x v="3"/>
    <x v="0"/>
    <x v="194"/>
    <x v="2"/>
    <x v="0"/>
    <x v="194"/>
  </r>
  <r>
    <x v="2"/>
    <x v="8"/>
    <x v="15"/>
    <x v="12"/>
    <x v="195"/>
    <x v="2"/>
    <x v="0"/>
    <x v="17"/>
    <x v="0"/>
    <x v="17"/>
    <x v="17"/>
    <x v="0"/>
    <x v="0"/>
    <x v="2"/>
    <x v="1"/>
    <x v="4"/>
    <x v="4"/>
    <x v="12"/>
    <x v="0"/>
    <x v="0"/>
    <x v="17"/>
    <x v="0"/>
    <x v="5"/>
    <x v="2"/>
    <x v="10"/>
    <x v="195"/>
    <x v="6"/>
    <x v="0"/>
    <x v="12"/>
    <x v="2"/>
    <x v="3"/>
    <x v="0"/>
    <x v="195"/>
    <x v="2"/>
    <x v="0"/>
    <x v="12"/>
  </r>
  <r>
    <x v="2"/>
    <x v="7"/>
    <x v="13"/>
    <x v="194"/>
    <x v="196"/>
    <x v="5"/>
    <x v="0"/>
    <x v="17"/>
    <x v="0"/>
    <x v="17"/>
    <x v="17"/>
    <x v="0"/>
    <x v="0"/>
    <x v="2"/>
    <x v="1"/>
    <x v="4"/>
    <x v="4"/>
    <x v="195"/>
    <x v="0"/>
    <x v="0"/>
    <x v="17"/>
    <x v="0"/>
    <x v="5"/>
    <x v="2"/>
    <x v="10"/>
    <x v="196"/>
    <x v="6"/>
    <x v="0"/>
    <x v="195"/>
    <x v="2"/>
    <x v="3"/>
    <x v="0"/>
    <x v="196"/>
    <x v="2"/>
    <x v="0"/>
    <x v="195"/>
  </r>
  <r>
    <x v="0"/>
    <x v="1"/>
    <x v="9"/>
    <x v="195"/>
    <x v="197"/>
    <x v="5"/>
    <x v="0"/>
    <x v="17"/>
    <x v="0"/>
    <x v="17"/>
    <x v="17"/>
    <x v="0"/>
    <x v="0"/>
    <x v="2"/>
    <x v="1"/>
    <x v="4"/>
    <x v="4"/>
    <x v="196"/>
    <x v="0"/>
    <x v="0"/>
    <x v="17"/>
    <x v="0"/>
    <x v="5"/>
    <x v="2"/>
    <x v="10"/>
    <x v="197"/>
    <x v="6"/>
    <x v="0"/>
    <x v="196"/>
    <x v="2"/>
    <x v="3"/>
    <x v="0"/>
    <x v="197"/>
    <x v="2"/>
    <x v="0"/>
    <x v="196"/>
  </r>
  <r>
    <x v="1"/>
    <x v="3"/>
    <x v="20"/>
    <x v="196"/>
    <x v="198"/>
    <x v="5"/>
    <x v="0"/>
    <x v="17"/>
    <x v="0"/>
    <x v="17"/>
    <x v="17"/>
    <x v="0"/>
    <x v="0"/>
    <x v="2"/>
    <x v="1"/>
    <x v="4"/>
    <x v="4"/>
    <x v="197"/>
    <x v="0"/>
    <x v="0"/>
    <x v="17"/>
    <x v="0"/>
    <x v="5"/>
    <x v="2"/>
    <x v="10"/>
    <x v="198"/>
    <x v="6"/>
    <x v="0"/>
    <x v="197"/>
    <x v="2"/>
    <x v="3"/>
    <x v="0"/>
    <x v="198"/>
    <x v="2"/>
    <x v="0"/>
    <x v="197"/>
  </r>
  <r>
    <x v="1"/>
    <x v="3"/>
    <x v="4"/>
    <x v="197"/>
    <x v="199"/>
    <x v="5"/>
    <x v="0"/>
    <x v="17"/>
    <x v="0"/>
    <x v="17"/>
    <x v="17"/>
    <x v="0"/>
    <x v="0"/>
    <x v="2"/>
    <x v="1"/>
    <x v="4"/>
    <x v="4"/>
    <x v="198"/>
    <x v="0"/>
    <x v="0"/>
    <x v="17"/>
    <x v="0"/>
    <x v="5"/>
    <x v="2"/>
    <x v="10"/>
    <x v="199"/>
    <x v="6"/>
    <x v="0"/>
    <x v="198"/>
    <x v="2"/>
    <x v="3"/>
    <x v="0"/>
    <x v="199"/>
    <x v="2"/>
    <x v="0"/>
    <x v="198"/>
  </r>
  <r>
    <x v="1"/>
    <x v="3"/>
    <x v="4"/>
    <x v="198"/>
    <x v="200"/>
    <x v="5"/>
    <x v="0"/>
    <x v="17"/>
    <x v="0"/>
    <x v="17"/>
    <x v="17"/>
    <x v="0"/>
    <x v="0"/>
    <x v="2"/>
    <x v="1"/>
    <x v="4"/>
    <x v="4"/>
    <x v="199"/>
    <x v="0"/>
    <x v="0"/>
    <x v="17"/>
    <x v="0"/>
    <x v="5"/>
    <x v="2"/>
    <x v="10"/>
    <x v="200"/>
    <x v="6"/>
    <x v="0"/>
    <x v="199"/>
    <x v="2"/>
    <x v="3"/>
    <x v="0"/>
    <x v="200"/>
    <x v="2"/>
    <x v="0"/>
    <x v="199"/>
  </r>
  <r>
    <x v="2"/>
    <x v="8"/>
    <x v="23"/>
    <x v="199"/>
    <x v="201"/>
    <x v="5"/>
    <x v="0"/>
    <x v="17"/>
    <x v="0"/>
    <x v="17"/>
    <x v="17"/>
    <x v="0"/>
    <x v="0"/>
    <x v="2"/>
    <x v="1"/>
    <x v="4"/>
    <x v="4"/>
    <x v="200"/>
    <x v="0"/>
    <x v="0"/>
    <x v="17"/>
    <x v="0"/>
    <x v="5"/>
    <x v="2"/>
    <x v="10"/>
    <x v="201"/>
    <x v="6"/>
    <x v="0"/>
    <x v="200"/>
    <x v="2"/>
    <x v="3"/>
    <x v="0"/>
    <x v="201"/>
    <x v="2"/>
    <x v="0"/>
    <x v="200"/>
  </r>
  <r>
    <x v="2"/>
    <x v="7"/>
    <x v="24"/>
    <x v="200"/>
    <x v="202"/>
    <x v="5"/>
    <x v="0"/>
    <x v="17"/>
    <x v="0"/>
    <x v="17"/>
    <x v="17"/>
    <x v="0"/>
    <x v="0"/>
    <x v="2"/>
    <x v="1"/>
    <x v="4"/>
    <x v="4"/>
    <x v="201"/>
    <x v="0"/>
    <x v="0"/>
    <x v="17"/>
    <x v="0"/>
    <x v="5"/>
    <x v="2"/>
    <x v="10"/>
    <x v="202"/>
    <x v="6"/>
    <x v="0"/>
    <x v="201"/>
    <x v="2"/>
    <x v="3"/>
    <x v="0"/>
    <x v="202"/>
    <x v="2"/>
    <x v="0"/>
    <x v="201"/>
  </r>
  <r>
    <x v="1"/>
    <x v="3"/>
    <x v="6"/>
    <x v="201"/>
    <x v="203"/>
    <x v="5"/>
    <x v="0"/>
    <x v="17"/>
    <x v="0"/>
    <x v="17"/>
    <x v="17"/>
    <x v="0"/>
    <x v="0"/>
    <x v="2"/>
    <x v="1"/>
    <x v="4"/>
    <x v="4"/>
    <x v="202"/>
    <x v="0"/>
    <x v="0"/>
    <x v="17"/>
    <x v="0"/>
    <x v="5"/>
    <x v="2"/>
    <x v="10"/>
    <x v="203"/>
    <x v="6"/>
    <x v="0"/>
    <x v="202"/>
    <x v="2"/>
    <x v="3"/>
    <x v="0"/>
    <x v="203"/>
    <x v="2"/>
    <x v="0"/>
    <x v="202"/>
  </r>
  <r>
    <x v="0"/>
    <x v="1"/>
    <x v="9"/>
    <x v="202"/>
    <x v="204"/>
    <x v="5"/>
    <x v="0"/>
    <x v="17"/>
    <x v="0"/>
    <x v="17"/>
    <x v="17"/>
    <x v="0"/>
    <x v="0"/>
    <x v="2"/>
    <x v="1"/>
    <x v="4"/>
    <x v="4"/>
    <x v="203"/>
    <x v="0"/>
    <x v="0"/>
    <x v="17"/>
    <x v="0"/>
    <x v="5"/>
    <x v="2"/>
    <x v="10"/>
    <x v="204"/>
    <x v="6"/>
    <x v="0"/>
    <x v="203"/>
    <x v="2"/>
    <x v="3"/>
    <x v="0"/>
    <x v="204"/>
    <x v="2"/>
    <x v="0"/>
    <x v="203"/>
  </r>
  <r>
    <x v="2"/>
    <x v="8"/>
    <x v="15"/>
    <x v="203"/>
    <x v="205"/>
    <x v="5"/>
    <x v="0"/>
    <x v="17"/>
    <x v="0"/>
    <x v="17"/>
    <x v="17"/>
    <x v="0"/>
    <x v="0"/>
    <x v="2"/>
    <x v="1"/>
    <x v="4"/>
    <x v="4"/>
    <x v="204"/>
    <x v="0"/>
    <x v="0"/>
    <x v="17"/>
    <x v="0"/>
    <x v="5"/>
    <x v="2"/>
    <x v="10"/>
    <x v="205"/>
    <x v="6"/>
    <x v="0"/>
    <x v="204"/>
    <x v="2"/>
    <x v="3"/>
    <x v="0"/>
    <x v="205"/>
    <x v="2"/>
    <x v="0"/>
    <x v="204"/>
  </r>
  <r>
    <x v="2"/>
    <x v="8"/>
    <x v="15"/>
    <x v="204"/>
    <x v="206"/>
    <x v="5"/>
    <x v="0"/>
    <x v="17"/>
    <x v="0"/>
    <x v="17"/>
    <x v="17"/>
    <x v="0"/>
    <x v="0"/>
    <x v="2"/>
    <x v="1"/>
    <x v="4"/>
    <x v="4"/>
    <x v="205"/>
    <x v="0"/>
    <x v="0"/>
    <x v="17"/>
    <x v="0"/>
    <x v="5"/>
    <x v="2"/>
    <x v="10"/>
    <x v="206"/>
    <x v="6"/>
    <x v="0"/>
    <x v="205"/>
    <x v="2"/>
    <x v="3"/>
    <x v="0"/>
    <x v="206"/>
    <x v="2"/>
    <x v="0"/>
    <x v="205"/>
  </r>
  <r>
    <x v="2"/>
    <x v="7"/>
    <x v="18"/>
    <x v="205"/>
    <x v="207"/>
    <x v="5"/>
    <x v="0"/>
    <x v="17"/>
    <x v="0"/>
    <x v="17"/>
    <x v="17"/>
    <x v="0"/>
    <x v="0"/>
    <x v="2"/>
    <x v="1"/>
    <x v="4"/>
    <x v="4"/>
    <x v="206"/>
    <x v="0"/>
    <x v="0"/>
    <x v="17"/>
    <x v="0"/>
    <x v="5"/>
    <x v="2"/>
    <x v="10"/>
    <x v="207"/>
    <x v="6"/>
    <x v="0"/>
    <x v="206"/>
    <x v="2"/>
    <x v="3"/>
    <x v="0"/>
    <x v="207"/>
    <x v="2"/>
    <x v="0"/>
    <x v="206"/>
  </r>
  <r>
    <x v="0"/>
    <x v="2"/>
    <x v="22"/>
    <x v="206"/>
    <x v="208"/>
    <x v="5"/>
    <x v="0"/>
    <x v="17"/>
    <x v="0"/>
    <x v="17"/>
    <x v="17"/>
    <x v="0"/>
    <x v="0"/>
    <x v="2"/>
    <x v="1"/>
    <x v="4"/>
    <x v="4"/>
    <x v="207"/>
    <x v="0"/>
    <x v="0"/>
    <x v="17"/>
    <x v="0"/>
    <x v="5"/>
    <x v="2"/>
    <x v="10"/>
    <x v="208"/>
    <x v="6"/>
    <x v="0"/>
    <x v="207"/>
    <x v="2"/>
    <x v="3"/>
    <x v="0"/>
    <x v="208"/>
    <x v="2"/>
    <x v="0"/>
    <x v="207"/>
  </r>
  <r>
    <x v="2"/>
    <x v="8"/>
    <x v="23"/>
    <x v="207"/>
    <x v="209"/>
    <x v="5"/>
    <x v="0"/>
    <x v="17"/>
    <x v="0"/>
    <x v="17"/>
    <x v="17"/>
    <x v="0"/>
    <x v="0"/>
    <x v="2"/>
    <x v="1"/>
    <x v="4"/>
    <x v="4"/>
    <x v="208"/>
    <x v="0"/>
    <x v="0"/>
    <x v="17"/>
    <x v="0"/>
    <x v="5"/>
    <x v="2"/>
    <x v="10"/>
    <x v="209"/>
    <x v="6"/>
    <x v="0"/>
    <x v="208"/>
    <x v="2"/>
    <x v="3"/>
    <x v="0"/>
    <x v="209"/>
    <x v="2"/>
    <x v="0"/>
    <x v="208"/>
  </r>
  <r>
    <x v="2"/>
    <x v="8"/>
    <x v="23"/>
    <x v="208"/>
    <x v="210"/>
    <x v="1"/>
    <x v="1"/>
    <x v="17"/>
    <x v="0"/>
    <x v="17"/>
    <x v="17"/>
    <x v="0"/>
    <x v="0"/>
    <x v="2"/>
    <x v="1"/>
    <x v="4"/>
    <x v="4"/>
    <x v="209"/>
    <x v="0"/>
    <x v="0"/>
    <x v="17"/>
    <x v="0"/>
    <x v="5"/>
    <x v="2"/>
    <x v="10"/>
    <x v="210"/>
    <x v="6"/>
    <x v="0"/>
    <x v="209"/>
    <x v="0"/>
    <x v="3"/>
    <x v="0"/>
    <x v="210"/>
    <x v="2"/>
    <x v="0"/>
    <x v="209"/>
  </r>
  <r>
    <x v="2"/>
    <x v="8"/>
    <x v="15"/>
    <x v="209"/>
    <x v="211"/>
    <x v="5"/>
    <x v="0"/>
    <x v="17"/>
    <x v="0"/>
    <x v="17"/>
    <x v="17"/>
    <x v="0"/>
    <x v="0"/>
    <x v="2"/>
    <x v="1"/>
    <x v="4"/>
    <x v="4"/>
    <x v="210"/>
    <x v="0"/>
    <x v="0"/>
    <x v="17"/>
    <x v="0"/>
    <x v="5"/>
    <x v="2"/>
    <x v="10"/>
    <x v="211"/>
    <x v="6"/>
    <x v="0"/>
    <x v="210"/>
    <x v="2"/>
    <x v="3"/>
    <x v="0"/>
    <x v="211"/>
    <x v="2"/>
    <x v="0"/>
    <x v="210"/>
  </r>
  <r>
    <x v="0"/>
    <x v="0"/>
    <x v="8"/>
    <x v="210"/>
    <x v="212"/>
    <x v="5"/>
    <x v="0"/>
    <x v="17"/>
    <x v="0"/>
    <x v="17"/>
    <x v="17"/>
    <x v="0"/>
    <x v="0"/>
    <x v="2"/>
    <x v="1"/>
    <x v="4"/>
    <x v="4"/>
    <x v="211"/>
    <x v="0"/>
    <x v="0"/>
    <x v="17"/>
    <x v="0"/>
    <x v="5"/>
    <x v="2"/>
    <x v="10"/>
    <x v="212"/>
    <x v="6"/>
    <x v="0"/>
    <x v="211"/>
    <x v="2"/>
    <x v="3"/>
    <x v="0"/>
    <x v="212"/>
    <x v="2"/>
    <x v="0"/>
    <x v="211"/>
  </r>
  <r>
    <x v="2"/>
    <x v="9"/>
    <x v="16"/>
    <x v="211"/>
    <x v="213"/>
    <x v="5"/>
    <x v="0"/>
    <x v="17"/>
    <x v="0"/>
    <x v="17"/>
    <x v="17"/>
    <x v="0"/>
    <x v="0"/>
    <x v="2"/>
    <x v="1"/>
    <x v="4"/>
    <x v="4"/>
    <x v="212"/>
    <x v="0"/>
    <x v="0"/>
    <x v="17"/>
    <x v="0"/>
    <x v="5"/>
    <x v="2"/>
    <x v="10"/>
    <x v="213"/>
    <x v="6"/>
    <x v="0"/>
    <x v="212"/>
    <x v="2"/>
    <x v="3"/>
    <x v="0"/>
    <x v="213"/>
    <x v="2"/>
    <x v="0"/>
    <x v="212"/>
  </r>
  <r>
    <x v="2"/>
    <x v="7"/>
    <x v="24"/>
    <x v="212"/>
    <x v="214"/>
    <x v="5"/>
    <x v="0"/>
    <x v="17"/>
    <x v="0"/>
    <x v="17"/>
    <x v="17"/>
    <x v="0"/>
    <x v="0"/>
    <x v="2"/>
    <x v="1"/>
    <x v="4"/>
    <x v="4"/>
    <x v="213"/>
    <x v="0"/>
    <x v="0"/>
    <x v="17"/>
    <x v="0"/>
    <x v="5"/>
    <x v="2"/>
    <x v="10"/>
    <x v="214"/>
    <x v="6"/>
    <x v="0"/>
    <x v="213"/>
    <x v="2"/>
    <x v="3"/>
    <x v="0"/>
    <x v="214"/>
    <x v="2"/>
    <x v="0"/>
    <x v="213"/>
  </r>
  <r>
    <x v="2"/>
    <x v="6"/>
    <x v="11"/>
    <x v="213"/>
    <x v="215"/>
    <x v="5"/>
    <x v="0"/>
    <x v="17"/>
    <x v="0"/>
    <x v="17"/>
    <x v="17"/>
    <x v="0"/>
    <x v="0"/>
    <x v="2"/>
    <x v="1"/>
    <x v="4"/>
    <x v="4"/>
    <x v="214"/>
    <x v="0"/>
    <x v="0"/>
    <x v="17"/>
    <x v="0"/>
    <x v="5"/>
    <x v="2"/>
    <x v="10"/>
    <x v="215"/>
    <x v="6"/>
    <x v="0"/>
    <x v="214"/>
    <x v="0"/>
    <x v="3"/>
    <x v="0"/>
    <x v="215"/>
    <x v="2"/>
    <x v="0"/>
    <x v="214"/>
  </r>
  <r>
    <x v="2"/>
    <x v="6"/>
    <x v="11"/>
    <x v="214"/>
    <x v="216"/>
    <x v="5"/>
    <x v="0"/>
    <x v="17"/>
    <x v="0"/>
    <x v="17"/>
    <x v="17"/>
    <x v="0"/>
    <x v="0"/>
    <x v="2"/>
    <x v="1"/>
    <x v="4"/>
    <x v="4"/>
    <x v="215"/>
    <x v="0"/>
    <x v="0"/>
    <x v="17"/>
    <x v="0"/>
    <x v="5"/>
    <x v="2"/>
    <x v="10"/>
    <x v="216"/>
    <x v="6"/>
    <x v="0"/>
    <x v="215"/>
    <x v="2"/>
    <x v="3"/>
    <x v="0"/>
    <x v="216"/>
    <x v="2"/>
    <x v="0"/>
    <x v="215"/>
  </r>
  <r>
    <x v="2"/>
    <x v="8"/>
    <x v="15"/>
    <x v="215"/>
    <x v="217"/>
    <x v="5"/>
    <x v="0"/>
    <x v="17"/>
    <x v="0"/>
    <x v="17"/>
    <x v="17"/>
    <x v="0"/>
    <x v="0"/>
    <x v="2"/>
    <x v="1"/>
    <x v="4"/>
    <x v="4"/>
    <x v="216"/>
    <x v="0"/>
    <x v="0"/>
    <x v="17"/>
    <x v="0"/>
    <x v="5"/>
    <x v="2"/>
    <x v="10"/>
    <x v="217"/>
    <x v="6"/>
    <x v="0"/>
    <x v="216"/>
    <x v="2"/>
    <x v="3"/>
    <x v="0"/>
    <x v="217"/>
    <x v="2"/>
    <x v="0"/>
    <x v="216"/>
  </r>
  <r>
    <x v="3"/>
    <x v="11"/>
    <x v="25"/>
    <x v="216"/>
    <x v="218"/>
    <x v="5"/>
    <x v="0"/>
    <x v="17"/>
    <x v="0"/>
    <x v="17"/>
    <x v="17"/>
    <x v="0"/>
    <x v="0"/>
    <x v="2"/>
    <x v="1"/>
    <x v="4"/>
    <x v="4"/>
    <x v="217"/>
    <x v="0"/>
    <x v="0"/>
    <x v="17"/>
    <x v="0"/>
    <x v="5"/>
    <x v="2"/>
    <x v="10"/>
    <x v="218"/>
    <x v="6"/>
    <x v="0"/>
    <x v="217"/>
    <x v="2"/>
    <x v="3"/>
    <x v="0"/>
    <x v="218"/>
    <x v="2"/>
    <x v="0"/>
    <x v="217"/>
  </r>
  <r>
    <x v="3"/>
    <x v="11"/>
    <x v="25"/>
    <x v="217"/>
    <x v="219"/>
    <x v="5"/>
    <x v="0"/>
    <x v="17"/>
    <x v="0"/>
    <x v="17"/>
    <x v="17"/>
    <x v="0"/>
    <x v="0"/>
    <x v="2"/>
    <x v="1"/>
    <x v="4"/>
    <x v="4"/>
    <x v="218"/>
    <x v="0"/>
    <x v="0"/>
    <x v="17"/>
    <x v="0"/>
    <x v="5"/>
    <x v="2"/>
    <x v="10"/>
    <x v="219"/>
    <x v="6"/>
    <x v="0"/>
    <x v="218"/>
    <x v="2"/>
    <x v="3"/>
    <x v="0"/>
    <x v="219"/>
    <x v="2"/>
    <x v="0"/>
    <x v="218"/>
  </r>
  <r>
    <x v="0"/>
    <x v="2"/>
    <x v="22"/>
    <x v="218"/>
    <x v="220"/>
    <x v="5"/>
    <x v="0"/>
    <x v="17"/>
    <x v="0"/>
    <x v="17"/>
    <x v="17"/>
    <x v="0"/>
    <x v="0"/>
    <x v="2"/>
    <x v="1"/>
    <x v="4"/>
    <x v="4"/>
    <x v="219"/>
    <x v="0"/>
    <x v="0"/>
    <x v="17"/>
    <x v="0"/>
    <x v="5"/>
    <x v="2"/>
    <x v="10"/>
    <x v="220"/>
    <x v="6"/>
    <x v="0"/>
    <x v="219"/>
    <x v="2"/>
    <x v="3"/>
    <x v="0"/>
    <x v="220"/>
    <x v="2"/>
    <x v="0"/>
    <x v="219"/>
  </r>
  <r>
    <x v="0"/>
    <x v="2"/>
    <x v="22"/>
    <x v="219"/>
    <x v="221"/>
    <x v="5"/>
    <x v="0"/>
    <x v="17"/>
    <x v="0"/>
    <x v="17"/>
    <x v="17"/>
    <x v="0"/>
    <x v="0"/>
    <x v="2"/>
    <x v="1"/>
    <x v="4"/>
    <x v="4"/>
    <x v="220"/>
    <x v="0"/>
    <x v="0"/>
    <x v="17"/>
    <x v="0"/>
    <x v="5"/>
    <x v="2"/>
    <x v="10"/>
    <x v="221"/>
    <x v="6"/>
    <x v="0"/>
    <x v="220"/>
    <x v="2"/>
    <x v="3"/>
    <x v="0"/>
    <x v="221"/>
    <x v="2"/>
    <x v="0"/>
    <x v="220"/>
  </r>
  <r>
    <x v="2"/>
    <x v="7"/>
    <x v="18"/>
    <x v="220"/>
    <x v="222"/>
    <x v="5"/>
    <x v="0"/>
    <x v="17"/>
    <x v="0"/>
    <x v="17"/>
    <x v="17"/>
    <x v="0"/>
    <x v="0"/>
    <x v="2"/>
    <x v="1"/>
    <x v="4"/>
    <x v="4"/>
    <x v="221"/>
    <x v="0"/>
    <x v="0"/>
    <x v="17"/>
    <x v="0"/>
    <x v="5"/>
    <x v="2"/>
    <x v="10"/>
    <x v="222"/>
    <x v="6"/>
    <x v="0"/>
    <x v="221"/>
    <x v="2"/>
    <x v="3"/>
    <x v="0"/>
    <x v="222"/>
    <x v="2"/>
    <x v="0"/>
    <x v="221"/>
  </r>
  <r>
    <x v="0"/>
    <x v="1"/>
    <x v="1"/>
    <x v="221"/>
    <x v="223"/>
    <x v="0"/>
    <x v="0"/>
    <x v="17"/>
    <x v="0"/>
    <x v="17"/>
    <x v="17"/>
    <x v="0"/>
    <x v="0"/>
    <x v="2"/>
    <x v="1"/>
    <x v="4"/>
    <x v="4"/>
    <x v="222"/>
    <x v="0"/>
    <x v="0"/>
    <x v="17"/>
    <x v="0"/>
    <x v="5"/>
    <x v="2"/>
    <x v="10"/>
    <x v="223"/>
    <x v="6"/>
    <x v="0"/>
    <x v="222"/>
    <x v="2"/>
    <x v="3"/>
    <x v="0"/>
    <x v="223"/>
    <x v="2"/>
    <x v="0"/>
    <x v="222"/>
  </r>
  <r>
    <x v="1"/>
    <x v="3"/>
    <x v="4"/>
    <x v="222"/>
    <x v="224"/>
    <x v="2"/>
    <x v="0"/>
    <x v="17"/>
    <x v="0"/>
    <x v="17"/>
    <x v="17"/>
    <x v="0"/>
    <x v="0"/>
    <x v="2"/>
    <x v="1"/>
    <x v="4"/>
    <x v="4"/>
    <x v="223"/>
    <x v="0"/>
    <x v="0"/>
    <x v="17"/>
    <x v="0"/>
    <x v="5"/>
    <x v="2"/>
    <x v="10"/>
    <x v="224"/>
    <x v="6"/>
    <x v="0"/>
    <x v="223"/>
    <x v="0"/>
    <x v="3"/>
    <x v="0"/>
    <x v="224"/>
    <x v="2"/>
    <x v="0"/>
    <x v="223"/>
  </r>
  <r>
    <x v="3"/>
    <x v="11"/>
    <x v="25"/>
    <x v="223"/>
    <x v="225"/>
    <x v="5"/>
    <x v="0"/>
    <x v="17"/>
    <x v="0"/>
    <x v="17"/>
    <x v="17"/>
    <x v="0"/>
    <x v="0"/>
    <x v="2"/>
    <x v="1"/>
    <x v="4"/>
    <x v="4"/>
    <x v="224"/>
    <x v="0"/>
    <x v="0"/>
    <x v="17"/>
    <x v="0"/>
    <x v="5"/>
    <x v="2"/>
    <x v="10"/>
    <x v="225"/>
    <x v="6"/>
    <x v="0"/>
    <x v="224"/>
    <x v="2"/>
    <x v="3"/>
    <x v="0"/>
    <x v="225"/>
    <x v="2"/>
    <x v="0"/>
    <x v="224"/>
  </r>
  <r>
    <x v="0"/>
    <x v="2"/>
    <x v="22"/>
    <x v="224"/>
    <x v="226"/>
    <x v="5"/>
    <x v="0"/>
    <x v="17"/>
    <x v="0"/>
    <x v="17"/>
    <x v="17"/>
    <x v="0"/>
    <x v="0"/>
    <x v="2"/>
    <x v="1"/>
    <x v="4"/>
    <x v="4"/>
    <x v="225"/>
    <x v="0"/>
    <x v="0"/>
    <x v="17"/>
    <x v="0"/>
    <x v="5"/>
    <x v="2"/>
    <x v="10"/>
    <x v="226"/>
    <x v="6"/>
    <x v="0"/>
    <x v="225"/>
    <x v="2"/>
    <x v="3"/>
    <x v="0"/>
    <x v="226"/>
    <x v="2"/>
    <x v="0"/>
    <x v="225"/>
  </r>
  <r>
    <x v="2"/>
    <x v="7"/>
    <x v="24"/>
    <x v="225"/>
    <x v="227"/>
    <x v="0"/>
    <x v="0"/>
    <x v="17"/>
    <x v="0"/>
    <x v="17"/>
    <x v="17"/>
    <x v="0"/>
    <x v="0"/>
    <x v="2"/>
    <x v="1"/>
    <x v="4"/>
    <x v="4"/>
    <x v="226"/>
    <x v="0"/>
    <x v="0"/>
    <x v="17"/>
    <x v="0"/>
    <x v="5"/>
    <x v="2"/>
    <x v="10"/>
    <x v="227"/>
    <x v="6"/>
    <x v="0"/>
    <x v="226"/>
    <x v="2"/>
    <x v="3"/>
    <x v="0"/>
    <x v="227"/>
    <x v="2"/>
    <x v="0"/>
    <x v="226"/>
  </r>
  <r>
    <x v="1"/>
    <x v="3"/>
    <x v="20"/>
    <x v="44"/>
    <x v="228"/>
    <x v="5"/>
    <x v="0"/>
    <x v="17"/>
    <x v="0"/>
    <x v="17"/>
    <x v="17"/>
    <x v="0"/>
    <x v="0"/>
    <x v="2"/>
    <x v="1"/>
    <x v="4"/>
    <x v="4"/>
    <x v="227"/>
    <x v="0"/>
    <x v="0"/>
    <x v="17"/>
    <x v="0"/>
    <x v="5"/>
    <x v="2"/>
    <x v="10"/>
    <x v="228"/>
    <x v="6"/>
    <x v="0"/>
    <x v="227"/>
    <x v="2"/>
    <x v="3"/>
    <x v="0"/>
    <x v="228"/>
    <x v="2"/>
    <x v="0"/>
    <x v="227"/>
  </r>
  <r>
    <x v="0"/>
    <x v="2"/>
    <x v="3"/>
    <x v="226"/>
    <x v="229"/>
    <x v="5"/>
    <x v="0"/>
    <x v="17"/>
    <x v="0"/>
    <x v="17"/>
    <x v="17"/>
    <x v="0"/>
    <x v="0"/>
    <x v="2"/>
    <x v="1"/>
    <x v="4"/>
    <x v="4"/>
    <x v="228"/>
    <x v="0"/>
    <x v="0"/>
    <x v="17"/>
    <x v="0"/>
    <x v="5"/>
    <x v="2"/>
    <x v="10"/>
    <x v="229"/>
    <x v="6"/>
    <x v="0"/>
    <x v="228"/>
    <x v="2"/>
    <x v="3"/>
    <x v="0"/>
    <x v="229"/>
    <x v="2"/>
    <x v="0"/>
    <x v="228"/>
  </r>
  <r>
    <x v="0"/>
    <x v="0"/>
    <x v="12"/>
    <x v="227"/>
    <x v="230"/>
    <x v="1"/>
    <x v="1"/>
    <x v="17"/>
    <x v="0"/>
    <x v="17"/>
    <x v="17"/>
    <x v="0"/>
    <x v="0"/>
    <x v="2"/>
    <x v="1"/>
    <x v="4"/>
    <x v="4"/>
    <x v="229"/>
    <x v="0"/>
    <x v="0"/>
    <x v="17"/>
    <x v="0"/>
    <x v="5"/>
    <x v="2"/>
    <x v="10"/>
    <x v="230"/>
    <x v="6"/>
    <x v="0"/>
    <x v="229"/>
    <x v="0"/>
    <x v="3"/>
    <x v="0"/>
    <x v="230"/>
    <x v="2"/>
    <x v="0"/>
    <x v="229"/>
  </r>
  <r>
    <x v="3"/>
    <x v="11"/>
    <x v="25"/>
    <x v="228"/>
    <x v="231"/>
    <x v="5"/>
    <x v="0"/>
    <x v="17"/>
    <x v="0"/>
    <x v="17"/>
    <x v="17"/>
    <x v="0"/>
    <x v="0"/>
    <x v="2"/>
    <x v="1"/>
    <x v="4"/>
    <x v="4"/>
    <x v="230"/>
    <x v="0"/>
    <x v="0"/>
    <x v="17"/>
    <x v="0"/>
    <x v="5"/>
    <x v="2"/>
    <x v="10"/>
    <x v="231"/>
    <x v="6"/>
    <x v="0"/>
    <x v="230"/>
    <x v="2"/>
    <x v="3"/>
    <x v="0"/>
    <x v="231"/>
    <x v="2"/>
    <x v="0"/>
    <x v="230"/>
  </r>
  <r>
    <x v="0"/>
    <x v="2"/>
    <x v="22"/>
    <x v="229"/>
    <x v="232"/>
    <x v="5"/>
    <x v="0"/>
    <x v="17"/>
    <x v="0"/>
    <x v="17"/>
    <x v="17"/>
    <x v="0"/>
    <x v="0"/>
    <x v="2"/>
    <x v="1"/>
    <x v="4"/>
    <x v="4"/>
    <x v="231"/>
    <x v="0"/>
    <x v="0"/>
    <x v="17"/>
    <x v="0"/>
    <x v="5"/>
    <x v="2"/>
    <x v="10"/>
    <x v="232"/>
    <x v="6"/>
    <x v="0"/>
    <x v="231"/>
    <x v="2"/>
    <x v="3"/>
    <x v="0"/>
    <x v="232"/>
    <x v="2"/>
    <x v="0"/>
    <x v="231"/>
  </r>
  <r>
    <x v="2"/>
    <x v="7"/>
    <x v="24"/>
    <x v="230"/>
    <x v="233"/>
    <x v="5"/>
    <x v="0"/>
    <x v="17"/>
    <x v="0"/>
    <x v="17"/>
    <x v="17"/>
    <x v="0"/>
    <x v="0"/>
    <x v="2"/>
    <x v="1"/>
    <x v="4"/>
    <x v="4"/>
    <x v="232"/>
    <x v="0"/>
    <x v="0"/>
    <x v="17"/>
    <x v="0"/>
    <x v="5"/>
    <x v="2"/>
    <x v="10"/>
    <x v="233"/>
    <x v="6"/>
    <x v="0"/>
    <x v="232"/>
    <x v="2"/>
    <x v="3"/>
    <x v="0"/>
    <x v="233"/>
    <x v="2"/>
    <x v="0"/>
    <x v="232"/>
  </r>
  <r>
    <x v="2"/>
    <x v="7"/>
    <x v="24"/>
    <x v="231"/>
    <x v="234"/>
    <x v="5"/>
    <x v="0"/>
    <x v="17"/>
    <x v="0"/>
    <x v="17"/>
    <x v="17"/>
    <x v="0"/>
    <x v="0"/>
    <x v="2"/>
    <x v="1"/>
    <x v="4"/>
    <x v="4"/>
    <x v="233"/>
    <x v="0"/>
    <x v="0"/>
    <x v="17"/>
    <x v="0"/>
    <x v="5"/>
    <x v="2"/>
    <x v="10"/>
    <x v="234"/>
    <x v="6"/>
    <x v="0"/>
    <x v="233"/>
    <x v="2"/>
    <x v="3"/>
    <x v="0"/>
    <x v="234"/>
    <x v="2"/>
    <x v="0"/>
    <x v="233"/>
  </r>
  <r>
    <x v="2"/>
    <x v="9"/>
    <x v="16"/>
    <x v="232"/>
    <x v="235"/>
    <x v="5"/>
    <x v="0"/>
    <x v="17"/>
    <x v="0"/>
    <x v="17"/>
    <x v="17"/>
    <x v="0"/>
    <x v="0"/>
    <x v="2"/>
    <x v="1"/>
    <x v="4"/>
    <x v="4"/>
    <x v="234"/>
    <x v="0"/>
    <x v="0"/>
    <x v="17"/>
    <x v="0"/>
    <x v="5"/>
    <x v="2"/>
    <x v="10"/>
    <x v="235"/>
    <x v="6"/>
    <x v="0"/>
    <x v="234"/>
    <x v="2"/>
    <x v="3"/>
    <x v="0"/>
    <x v="235"/>
    <x v="2"/>
    <x v="0"/>
    <x v="234"/>
  </r>
  <r>
    <x v="0"/>
    <x v="2"/>
    <x v="3"/>
    <x v="233"/>
    <x v="236"/>
    <x v="5"/>
    <x v="0"/>
    <x v="17"/>
    <x v="0"/>
    <x v="17"/>
    <x v="17"/>
    <x v="0"/>
    <x v="0"/>
    <x v="2"/>
    <x v="1"/>
    <x v="4"/>
    <x v="4"/>
    <x v="235"/>
    <x v="0"/>
    <x v="0"/>
    <x v="17"/>
    <x v="0"/>
    <x v="5"/>
    <x v="2"/>
    <x v="10"/>
    <x v="236"/>
    <x v="6"/>
    <x v="0"/>
    <x v="235"/>
    <x v="2"/>
    <x v="3"/>
    <x v="0"/>
    <x v="236"/>
    <x v="2"/>
    <x v="0"/>
    <x v="235"/>
  </r>
  <r>
    <x v="2"/>
    <x v="7"/>
    <x v="18"/>
    <x v="234"/>
    <x v="237"/>
    <x v="5"/>
    <x v="0"/>
    <x v="17"/>
    <x v="0"/>
    <x v="17"/>
    <x v="17"/>
    <x v="0"/>
    <x v="0"/>
    <x v="2"/>
    <x v="1"/>
    <x v="4"/>
    <x v="4"/>
    <x v="236"/>
    <x v="0"/>
    <x v="0"/>
    <x v="17"/>
    <x v="0"/>
    <x v="5"/>
    <x v="2"/>
    <x v="10"/>
    <x v="237"/>
    <x v="6"/>
    <x v="0"/>
    <x v="236"/>
    <x v="2"/>
    <x v="3"/>
    <x v="0"/>
    <x v="237"/>
    <x v="2"/>
    <x v="0"/>
    <x v="236"/>
  </r>
  <r>
    <x v="0"/>
    <x v="1"/>
    <x v="17"/>
    <x v="235"/>
    <x v="238"/>
    <x v="5"/>
    <x v="0"/>
    <x v="17"/>
    <x v="0"/>
    <x v="17"/>
    <x v="17"/>
    <x v="0"/>
    <x v="0"/>
    <x v="2"/>
    <x v="1"/>
    <x v="4"/>
    <x v="4"/>
    <x v="237"/>
    <x v="0"/>
    <x v="0"/>
    <x v="17"/>
    <x v="0"/>
    <x v="5"/>
    <x v="2"/>
    <x v="10"/>
    <x v="238"/>
    <x v="6"/>
    <x v="0"/>
    <x v="237"/>
    <x v="2"/>
    <x v="3"/>
    <x v="0"/>
    <x v="238"/>
    <x v="2"/>
    <x v="0"/>
    <x v="237"/>
  </r>
  <r>
    <x v="1"/>
    <x v="3"/>
    <x v="4"/>
    <x v="236"/>
    <x v="239"/>
    <x v="5"/>
    <x v="0"/>
    <x v="17"/>
    <x v="0"/>
    <x v="17"/>
    <x v="17"/>
    <x v="0"/>
    <x v="0"/>
    <x v="2"/>
    <x v="1"/>
    <x v="4"/>
    <x v="4"/>
    <x v="238"/>
    <x v="0"/>
    <x v="0"/>
    <x v="17"/>
    <x v="0"/>
    <x v="5"/>
    <x v="2"/>
    <x v="10"/>
    <x v="239"/>
    <x v="6"/>
    <x v="0"/>
    <x v="238"/>
    <x v="2"/>
    <x v="3"/>
    <x v="0"/>
    <x v="239"/>
    <x v="2"/>
    <x v="0"/>
    <x v="238"/>
  </r>
  <r>
    <x v="0"/>
    <x v="1"/>
    <x v="7"/>
    <x v="237"/>
    <x v="240"/>
    <x v="5"/>
    <x v="0"/>
    <x v="17"/>
    <x v="0"/>
    <x v="17"/>
    <x v="17"/>
    <x v="0"/>
    <x v="0"/>
    <x v="2"/>
    <x v="1"/>
    <x v="4"/>
    <x v="4"/>
    <x v="239"/>
    <x v="0"/>
    <x v="0"/>
    <x v="17"/>
    <x v="0"/>
    <x v="5"/>
    <x v="2"/>
    <x v="10"/>
    <x v="240"/>
    <x v="6"/>
    <x v="0"/>
    <x v="239"/>
    <x v="0"/>
    <x v="3"/>
    <x v="0"/>
    <x v="240"/>
    <x v="2"/>
    <x v="0"/>
    <x v="239"/>
  </r>
  <r>
    <x v="2"/>
    <x v="9"/>
    <x v="16"/>
    <x v="238"/>
    <x v="241"/>
    <x v="5"/>
    <x v="0"/>
    <x v="17"/>
    <x v="0"/>
    <x v="17"/>
    <x v="17"/>
    <x v="0"/>
    <x v="0"/>
    <x v="2"/>
    <x v="1"/>
    <x v="4"/>
    <x v="4"/>
    <x v="240"/>
    <x v="0"/>
    <x v="0"/>
    <x v="17"/>
    <x v="0"/>
    <x v="5"/>
    <x v="2"/>
    <x v="10"/>
    <x v="241"/>
    <x v="6"/>
    <x v="0"/>
    <x v="240"/>
    <x v="2"/>
    <x v="3"/>
    <x v="0"/>
    <x v="241"/>
    <x v="2"/>
    <x v="0"/>
    <x v="240"/>
  </r>
  <r>
    <x v="1"/>
    <x v="3"/>
    <x v="6"/>
    <x v="239"/>
    <x v="242"/>
    <x v="5"/>
    <x v="0"/>
    <x v="17"/>
    <x v="0"/>
    <x v="17"/>
    <x v="17"/>
    <x v="0"/>
    <x v="0"/>
    <x v="2"/>
    <x v="1"/>
    <x v="4"/>
    <x v="4"/>
    <x v="241"/>
    <x v="0"/>
    <x v="0"/>
    <x v="17"/>
    <x v="0"/>
    <x v="5"/>
    <x v="2"/>
    <x v="10"/>
    <x v="242"/>
    <x v="6"/>
    <x v="0"/>
    <x v="241"/>
    <x v="2"/>
    <x v="3"/>
    <x v="0"/>
    <x v="242"/>
    <x v="2"/>
    <x v="0"/>
    <x v="241"/>
  </r>
  <r>
    <x v="1"/>
    <x v="3"/>
    <x v="4"/>
    <x v="44"/>
    <x v="243"/>
    <x v="5"/>
    <x v="0"/>
    <x v="17"/>
    <x v="0"/>
    <x v="17"/>
    <x v="17"/>
    <x v="0"/>
    <x v="0"/>
    <x v="2"/>
    <x v="1"/>
    <x v="4"/>
    <x v="4"/>
    <x v="227"/>
    <x v="0"/>
    <x v="0"/>
    <x v="17"/>
    <x v="0"/>
    <x v="5"/>
    <x v="2"/>
    <x v="10"/>
    <x v="228"/>
    <x v="6"/>
    <x v="0"/>
    <x v="227"/>
    <x v="2"/>
    <x v="3"/>
    <x v="0"/>
    <x v="228"/>
    <x v="2"/>
    <x v="0"/>
    <x v="227"/>
  </r>
  <r>
    <x v="1"/>
    <x v="3"/>
    <x v="4"/>
    <x v="240"/>
    <x v="244"/>
    <x v="5"/>
    <x v="0"/>
    <x v="17"/>
    <x v="0"/>
    <x v="17"/>
    <x v="17"/>
    <x v="0"/>
    <x v="0"/>
    <x v="2"/>
    <x v="1"/>
    <x v="4"/>
    <x v="4"/>
    <x v="242"/>
    <x v="0"/>
    <x v="0"/>
    <x v="17"/>
    <x v="0"/>
    <x v="5"/>
    <x v="2"/>
    <x v="10"/>
    <x v="243"/>
    <x v="6"/>
    <x v="0"/>
    <x v="242"/>
    <x v="2"/>
    <x v="3"/>
    <x v="0"/>
    <x v="243"/>
    <x v="2"/>
    <x v="0"/>
    <x v="242"/>
  </r>
  <r>
    <x v="2"/>
    <x v="7"/>
    <x v="13"/>
    <x v="241"/>
    <x v="245"/>
    <x v="5"/>
    <x v="0"/>
    <x v="17"/>
    <x v="0"/>
    <x v="17"/>
    <x v="17"/>
    <x v="0"/>
    <x v="0"/>
    <x v="2"/>
    <x v="1"/>
    <x v="4"/>
    <x v="4"/>
    <x v="243"/>
    <x v="0"/>
    <x v="0"/>
    <x v="17"/>
    <x v="0"/>
    <x v="5"/>
    <x v="2"/>
    <x v="10"/>
    <x v="244"/>
    <x v="6"/>
    <x v="0"/>
    <x v="243"/>
    <x v="2"/>
    <x v="3"/>
    <x v="0"/>
    <x v="244"/>
    <x v="2"/>
    <x v="0"/>
    <x v="243"/>
  </r>
  <r>
    <x v="1"/>
    <x v="3"/>
    <x v="4"/>
    <x v="242"/>
    <x v="246"/>
    <x v="2"/>
    <x v="0"/>
    <x v="17"/>
    <x v="0"/>
    <x v="17"/>
    <x v="17"/>
    <x v="0"/>
    <x v="0"/>
    <x v="2"/>
    <x v="1"/>
    <x v="4"/>
    <x v="4"/>
    <x v="244"/>
    <x v="0"/>
    <x v="0"/>
    <x v="17"/>
    <x v="0"/>
    <x v="5"/>
    <x v="2"/>
    <x v="10"/>
    <x v="245"/>
    <x v="6"/>
    <x v="0"/>
    <x v="244"/>
    <x v="2"/>
    <x v="3"/>
    <x v="0"/>
    <x v="245"/>
    <x v="2"/>
    <x v="0"/>
    <x v="244"/>
  </r>
  <r>
    <x v="0"/>
    <x v="2"/>
    <x v="22"/>
    <x v="243"/>
    <x v="247"/>
    <x v="2"/>
    <x v="0"/>
    <x v="17"/>
    <x v="0"/>
    <x v="17"/>
    <x v="17"/>
    <x v="0"/>
    <x v="0"/>
    <x v="2"/>
    <x v="1"/>
    <x v="4"/>
    <x v="4"/>
    <x v="245"/>
    <x v="0"/>
    <x v="0"/>
    <x v="17"/>
    <x v="0"/>
    <x v="5"/>
    <x v="2"/>
    <x v="10"/>
    <x v="246"/>
    <x v="6"/>
    <x v="0"/>
    <x v="245"/>
    <x v="0"/>
    <x v="3"/>
    <x v="0"/>
    <x v="246"/>
    <x v="2"/>
    <x v="0"/>
    <x v="245"/>
  </r>
  <r>
    <x v="2"/>
    <x v="7"/>
    <x v="18"/>
    <x v="244"/>
    <x v="248"/>
    <x v="5"/>
    <x v="0"/>
    <x v="17"/>
    <x v="0"/>
    <x v="17"/>
    <x v="17"/>
    <x v="0"/>
    <x v="0"/>
    <x v="2"/>
    <x v="1"/>
    <x v="4"/>
    <x v="4"/>
    <x v="246"/>
    <x v="0"/>
    <x v="0"/>
    <x v="17"/>
    <x v="0"/>
    <x v="5"/>
    <x v="2"/>
    <x v="10"/>
    <x v="247"/>
    <x v="6"/>
    <x v="0"/>
    <x v="246"/>
    <x v="2"/>
    <x v="3"/>
    <x v="0"/>
    <x v="247"/>
    <x v="2"/>
    <x v="0"/>
    <x v="246"/>
  </r>
  <r>
    <x v="0"/>
    <x v="0"/>
    <x v="14"/>
    <x v="245"/>
    <x v="249"/>
    <x v="2"/>
    <x v="0"/>
    <x v="17"/>
    <x v="0"/>
    <x v="17"/>
    <x v="17"/>
    <x v="0"/>
    <x v="0"/>
    <x v="2"/>
    <x v="1"/>
    <x v="4"/>
    <x v="4"/>
    <x v="247"/>
    <x v="0"/>
    <x v="0"/>
    <x v="17"/>
    <x v="0"/>
    <x v="5"/>
    <x v="2"/>
    <x v="10"/>
    <x v="248"/>
    <x v="6"/>
    <x v="0"/>
    <x v="247"/>
    <x v="2"/>
    <x v="3"/>
    <x v="0"/>
    <x v="248"/>
    <x v="2"/>
    <x v="0"/>
    <x v="247"/>
  </r>
  <r>
    <x v="0"/>
    <x v="2"/>
    <x v="22"/>
    <x v="246"/>
    <x v="250"/>
    <x v="5"/>
    <x v="0"/>
    <x v="17"/>
    <x v="0"/>
    <x v="17"/>
    <x v="17"/>
    <x v="0"/>
    <x v="0"/>
    <x v="2"/>
    <x v="1"/>
    <x v="4"/>
    <x v="4"/>
    <x v="248"/>
    <x v="0"/>
    <x v="0"/>
    <x v="17"/>
    <x v="0"/>
    <x v="5"/>
    <x v="2"/>
    <x v="10"/>
    <x v="249"/>
    <x v="6"/>
    <x v="0"/>
    <x v="248"/>
    <x v="2"/>
    <x v="3"/>
    <x v="0"/>
    <x v="249"/>
    <x v="2"/>
    <x v="0"/>
    <x v="248"/>
  </r>
  <r>
    <x v="2"/>
    <x v="9"/>
    <x v="16"/>
    <x v="247"/>
    <x v="251"/>
    <x v="2"/>
    <x v="0"/>
    <x v="17"/>
    <x v="0"/>
    <x v="17"/>
    <x v="17"/>
    <x v="0"/>
    <x v="0"/>
    <x v="2"/>
    <x v="1"/>
    <x v="4"/>
    <x v="4"/>
    <x v="249"/>
    <x v="0"/>
    <x v="0"/>
    <x v="17"/>
    <x v="0"/>
    <x v="5"/>
    <x v="2"/>
    <x v="10"/>
    <x v="250"/>
    <x v="6"/>
    <x v="0"/>
    <x v="249"/>
    <x v="2"/>
    <x v="3"/>
    <x v="0"/>
    <x v="250"/>
    <x v="2"/>
    <x v="0"/>
    <x v="249"/>
  </r>
  <r>
    <x v="2"/>
    <x v="7"/>
    <x v="18"/>
    <x v="248"/>
    <x v="252"/>
    <x v="1"/>
    <x v="1"/>
    <x v="17"/>
    <x v="0"/>
    <x v="17"/>
    <x v="17"/>
    <x v="0"/>
    <x v="0"/>
    <x v="2"/>
    <x v="1"/>
    <x v="4"/>
    <x v="4"/>
    <x v="250"/>
    <x v="0"/>
    <x v="0"/>
    <x v="17"/>
    <x v="0"/>
    <x v="5"/>
    <x v="2"/>
    <x v="10"/>
    <x v="251"/>
    <x v="6"/>
    <x v="0"/>
    <x v="250"/>
    <x v="0"/>
    <x v="3"/>
    <x v="0"/>
    <x v="251"/>
    <x v="2"/>
    <x v="0"/>
    <x v="250"/>
  </r>
  <r>
    <x v="2"/>
    <x v="9"/>
    <x v="16"/>
    <x v="249"/>
    <x v="253"/>
    <x v="5"/>
    <x v="0"/>
    <x v="17"/>
    <x v="0"/>
    <x v="17"/>
    <x v="17"/>
    <x v="0"/>
    <x v="0"/>
    <x v="2"/>
    <x v="1"/>
    <x v="4"/>
    <x v="4"/>
    <x v="251"/>
    <x v="0"/>
    <x v="0"/>
    <x v="17"/>
    <x v="0"/>
    <x v="5"/>
    <x v="2"/>
    <x v="10"/>
    <x v="252"/>
    <x v="6"/>
    <x v="0"/>
    <x v="251"/>
    <x v="2"/>
    <x v="3"/>
    <x v="0"/>
    <x v="252"/>
    <x v="2"/>
    <x v="0"/>
    <x v="251"/>
  </r>
  <r>
    <x v="1"/>
    <x v="3"/>
    <x v="4"/>
    <x v="250"/>
    <x v="254"/>
    <x v="2"/>
    <x v="0"/>
    <x v="17"/>
    <x v="0"/>
    <x v="17"/>
    <x v="17"/>
    <x v="0"/>
    <x v="0"/>
    <x v="2"/>
    <x v="1"/>
    <x v="4"/>
    <x v="4"/>
    <x v="252"/>
    <x v="0"/>
    <x v="0"/>
    <x v="17"/>
    <x v="0"/>
    <x v="5"/>
    <x v="2"/>
    <x v="10"/>
    <x v="253"/>
    <x v="6"/>
    <x v="0"/>
    <x v="252"/>
    <x v="2"/>
    <x v="3"/>
    <x v="0"/>
    <x v="253"/>
    <x v="2"/>
    <x v="0"/>
    <x v="252"/>
  </r>
  <r>
    <x v="2"/>
    <x v="9"/>
    <x v="16"/>
    <x v="251"/>
    <x v="255"/>
    <x v="5"/>
    <x v="0"/>
    <x v="17"/>
    <x v="0"/>
    <x v="17"/>
    <x v="17"/>
    <x v="0"/>
    <x v="0"/>
    <x v="2"/>
    <x v="1"/>
    <x v="4"/>
    <x v="4"/>
    <x v="253"/>
    <x v="0"/>
    <x v="0"/>
    <x v="17"/>
    <x v="0"/>
    <x v="5"/>
    <x v="2"/>
    <x v="10"/>
    <x v="254"/>
    <x v="6"/>
    <x v="0"/>
    <x v="253"/>
    <x v="2"/>
    <x v="3"/>
    <x v="0"/>
    <x v="254"/>
    <x v="2"/>
    <x v="0"/>
    <x v="253"/>
  </r>
  <r>
    <x v="0"/>
    <x v="0"/>
    <x v="14"/>
    <x v="252"/>
    <x v="256"/>
    <x v="1"/>
    <x v="1"/>
    <x v="17"/>
    <x v="0"/>
    <x v="17"/>
    <x v="17"/>
    <x v="0"/>
    <x v="0"/>
    <x v="2"/>
    <x v="1"/>
    <x v="4"/>
    <x v="4"/>
    <x v="254"/>
    <x v="0"/>
    <x v="0"/>
    <x v="17"/>
    <x v="0"/>
    <x v="5"/>
    <x v="2"/>
    <x v="10"/>
    <x v="255"/>
    <x v="6"/>
    <x v="0"/>
    <x v="254"/>
    <x v="0"/>
    <x v="3"/>
    <x v="0"/>
    <x v="255"/>
    <x v="2"/>
    <x v="0"/>
    <x v="254"/>
  </r>
  <r>
    <x v="0"/>
    <x v="0"/>
    <x v="8"/>
    <x v="253"/>
    <x v="257"/>
    <x v="5"/>
    <x v="0"/>
    <x v="17"/>
    <x v="0"/>
    <x v="17"/>
    <x v="17"/>
    <x v="0"/>
    <x v="0"/>
    <x v="2"/>
    <x v="1"/>
    <x v="4"/>
    <x v="4"/>
    <x v="255"/>
    <x v="0"/>
    <x v="0"/>
    <x v="17"/>
    <x v="0"/>
    <x v="5"/>
    <x v="2"/>
    <x v="10"/>
    <x v="256"/>
    <x v="6"/>
    <x v="0"/>
    <x v="255"/>
    <x v="2"/>
    <x v="3"/>
    <x v="0"/>
    <x v="256"/>
    <x v="2"/>
    <x v="0"/>
    <x v="255"/>
  </r>
  <r>
    <x v="0"/>
    <x v="2"/>
    <x v="22"/>
    <x v="254"/>
    <x v="258"/>
    <x v="5"/>
    <x v="0"/>
    <x v="17"/>
    <x v="0"/>
    <x v="17"/>
    <x v="17"/>
    <x v="0"/>
    <x v="0"/>
    <x v="2"/>
    <x v="1"/>
    <x v="4"/>
    <x v="4"/>
    <x v="256"/>
    <x v="0"/>
    <x v="0"/>
    <x v="17"/>
    <x v="0"/>
    <x v="5"/>
    <x v="2"/>
    <x v="10"/>
    <x v="257"/>
    <x v="6"/>
    <x v="0"/>
    <x v="256"/>
    <x v="2"/>
    <x v="3"/>
    <x v="0"/>
    <x v="257"/>
    <x v="2"/>
    <x v="0"/>
    <x v="256"/>
  </r>
  <r>
    <x v="1"/>
    <x v="3"/>
    <x v="4"/>
    <x v="255"/>
    <x v="259"/>
    <x v="5"/>
    <x v="0"/>
    <x v="17"/>
    <x v="0"/>
    <x v="17"/>
    <x v="17"/>
    <x v="0"/>
    <x v="0"/>
    <x v="2"/>
    <x v="1"/>
    <x v="4"/>
    <x v="4"/>
    <x v="257"/>
    <x v="0"/>
    <x v="0"/>
    <x v="17"/>
    <x v="0"/>
    <x v="5"/>
    <x v="2"/>
    <x v="10"/>
    <x v="258"/>
    <x v="6"/>
    <x v="0"/>
    <x v="257"/>
    <x v="2"/>
    <x v="3"/>
    <x v="0"/>
    <x v="258"/>
    <x v="2"/>
    <x v="0"/>
    <x v="257"/>
  </r>
  <r>
    <x v="1"/>
    <x v="3"/>
    <x v="20"/>
    <x v="256"/>
    <x v="260"/>
    <x v="1"/>
    <x v="1"/>
    <x v="17"/>
    <x v="0"/>
    <x v="17"/>
    <x v="17"/>
    <x v="0"/>
    <x v="0"/>
    <x v="2"/>
    <x v="1"/>
    <x v="4"/>
    <x v="4"/>
    <x v="258"/>
    <x v="0"/>
    <x v="0"/>
    <x v="17"/>
    <x v="0"/>
    <x v="5"/>
    <x v="2"/>
    <x v="10"/>
    <x v="259"/>
    <x v="6"/>
    <x v="0"/>
    <x v="258"/>
    <x v="1"/>
    <x v="3"/>
    <x v="0"/>
    <x v="259"/>
    <x v="2"/>
    <x v="0"/>
    <x v="258"/>
  </r>
  <r>
    <x v="2"/>
    <x v="9"/>
    <x v="16"/>
    <x v="257"/>
    <x v="261"/>
    <x v="5"/>
    <x v="0"/>
    <x v="17"/>
    <x v="0"/>
    <x v="17"/>
    <x v="17"/>
    <x v="0"/>
    <x v="0"/>
    <x v="2"/>
    <x v="1"/>
    <x v="4"/>
    <x v="4"/>
    <x v="259"/>
    <x v="0"/>
    <x v="0"/>
    <x v="17"/>
    <x v="0"/>
    <x v="5"/>
    <x v="2"/>
    <x v="10"/>
    <x v="260"/>
    <x v="6"/>
    <x v="0"/>
    <x v="259"/>
    <x v="2"/>
    <x v="3"/>
    <x v="0"/>
    <x v="260"/>
    <x v="2"/>
    <x v="0"/>
    <x v="259"/>
  </r>
  <r>
    <x v="2"/>
    <x v="9"/>
    <x v="16"/>
    <x v="258"/>
    <x v="262"/>
    <x v="5"/>
    <x v="0"/>
    <x v="17"/>
    <x v="0"/>
    <x v="17"/>
    <x v="17"/>
    <x v="0"/>
    <x v="0"/>
    <x v="2"/>
    <x v="1"/>
    <x v="4"/>
    <x v="4"/>
    <x v="260"/>
    <x v="0"/>
    <x v="0"/>
    <x v="17"/>
    <x v="0"/>
    <x v="5"/>
    <x v="2"/>
    <x v="10"/>
    <x v="261"/>
    <x v="6"/>
    <x v="0"/>
    <x v="260"/>
    <x v="2"/>
    <x v="3"/>
    <x v="0"/>
    <x v="261"/>
    <x v="2"/>
    <x v="0"/>
    <x v="260"/>
  </r>
  <r>
    <x v="2"/>
    <x v="9"/>
    <x v="16"/>
    <x v="259"/>
    <x v="263"/>
    <x v="5"/>
    <x v="0"/>
    <x v="17"/>
    <x v="0"/>
    <x v="17"/>
    <x v="17"/>
    <x v="0"/>
    <x v="0"/>
    <x v="2"/>
    <x v="1"/>
    <x v="4"/>
    <x v="4"/>
    <x v="261"/>
    <x v="0"/>
    <x v="0"/>
    <x v="17"/>
    <x v="0"/>
    <x v="5"/>
    <x v="2"/>
    <x v="10"/>
    <x v="262"/>
    <x v="6"/>
    <x v="0"/>
    <x v="261"/>
    <x v="2"/>
    <x v="3"/>
    <x v="0"/>
    <x v="262"/>
    <x v="2"/>
    <x v="0"/>
    <x v="261"/>
  </r>
  <r>
    <x v="0"/>
    <x v="2"/>
    <x v="22"/>
    <x v="260"/>
    <x v="264"/>
    <x v="5"/>
    <x v="0"/>
    <x v="17"/>
    <x v="0"/>
    <x v="17"/>
    <x v="17"/>
    <x v="0"/>
    <x v="0"/>
    <x v="2"/>
    <x v="1"/>
    <x v="4"/>
    <x v="4"/>
    <x v="262"/>
    <x v="0"/>
    <x v="0"/>
    <x v="17"/>
    <x v="0"/>
    <x v="5"/>
    <x v="2"/>
    <x v="10"/>
    <x v="263"/>
    <x v="6"/>
    <x v="0"/>
    <x v="262"/>
    <x v="2"/>
    <x v="3"/>
    <x v="0"/>
    <x v="263"/>
    <x v="2"/>
    <x v="0"/>
    <x v="262"/>
  </r>
  <r>
    <x v="0"/>
    <x v="2"/>
    <x v="22"/>
    <x v="261"/>
    <x v="265"/>
    <x v="5"/>
    <x v="0"/>
    <x v="17"/>
    <x v="0"/>
    <x v="17"/>
    <x v="17"/>
    <x v="0"/>
    <x v="0"/>
    <x v="2"/>
    <x v="1"/>
    <x v="4"/>
    <x v="4"/>
    <x v="263"/>
    <x v="0"/>
    <x v="0"/>
    <x v="17"/>
    <x v="0"/>
    <x v="5"/>
    <x v="2"/>
    <x v="10"/>
    <x v="264"/>
    <x v="6"/>
    <x v="0"/>
    <x v="263"/>
    <x v="2"/>
    <x v="3"/>
    <x v="0"/>
    <x v="264"/>
    <x v="2"/>
    <x v="0"/>
    <x v="263"/>
  </r>
  <r>
    <x v="2"/>
    <x v="9"/>
    <x v="16"/>
    <x v="262"/>
    <x v="266"/>
    <x v="5"/>
    <x v="0"/>
    <x v="17"/>
    <x v="0"/>
    <x v="17"/>
    <x v="17"/>
    <x v="0"/>
    <x v="0"/>
    <x v="2"/>
    <x v="1"/>
    <x v="4"/>
    <x v="4"/>
    <x v="264"/>
    <x v="0"/>
    <x v="0"/>
    <x v="17"/>
    <x v="0"/>
    <x v="5"/>
    <x v="2"/>
    <x v="10"/>
    <x v="265"/>
    <x v="6"/>
    <x v="0"/>
    <x v="264"/>
    <x v="2"/>
    <x v="3"/>
    <x v="0"/>
    <x v="265"/>
    <x v="2"/>
    <x v="0"/>
    <x v="264"/>
  </r>
  <r>
    <x v="0"/>
    <x v="1"/>
    <x v="17"/>
    <x v="263"/>
    <x v="267"/>
    <x v="2"/>
    <x v="0"/>
    <x v="17"/>
    <x v="0"/>
    <x v="17"/>
    <x v="17"/>
    <x v="0"/>
    <x v="0"/>
    <x v="2"/>
    <x v="1"/>
    <x v="4"/>
    <x v="4"/>
    <x v="265"/>
    <x v="0"/>
    <x v="0"/>
    <x v="17"/>
    <x v="0"/>
    <x v="5"/>
    <x v="2"/>
    <x v="10"/>
    <x v="266"/>
    <x v="6"/>
    <x v="0"/>
    <x v="265"/>
    <x v="2"/>
    <x v="3"/>
    <x v="0"/>
    <x v="266"/>
    <x v="2"/>
    <x v="0"/>
    <x v="265"/>
  </r>
  <r>
    <x v="2"/>
    <x v="9"/>
    <x v="16"/>
    <x v="264"/>
    <x v="268"/>
    <x v="5"/>
    <x v="0"/>
    <x v="17"/>
    <x v="0"/>
    <x v="17"/>
    <x v="17"/>
    <x v="0"/>
    <x v="0"/>
    <x v="2"/>
    <x v="1"/>
    <x v="4"/>
    <x v="4"/>
    <x v="266"/>
    <x v="0"/>
    <x v="0"/>
    <x v="17"/>
    <x v="0"/>
    <x v="5"/>
    <x v="2"/>
    <x v="10"/>
    <x v="267"/>
    <x v="6"/>
    <x v="0"/>
    <x v="266"/>
    <x v="2"/>
    <x v="3"/>
    <x v="0"/>
    <x v="267"/>
    <x v="2"/>
    <x v="0"/>
    <x v="266"/>
  </r>
  <r>
    <x v="2"/>
    <x v="9"/>
    <x v="16"/>
    <x v="265"/>
    <x v="269"/>
    <x v="5"/>
    <x v="0"/>
    <x v="17"/>
    <x v="0"/>
    <x v="17"/>
    <x v="17"/>
    <x v="0"/>
    <x v="0"/>
    <x v="2"/>
    <x v="1"/>
    <x v="4"/>
    <x v="4"/>
    <x v="267"/>
    <x v="0"/>
    <x v="0"/>
    <x v="17"/>
    <x v="0"/>
    <x v="5"/>
    <x v="2"/>
    <x v="10"/>
    <x v="268"/>
    <x v="6"/>
    <x v="0"/>
    <x v="267"/>
    <x v="2"/>
    <x v="3"/>
    <x v="0"/>
    <x v="268"/>
    <x v="2"/>
    <x v="0"/>
    <x v="267"/>
  </r>
  <r>
    <x v="2"/>
    <x v="9"/>
    <x v="16"/>
    <x v="266"/>
    <x v="270"/>
    <x v="5"/>
    <x v="0"/>
    <x v="17"/>
    <x v="0"/>
    <x v="17"/>
    <x v="17"/>
    <x v="0"/>
    <x v="0"/>
    <x v="2"/>
    <x v="1"/>
    <x v="4"/>
    <x v="4"/>
    <x v="268"/>
    <x v="0"/>
    <x v="0"/>
    <x v="17"/>
    <x v="0"/>
    <x v="5"/>
    <x v="2"/>
    <x v="10"/>
    <x v="269"/>
    <x v="6"/>
    <x v="0"/>
    <x v="268"/>
    <x v="2"/>
    <x v="3"/>
    <x v="0"/>
    <x v="269"/>
    <x v="2"/>
    <x v="0"/>
    <x v="268"/>
  </r>
  <r>
    <x v="0"/>
    <x v="0"/>
    <x v="21"/>
    <x v="267"/>
    <x v="271"/>
    <x v="1"/>
    <x v="1"/>
    <x v="17"/>
    <x v="0"/>
    <x v="17"/>
    <x v="17"/>
    <x v="0"/>
    <x v="0"/>
    <x v="2"/>
    <x v="1"/>
    <x v="4"/>
    <x v="4"/>
    <x v="269"/>
    <x v="0"/>
    <x v="0"/>
    <x v="17"/>
    <x v="0"/>
    <x v="5"/>
    <x v="2"/>
    <x v="10"/>
    <x v="270"/>
    <x v="6"/>
    <x v="0"/>
    <x v="269"/>
    <x v="2"/>
    <x v="3"/>
    <x v="0"/>
    <x v="270"/>
    <x v="2"/>
    <x v="0"/>
    <x v="269"/>
  </r>
  <r>
    <x v="0"/>
    <x v="0"/>
    <x v="8"/>
    <x v="268"/>
    <x v="272"/>
    <x v="2"/>
    <x v="0"/>
    <x v="17"/>
    <x v="0"/>
    <x v="17"/>
    <x v="17"/>
    <x v="0"/>
    <x v="0"/>
    <x v="2"/>
    <x v="1"/>
    <x v="4"/>
    <x v="4"/>
    <x v="270"/>
    <x v="0"/>
    <x v="0"/>
    <x v="17"/>
    <x v="0"/>
    <x v="5"/>
    <x v="2"/>
    <x v="10"/>
    <x v="271"/>
    <x v="6"/>
    <x v="0"/>
    <x v="270"/>
    <x v="2"/>
    <x v="3"/>
    <x v="0"/>
    <x v="271"/>
    <x v="2"/>
    <x v="0"/>
    <x v="270"/>
  </r>
  <r>
    <x v="0"/>
    <x v="0"/>
    <x v="8"/>
    <x v="269"/>
    <x v="273"/>
    <x v="5"/>
    <x v="0"/>
    <x v="17"/>
    <x v="0"/>
    <x v="17"/>
    <x v="17"/>
    <x v="0"/>
    <x v="0"/>
    <x v="2"/>
    <x v="1"/>
    <x v="4"/>
    <x v="4"/>
    <x v="271"/>
    <x v="0"/>
    <x v="0"/>
    <x v="17"/>
    <x v="0"/>
    <x v="5"/>
    <x v="2"/>
    <x v="10"/>
    <x v="272"/>
    <x v="6"/>
    <x v="0"/>
    <x v="271"/>
    <x v="2"/>
    <x v="3"/>
    <x v="0"/>
    <x v="272"/>
    <x v="2"/>
    <x v="0"/>
    <x v="271"/>
  </r>
  <r>
    <x v="0"/>
    <x v="0"/>
    <x v="8"/>
    <x v="270"/>
    <x v="274"/>
    <x v="2"/>
    <x v="0"/>
    <x v="17"/>
    <x v="0"/>
    <x v="17"/>
    <x v="17"/>
    <x v="0"/>
    <x v="0"/>
    <x v="2"/>
    <x v="1"/>
    <x v="4"/>
    <x v="4"/>
    <x v="272"/>
    <x v="0"/>
    <x v="0"/>
    <x v="17"/>
    <x v="0"/>
    <x v="5"/>
    <x v="2"/>
    <x v="10"/>
    <x v="273"/>
    <x v="6"/>
    <x v="0"/>
    <x v="272"/>
    <x v="2"/>
    <x v="3"/>
    <x v="0"/>
    <x v="273"/>
    <x v="2"/>
    <x v="0"/>
    <x v="272"/>
  </r>
  <r>
    <x v="0"/>
    <x v="0"/>
    <x v="8"/>
    <x v="271"/>
    <x v="275"/>
    <x v="2"/>
    <x v="0"/>
    <x v="17"/>
    <x v="0"/>
    <x v="17"/>
    <x v="17"/>
    <x v="0"/>
    <x v="0"/>
    <x v="2"/>
    <x v="1"/>
    <x v="4"/>
    <x v="4"/>
    <x v="273"/>
    <x v="0"/>
    <x v="0"/>
    <x v="17"/>
    <x v="0"/>
    <x v="5"/>
    <x v="2"/>
    <x v="10"/>
    <x v="274"/>
    <x v="6"/>
    <x v="0"/>
    <x v="273"/>
    <x v="2"/>
    <x v="3"/>
    <x v="0"/>
    <x v="274"/>
    <x v="2"/>
    <x v="0"/>
    <x v="273"/>
  </r>
  <r>
    <x v="2"/>
    <x v="7"/>
    <x v="24"/>
    <x v="272"/>
    <x v="276"/>
    <x v="5"/>
    <x v="0"/>
    <x v="17"/>
    <x v="0"/>
    <x v="17"/>
    <x v="17"/>
    <x v="0"/>
    <x v="0"/>
    <x v="2"/>
    <x v="1"/>
    <x v="4"/>
    <x v="4"/>
    <x v="274"/>
    <x v="0"/>
    <x v="0"/>
    <x v="17"/>
    <x v="0"/>
    <x v="5"/>
    <x v="2"/>
    <x v="10"/>
    <x v="275"/>
    <x v="6"/>
    <x v="0"/>
    <x v="274"/>
    <x v="2"/>
    <x v="3"/>
    <x v="0"/>
    <x v="275"/>
    <x v="2"/>
    <x v="0"/>
    <x v="274"/>
  </r>
  <r>
    <x v="0"/>
    <x v="2"/>
    <x v="22"/>
    <x v="273"/>
    <x v="277"/>
    <x v="5"/>
    <x v="0"/>
    <x v="17"/>
    <x v="0"/>
    <x v="17"/>
    <x v="17"/>
    <x v="0"/>
    <x v="0"/>
    <x v="2"/>
    <x v="1"/>
    <x v="4"/>
    <x v="4"/>
    <x v="275"/>
    <x v="0"/>
    <x v="0"/>
    <x v="17"/>
    <x v="0"/>
    <x v="5"/>
    <x v="2"/>
    <x v="10"/>
    <x v="276"/>
    <x v="6"/>
    <x v="0"/>
    <x v="275"/>
    <x v="2"/>
    <x v="3"/>
    <x v="0"/>
    <x v="276"/>
    <x v="2"/>
    <x v="0"/>
    <x v="275"/>
  </r>
  <r>
    <x v="0"/>
    <x v="0"/>
    <x v="8"/>
    <x v="274"/>
    <x v="278"/>
    <x v="2"/>
    <x v="0"/>
    <x v="17"/>
    <x v="0"/>
    <x v="17"/>
    <x v="17"/>
    <x v="0"/>
    <x v="0"/>
    <x v="2"/>
    <x v="1"/>
    <x v="4"/>
    <x v="4"/>
    <x v="276"/>
    <x v="0"/>
    <x v="0"/>
    <x v="17"/>
    <x v="0"/>
    <x v="5"/>
    <x v="2"/>
    <x v="10"/>
    <x v="277"/>
    <x v="6"/>
    <x v="0"/>
    <x v="276"/>
    <x v="2"/>
    <x v="3"/>
    <x v="0"/>
    <x v="277"/>
    <x v="2"/>
    <x v="0"/>
    <x v="276"/>
  </r>
  <r>
    <x v="0"/>
    <x v="2"/>
    <x v="3"/>
    <x v="275"/>
    <x v="279"/>
    <x v="5"/>
    <x v="0"/>
    <x v="17"/>
    <x v="0"/>
    <x v="17"/>
    <x v="17"/>
    <x v="0"/>
    <x v="0"/>
    <x v="2"/>
    <x v="1"/>
    <x v="4"/>
    <x v="4"/>
    <x v="277"/>
    <x v="0"/>
    <x v="0"/>
    <x v="17"/>
    <x v="0"/>
    <x v="5"/>
    <x v="2"/>
    <x v="10"/>
    <x v="278"/>
    <x v="6"/>
    <x v="0"/>
    <x v="277"/>
    <x v="2"/>
    <x v="3"/>
    <x v="0"/>
    <x v="278"/>
    <x v="2"/>
    <x v="0"/>
    <x v="277"/>
  </r>
  <r>
    <x v="1"/>
    <x v="3"/>
    <x v="4"/>
    <x v="276"/>
    <x v="280"/>
    <x v="5"/>
    <x v="0"/>
    <x v="17"/>
    <x v="0"/>
    <x v="17"/>
    <x v="17"/>
    <x v="0"/>
    <x v="0"/>
    <x v="2"/>
    <x v="1"/>
    <x v="4"/>
    <x v="4"/>
    <x v="278"/>
    <x v="0"/>
    <x v="0"/>
    <x v="17"/>
    <x v="0"/>
    <x v="5"/>
    <x v="2"/>
    <x v="10"/>
    <x v="279"/>
    <x v="6"/>
    <x v="0"/>
    <x v="278"/>
    <x v="2"/>
    <x v="3"/>
    <x v="0"/>
    <x v="279"/>
    <x v="2"/>
    <x v="0"/>
    <x v="278"/>
  </r>
  <r>
    <x v="0"/>
    <x v="0"/>
    <x v="8"/>
    <x v="277"/>
    <x v="281"/>
    <x v="5"/>
    <x v="0"/>
    <x v="17"/>
    <x v="0"/>
    <x v="17"/>
    <x v="17"/>
    <x v="0"/>
    <x v="0"/>
    <x v="2"/>
    <x v="1"/>
    <x v="4"/>
    <x v="4"/>
    <x v="279"/>
    <x v="0"/>
    <x v="0"/>
    <x v="17"/>
    <x v="0"/>
    <x v="5"/>
    <x v="2"/>
    <x v="10"/>
    <x v="280"/>
    <x v="6"/>
    <x v="0"/>
    <x v="279"/>
    <x v="2"/>
    <x v="3"/>
    <x v="0"/>
    <x v="280"/>
    <x v="2"/>
    <x v="0"/>
    <x v="279"/>
  </r>
  <r>
    <x v="2"/>
    <x v="8"/>
    <x v="15"/>
    <x v="278"/>
    <x v="282"/>
    <x v="4"/>
    <x v="1"/>
    <x v="17"/>
    <x v="0"/>
    <x v="17"/>
    <x v="17"/>
    <x v="0"/>
    <x v="0"/>
    <x v="2"/>
    <x v="1"/>
    <x v="4"/>
    <x v="4"/>
    <x v="280"/>
    <x v="0"/>
    <x v="0"/>
    <x v="17"/>
    <x v="0"/>
    <x v="5"/>
    <x v="2"/>
    <x v="10"/>
    <x v="281"/>
    <x v="6"/>
    <x v="0"/>
    <x v="280"/>
    <x v="1"/>
    <x v="3"/>
    <x v="0"/>
    <x v="281"/>
    <x v="2"/>
    <x v="0"/>
    <x v="280"/>
  </r>
  <r>
    <x v="2"/>
    <x v="10"/>
    <x v="19"/>
    <x v="279"/>
    <x v="283"/>
    <x v="2"/>
    <x v="0"/>
    <x v="17"/>
    <x v="0"/>
    <x v="17"/>
    <x v="17"/>
    <x v="0"/>
    <x v="0"/>
    <x v="2"/>
    <x v="1"/>
    <x v="4"/>
    <x v="4"/>
    <x v="281"/>
    <x v="0"/>
    <x v="0"/>
    <x v="17"/>
    <x v="0"/>
    <x v="5"/>
    <x v="2"/>
    <x v="10"/>
    <x v="282"/>
    <x v="6"/>
    <x v="0"/>
    <x v="281"/>
    <x v="0"/>
    <x v="3"/>
    <x v="0"/>
    <x v="282"/>
    <x v="2"/>
    <x v="0"/>
    <x v="281"/>
  </r>
  <r>
    <x v="2"/>
    <x v="7"/>
    <x v="24"/>
    <x v="280"/>
    <x v="284"/>
    <x v="5"/>
    <x v="0"/>
    <x v="17"/>
    <x v="0"/>
    <x v="17"/>
    <x v="17"/>
    <x v="0"/>
    <x v="0"/>
    <x v="2"/>
    <x v="1"/>
    <x v="4"/>
    <x v="4"/>
    <x v="282"/>
    <x v="0"/>
    <x v="0"/>
    <x v="17"/>
    <x v="0"/>
    <x v="5"/>
    <x v="2"/>
    <x v="10"/>
    <x v="283"/>
    <x v="6"/>
    <x v="0"/>
    <x v="282"/>
    <x v="2"/>
    <x v="3"/>
    <x v="0"/>
    <x v="283"/>
    <x v="2"/>
    <x v="0"/>
    <x v="282"/>
  </r>
  <r>
    <x v="1"/>
    <x v="3"/>
    <x v="4"/>
    <x v="281"/>
    <x v="285"/>
    <x v="5"/>
    <x v="0"/>
    <x v="17"/>
    <x v="0"/>
    <x v="17"/>
    <x v="17"/>
    <x v="0"/>
    <x v="0"/>
    <x v="2"/>
    <x v="1"/>
    <x v="4"/>
    <x v="4"/>
    <x v="283"/>
    <x v="0"/>
    <x v="0"/>
    <x v="17"/>
    <x v="0"/>
    <x v="5"/>
    <x v="2"/>
    <x v="10"/>
    <x v="284"/>
    <x v="6"/>
    <x v="0"/>
    <x v="283"/>
    <x v="2"/>
    <x v="3"/>
    <x v="0"/>
    <x v="284"/>
    <x v="2"/>
    <x v="0"/>
    <x v="283"/>
  </r>
  <r>
    <x v="0"/>
    <x v="12"/>
    <x v="26"/>
    <x v="282"/>
    <x v="286"/>
    <x v="5"/>
    <x v="0"/>
    <x v="17"/>
    <x v="0"/>
    <x v="17"/>
    <x v="17"/>
    <x v="0"/>
    <x v="0"/>
    <x v="2"/>
    <x v="1"/>
    <x v="4"/>
    <x v="4"/>
    <x v="284"/>
    <x v="0"/>
    <x v="0"/>
    <x v="17"/>
    <x v="0"/>
    <x v="5"/>
    <x v="2"/>
    <x v="10"/>
    <x v="285"/>
    <x v="6"/>
    <x v="0"/>
    <x v="284"/>
    <x v="2"/>
    <x v="3"/>
    <x v="0"/>
    <x v="285"/>
    <x v="2"/>
    <x v="0"/>
    <x v="284"/>
  </r>
  <r>
    <x v="0"/>
    <x v="1"/>
    <x v="17"/>
    <x v="283"/>
    <x v="287"/>
    <x v="5"/>
    <x v="0"/>
    <x v="19"/>
    <x v="0"/>
    <x v="19"/>
    <x v="19"/>
    <x v="0"/>
    <x v="0"/>
    <x v="2"/>
    <x v="1"/>
    <x v="4"/>
    <x v="4"/>
    <x v="285"/>
    <x v="0"/>
    <x v="0"/>
    <x v="19"/>
    <x v="0"/>
    <x v="10"/>
    <x v="2"/>
    <x v="10"/>
    <x v="286"/>
    <x v="6"/>
    <x v="0"/>
    <x v="285"/>
    <x v="0"/>
    <x v="3"/>
    <x v="0"/>
    <x v="286"/>
    <x v="2"/>
    <x v="0"/>
    <x v="285"/>
  </r>
  <r>
    <x v="0"/>
    <x v="1"/>
    <x v="17"/>
    <x v="284"/>
    <x v="288"/>
    <x v="1"/>
    <x v="1"/>
    <x v="17"/>
    <x v="0"/>
    <x v="17"/>
    <x v="17"/>
    <x v="0"/>
    <x v="0"/>
    <x v="2"/>
    <x v="1"/>
    <x v="4"/>
    <x v="4"/>
    <x v="286"/>
    <x v="0"/>
    <x v="0"/>
    <x v="17"/>
    <x v="0"/>
    <x v="5"/>
    <x v="2"/>
    <x v="10"/>
    <x v="287"/>
    <x v="6"/>
    <x v="0"/>
    <x v="286"/>
    <x v="0"/>
    <x v="3"/>
    <x v="0"/>
    <x v="287"/>
    <x v="2"/>
    <x v="0"/>
    <x v="286"/>
  </r>
  <r>
    <x v="2"/>
    <x v="10"/>
    <x v="19"/>
    <x v="285"/>
    <x v="289"/>
    <x v="2"/>
    <x v="0"/>
    <x v="17"/>
    <x v="0"/>
    <x v="17"/>
    <x v="17"/>
    <x v="0"/>
    <x v="0"/>
    <x v="2"/>
    <x v="1"/>
    <x v="4"/>
    <x v="4"/>
    <x v="287"/>
    <x v="0"/>
    <x v="0"/>
    <x v="17"/>
    <x v="0"/>
    <x v="5"/>
    <x v="2"/>
    <x v="10"/>
    <x v="288"/>
    <x v="6"/>
    <x v="0"/>
    <x v="287"/>
    <x v="2"/>
    <x v="3"/>
    <x v="0"/>
    <x v="288"/>
    <x v="2"/>
    <x v="0"/>
    <x v="287"/>
  </r>
  <r>
    <x v="2"/>
    <x v="6"/>
    <x v="11"/>
    <x v="286"/>
    <x v="290"/>
    <x v="1"/>
    <x v="1"/>
    <x v="17"/>
    <x v="0"/>
    <x v="17"/>
    <x v="17"/>
    <x v="0"/>
    <x v="0"/>
    <x v="2"/>
    <x v="1"/>
    <x v="4"/>
    <x v="4"/>
    <x v="288"/>
    <x v="0"/>
    <x v="0"/>
    <x v="17"/>
    <x v="0"/>
    <x v="5"/>
    <x v="2"/>
    <x v="10"/>
    <x v="289"/>
    <x v="6"/>
    <x v="0"/>
    <x v="288"/>
    <x v="0"/>
    <x v="3"/>
    <x v="0"/>
    <x v="289"/>
    <x v="2"/>
    <x v="0"/>
    <x v="288"/>
  </r>
  <r>
    <x v="0"/>
    <x v="12"/>
    <x v="26"/>
    <x v="287"/>
    <x v="291"/>
    <x v="5"/>
    <x v="0"/>
    <x v="17"/>
    <x v="0"/>
    <x v="17"/>
    <x v="17"/>
    <x v="0"/>
    <x v="0"/>
    <x v="2"/>
    <x v="1"/>
    <x v="4"/>
    <x v="4"/>
    <x v="289"/>
    <x v="0"/>
    <x v="0"/>
    <x v="17"/>
    <x v="0"/>
    <x v="5"/>
    <x v="2"/>
    <x v="10"/>
    <x v="290"/>
    <x v="6"/>
    <x v="0"/>
    <x v="289"/>
    <x v="2"/>
    <x v="3"/>
    <x v="0"/>
    <x v="290"/>
    <x v="2"/>
    <x v="0"/>
    <x v="289"/>
  </r>
  <r>
    <x v="0"/>
    <x v="12"/>
    <x v="26"/>
    <x v="288"/>
    <x v="292"/>
    <x v="5"/>
    <x v="0"/>
    <x v="17"/>
    <x v="0"/>
    <x v="17"/>
    <x v="17"/>
    <x v="0"/>
    <x v="0"/>
    <x v="2"/>
    <x v="1"/>
    <x v="4"/>
    <x v="4"/>
    <x v="290"/>
    <x v="0"/>
    <x v="0"/>
    <x v="17"/>
    <x v="0"/>
    <x v="5"/>
    <x v="2"/>
    <x v="10"/>
    <x v="291"/>
    <x v="6"/>
    <x v="0"/>
    <x v="290"/>
    <x v="2"/>
    <x v="3"/>
    <x v="0"/>
    <x v="291"/>
    <x v="2"/>
    <x v="0"/>
    <x v="290"/>
  </r>
  <r>
    <x v="0"/>
    <x v="1"/>
    <x v="7"/>
    <x v="289"/>
    <x v="293"/>
    <x v="2"/>
    <x v="0"/>
    <x v="17"/>
    <x v="0"/>
    <x v="17"/>
    <x v="17"/>
    <x v="0"/>
    <x v="0"/>
    <x v="2"/>
    <x v="1"/>
    <x v="4"/>
    <x v="4"/>
    <x v="291"/>
    <x v="0"/>
    <x v="0"/>
    <x v="17"/>
    <x v="0"/>
    <x v="5"/>
    <x v="2"/>
    <x v="10"/>
    <x v="292"/>
    <x v="6"/>
    <x v="0"/>
    <x v="291"/>
    <x v="0"/>
    <x v="3"/>
    <x v="0"/>
    <x v="292"/>
    <x v="2"/>
    <x v="0"/>
    <x v="291"/>
  </r>
  <r>
    <x v="2"/>
    <x v="9"/>
    <x v="27"/>
    <x v="290"/>
    <x v="294"/>
    <x v="5"/>
    <x v="0"/>
    <x v="17"/>
    <x v="0"/>
    <x v="17"/>
    <x v="17"/>
    <x v="0"/>
    <x v="0"/>
    <x v="2"/>
    <x v="1"/>
    <x v="4"/>
    <x v="4"/>
    <x v="292"/>
    <x v="0"/>
    <x v="0"/>
    <x v="17"/>
    <x v="0"/>
    <x v="5"/>
    <x v="2"/>
    <x v="10"/>
    <x v="293"/>
    <x v="6"/>
    <x v="0"/>
    <x v="292"/>
    <x v="0"/>
    <x v="3"/>
    <x v="0"/>
    <x v="293"/>
    <x v="2"/>
    <x v="0"/>
    <x v="292"/>
  </r>
  <r>
    <x v="0"/>
    <x v="2"/>
    <x v="22"/>
    <x v="291"/>
    <x v="295"/>
    <x v="2"/>
    <x v="0"/>
    <x v="17"/>
    <x v="0"/>
    <x v="17"/>
    <x v="17"/>
    <x v="0"/>
    <x v="0"/>
    <x v="2"/>
    <x v="1"/>
    <x v="4"/>
    <x v="4"/>
    <x v="293"/>
    <x v="0"/>
    <x v="0"/>
    <x v="17"/>
    <x v="0"/>
    <x v="5"/>
    <x v="2"/>
    <x v="10"/>
    <x v="294"/>
    <x v="6"/>
    <x v="0"/>
    <x v="293"/>
    <x v="2"/>
    <x v="3"/>
    <x v="0"/>
    <x v="294"/>
    <x v="2"/>
    <x v="0"/>
    <x v="293"/>
  </r>
  <r>
    <x v="0"/>
    <x v="1"/>
    <x v="7"/>
    <x v="292"/>
    <x v="296"/>
    <x v="2"/>
    <x v="0"/>
    <x v="17"/>
    <x v="0"/>
    <x v="17"/>
    <x v="17"/>
    <x v="0"/>
    <x v="0"/>
    <x v="2"/>
    <x v="1"/>
    <x v="4"/>
    <x v="4"/>
    <x v="294"/>
    <x v="0"/>
    <x v="0"/>
    <x v="17"/>
    <x v="0"/>
    <x v="5"/>
    <x v="2"/>
    <x v="10"/>
    <x v="295"/>
    <x v="6"/>
    <x v="0"/>
    <x v="294"/>
    <x v="0"/>
    <x v="3"/>
    <x v="0"/>
    <x v="295"/>
    <x v="2"/>
    <x v="0"/>
    <x v="294"/>
  </r>
  <r>
    <x v="0"/>
    <x v="2"/>
    <x v="22"/>
    <x v="293"/>
    <x v="297"/>
    <x v="2"/>
    <x v="0"/>
    <x v="17"/>
    <x v="0"/>
    <x v="17"/>
    <x v="17"/>
    <x v="0"/>
    <x v="0"/>
    <x v="2"/>
    <x v="1"/>
    <x v="4"/>
    <x v="4"/>
    <x v="295"/>
    <x v="0"/>
    <x v="0"/>
    <x v="17"/>
    <x v="0"/>
    <x v="5"/>
    <x v="2"/>
    <x v="10"/>
    <x v="296"/>
    <x v="6"/>
    <x v="0"/>
    <x v="295"/>
    <x v="2"/>
    <x v="3"/>
    <x v="0"/>
    <x v="296"/>
    <x v="2"/>
    <x v="0"/>
    <x v="295"/>
  </r>
  <r>
    <x v="2"/>
    <x v="7"/>
    <x v="24"/>
    <x v="294"/>
    <x v="298"/>
    <x v="4"/>
    <x v="1"/>
    <x v="17"/>
    <x v="0"/>
    <x v="17"/>
    <x v="17"/>
    <x v="0"/>
    <x v="0"/>
    <x v="2"/>
    <x v="1"/>
    <x v="4"/>
    <x v="4"/>
    <x v="296"/>
    <x v="0"/>
    <x v="0"/>
    <x v="17"/>
    <x v="0"/>
    <x v="5"/>
    <x v="2"/>
    <x v="10"/>
    <x v="297"/>
    <x v="6"/>
    <x v="0"/>
    <x v="296"/>
    <x v="1"/>
    <x v="3"/>
    <x v="0"/>
    <x v="297"/>
    <x v="2"/>
    <x v="0"/>
    <x v="296"/>
  </r>
  <r>
    <x v="1"/>
    <x v="3"/>
    <x v="4"/>
    <x v="295"/>
    <x v="299"/>
    <x v="2"/>
    <x v="0"/>
    <x v="17"/>
    <x v="0"/>
    <x v="17"/>
    <x v="17"/>
    <x v="0"/>
    <x v="0"/>
    <x v="2"/>
    <x v="1"/>
    <x v="4"/>
    <x v="4"/>
    <x v="297"/>
    <x v="0"/>
    <x v="0"/>
    <x v="17"/>
    <x v="0"/>
    <x v="5"/>
    <x v="2"/>
    <x v="10"/>
    <x v="298"/>
    <x v="6"/>
    <x v="0"/>
    <x v="297"/>
    <x v="2"/>
    <x v="3"/>
    <x v="0"/>
    <x v="298"/>
    <x v="2"/>
    <x v="0"/>
    <x v="297"/>
  </r>
  <r>
    <x v="1"/>
    <x v="3"/>
    <x v="4"/>
    <x v="296"/>
    <x v="300"/>
    <x v="4"/>
    <x v="1"/>
    <x v="17"/>
    <x v="0"/>
    <x v="17"/>
    <x v="17"/>
    <x v="0"/>
    <x v="0"/>
    <x v="2"/>
    <x v="1"/>
    <x v="4"/>
    <x v="4"/>
    <x v="298"/>
    <x v="0"/>
    <x v="0"/>
    <x v="17"/>
    <x v="0"/>
    <x v="5"/>
    <x v="2"/>
    <x v="10"/>
    <x v="299"/>
    <x v="6"/>
    <x v="0"/>
    <x v="298"/>
    <x v="1"/>
    <x v="3"/>
    <x v="0"/>
    <x v="299"/>
    <x v="2"/>
    <x v="0"/>
    <x v="298"/>
  </r>
  <r>
    <x v="1"/>
    <x v="3"/>
    <x v="20"/>
    <x v="297"/>
    <x v="301"/>
    <x v="2"/>
    <x v="0"/>
    <x v="20"/>
    <x v="0"/>
    <x v="20"/>
    <x v="20"/>
    <x v="0"/>
    <x v="0"/>
    <x v="2"/>
    <x v="1"/>
    <x v="4"/>
    <x v="4"/>
    <x v="299"/>
    <x v="0"/>
    <x v="0"/>
    <x v="20"/>
    <x v="0"/>
    <x v="11"/>
    <x v="2"/>
    <x v="10"/>
    <x v="300"/>
    <x v="6"/>
    <x v="0"/>
    <x v="299"/>
    <x v="0"/>
    <x v="3"/>
    <x v="0"/>
    <x v="300"/>
    <x v="2"/>
    <x v="0"/>
    <x v="299"/>
  </r>
  <r>
    <x v="1"/>
    <x v="3"/>
    <x v="6"/>
    <x v="298"/>
    <x v="302"/>
    <x v="5"/>
    <x v="0"/>
    <x v="21"/>
    <x v="0"/>
    <x v="21"/>
    <x v="21"/>
    <x v="0"/>
    <x v="0"/>
    <x v="2"/>
    <x v="1"/>
    <x v="4"/>
    <x v="4"/>
    <x v="300"/>
    <x v="0"/>
    <x v="0"/>
    <x v="21"/>
    <x v="0"/>
    <x v="12"/>
    <x v="2"/>
    <x v="10"/>
    <x v="301"/>
    <x v="6"/>
    <x v="0"/>
    <x v="300"/>
    <x v="0"/>
    <x v="3"/>
    <x v="0"/>
    <x v="301"/>
    <x v="2"/>
    <x v="0"/>
    <x v="300"/>
  </r>
  <r>
    <x v="2"/>
    <x v="9"/>
    <x v="16"/>
    <x v="299"/>
    <x v="303"/>
    <x v="2"/>
    <x v="0"/>
    <x v="22"/>
    <x v="12"/>
    <x v="22"/>
    <x v="22"/>
    <x v="12"/>
    <x v="12"/>
    <x v="2"/>
    <x v="1"/>
    <x v="4"/>
    <x v="4"/>
    <x v="301"/>
    <x v="11"/>
    <x v="8"/>
    <x v="22"/>
    <x v="12"/>
    <x v="5"/>
    <x v="2"/>
    <x v="10"/>
    <x v="302"/>
    <x v="6"/>
    <x v="0"/>
    <x v="301"/>
    <x v="0"/>
    <x v="3"/>
    <x v="0"/>
    <x v="302"/>
    <x v="2"/>
    <x v="0"/>
    <x v="301"/>
  </r>
  <r>
    <x v="0"/>
    <x v="0"/>
    <x v="8"/>
    <x v="300"/>
    <x v="304"/>
    <x v="2"/>
    <x v="0"/>
    <x v="23"/>
    <x v="13"/>
    <x v="23"/>
    <x v="23"/>
    <x v="13"/>
    <x v="13"/>
    <x v="2"/>
    <x v="1"/>
    <x v="4"/>
    <x v="4"/>
    <x v="302"/>
    <x v="0"/>
    <x v="0"/>
    <x v="23"/>
    <x v="13"/>
    <x v="5"/>
    <x v="2"/>
    <x v="10"/>
    <x v="303"/>
    <x v="6"/>
    <x v="0"/>
    <x v="302"/>
    <x v="2"/>
    <x v="3"/>
    <x v="0"/>
    <x v="303"/>
    <x v="2"/>
    <x v="0"/>
    <x v="302"/>
  </r>
  <r>
    <x v="1"/>
    <x v="3"/>
    <x v="4"/>
    <x v="301"/>
    <x v="305"/>
    <x v="5"/>
    <x v="0"/>
    <x v="24"/>
    <x v="0"/>
    <x v="24"/>
    <x v="24"/>
    <x v="0"/>
    <x v="0"/>
    <x v="2"/>
    <x v="1"/>
    <x v="5"/>
    <x v="5"/>
    <x v="303"/>
    <x v="0"/>
    <x v="0"/>
    <x v="24"/>
    <x v="0"/>
    <x v="13"/>
    <x v="2"/>
    <x v="10"/>
    <x v="304"/>
    <x v="6"/>
    <x v="0"/>
    <x v="303"/>
    <x v="2"/>
    <x v="3"/>
    <x v="0"/>
    <x v="304"/>
    <x v="2"/>
    <x v="0"/>
    <x v="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36">
    <pivotField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compact="0" showAll="0">
      <items count="303">
        <item x="260"/>
        <item x="43"/>
        <item x="29"/>
        <item x="292"/>
        <item x="205"/>
        <item x="238"/>
        <item x="134"/>
        <item x="97"/>
        <item x="265"/>
        <item x="177"/>
        <item x="291"/>
        <item x="106"/>
        <item x="278"/>
        <item x="199"/>
        <item x="7"/>
        <item x="190"/>
        <item x="66"/>
        <item x="163"/>
        <item x="208"/>
        <item x="249"/>
        <item x="172"/>
        <item x="113"/>
        <item x="123"/>
        <item x="28"/>
        <item x="35"/>
        <item x="120"/>
        <item x="187"/>
        <item x="72"/>
        <item x="105"/>
        <item x="41"/>
        <item x="50"/>
        <item x="124"/>
        <item x="58"/>
        <item x="49"/>
        <item x="71"/>
        <item x="87"/>
        <item x="2"/>
        <item x="0"/>
        <item x="9"/>
        <item x="158"/>
        <item x="254"/>
        <item x="18"/>
        <item x="42"/>
        <item x="92"/>
        <item x="239"/>
        <item x="32"/>
        <item x="63"/>
        <item x="33"/>
        <item x="301"/>
        <item x="234"/>
        <item x="78"/>
        <item x="133"/>
        <item x="70"/>
        <item x="297"/>
        <item x="160"/>
        <item x="117"/>
        <item x="197"/>
        <item x="221"/>
        <item x="184"/>
        <item x="1"/>
        <item x="179"/>
        <item x="114"/>
        <item x="228"/>
        <item x="109"/>
        <item x="111"/>
        <item x="126"/>
        <item x="94"/>
        <item x="154"/>
        <item x="148"/>
        <item x="98"/>
        <item x="236"/>
        <item x="175"/>
        <item x="246"/>
        <item x="281"/>
        <item x="252"/>
        <item x="84"/>
        <item x="294"/>
        <item x="131"/>
        <item x="100"/>
        <item x="60"/>
        <item x="79"/>
        <item x="230"/>
        <item x="69"/>
        <item x="237"/>
        <item x="194"/>
        <item x="14"/>
        <item x="54"/>
        <item x="157"/>
        <item x="214"/>
        <item x="143"/>
        <item x="173"/>
        <item x="11"/>
        <item x="261"/>
        <item x="183"/>
        <item x="48"/>
        <item x="76"/>
        <item x="248"/>
        <item x="240"/>
        <item x="189"/>
        <item x="12"/>
        <item x="68"/>
        <item x="180"/>
        <item x="269"/>
        <item x="132"/>
        <item x="137"/>
        <item x="207"/>
        <item x="22"/>
        <item x="226"/>
        <item x="218"/>
        <item x="64"/>
        <item x="67"/>
        <item x="169"/>
        <item x="211"/>
        <item x="232"/>
        <item x="258"/>
        <item x="295"/>
        <item x="165"/>
        <item x="119"/>
        <item x="247"/>
        <item x="83"/>
        <item x="162"/>
        <item x="284"/>
        <item x="53"/>
        <item x="204"/>
        <item x="77"/>
        <item x="88"/>
        <item x="5"/>
        <item x="144"/>
        <item x="110"/>
        <item x="241"/>
        <item x="244"/>
        <item x="55"/>
        <item x="245"/>
        <item x="101"/>
        <item x="203"/>
        <item x="44"/>
        <item x="250"/>
        <item x="270"/>
        <item x="195"/>
        <item x="256"/>
        <item x="206"/>
        <item x="267"/>
        <item x="112"/>
        <item x="20"/>
        <item x="193"/>
        <item x="99"/>
        <item x="36"/>
        <item x="196"/>
        <item x="213"/>
        <item x="299"/>
        <item x="202"/>
        <item x="159"/>
        <item x="152"/>
        <item x="209"/>
        <item x="25"/>
        <item x="115"/>
        <item x="192"/>
        <item x="104"/>
        <item x="130"/>
        <item x="21"/>
        <item x="140"/>
        <item x="170"/>
        <item x="253"/>
        <item x="62"/>
        <item x="222"/>
        <item x="121"/>
        <item x="231"/>
        <item x="141"/>
        <item x="142"/>
        <item x="128"/>
        <item x="264"/>
        <item x="223"/>
        <item x="171"/>
        <item x="156"/>
        <item x="219"/>
        <item x="293"/>
        <item x="225"/>
        <item x="243"/>
        <item x="125"/>
        <item x="73"/>
        <item x="262"/>
        <item x="268"/>
        <item x="118"/>
        <item x="52"/>
        <item x="227"/>
        <item x="215"/>
        <item x="279"/>
        <item x="200"/>
        <item x="95"/>
        <item x="266"/>
        <item x="147"/>
        <item x="242"/>
        <item x="275"/>
        <item x="149"/>
        <item x="108"/>
        <item x="38"/>
        <item x="166"/>
        <item x="65"/>
        <item x="272"/>
        <item x="136"/>
        <item x="8"/>
        <item x="300"/>
        <item x="201"/>
        <item x="46"/>
        <item x="274"/>
        <item x="47"/>
        <item x="37"/>
        <item x="135"/>
        <item x="24"/>
        <item x="167"/>
        <item x="164"/>
        <item x="298"/>
        <item x="186"/>
        <item x="103"/>
        <item x="229"/>
        <item x="155"/>
        <item x="13"/>
        <item x="34"/>
        <item x="127"/>
        <item x="210"/>
        <item x="287"/>
        <item x="168"/>
        <item x="85"/>
        <item x="93"/>
        <item x="174"/>
        <item x="146"/>
        <item x="185"/>
        <item x="81"/>
        <item x="220"/>
        <item x="176"/>
        <item x="10"/>
        <item x="17"/>
        <item x="290"/>
        <item x="129"/>
        <item x="59"/>
        <item x="91"/>
        <item x="23"/>
        <item x="116"/>
        <item x="150"/>
        <item x="82"/>
        <item x="31"/>
        <item x="74"/>
        <item x="80"/>
        <item x="178"/>
        <item x="89"/>
        <item x="285"/>
        <item x="288"/>
        <item x="26"/>
        <item x="289"/>
        <item x="57"/>
        <item x="39"/>
        <item x="6"/>
        <item x="217"/>
        <item x="4"/>
        <item x="3"/>
        <item x="96"/>
        <item x="181"/>
        <item x="61"/>
        <item x="56"/>
        <item x="271"/>
        <item x="296"/>
        <item x="259"/>
        <item x="122"/>
        <item x="107"/>
        <item x="257"/>
        <item x="251"/>
        <item x="188"/>
        <item x="273"/>
        <item x="40"/>
        <item x="151"/>
        <item x="255"/>
        <item x="30"/>
        <item x="75"/>
        <item x="277"/>
        <item x="45"/>
        <item x="224"/>
        <item x="198"/>
        <item x="145"/>
        <item x="139"/>
        <item x="19"/>
        <item x="16"/>
        <item x="90"/>
        <item x="15"/>
        <item x="280"/>
        <item x="191"/>
        <item x="161"/>
        <item x="51"/>
        <item x="86"/>
        <item x="182"/>
        <item x="138"/>
        <item x="212"/>
        <item x="102"/>
        <item x="233"/>
        <item x="235"/>
        <item x="276"/>
        <item x="153"/>
        <item x="216"/>
        <item x="27"/>
        <item x="283"/>
        <item x="263"/>
        <item x="282"/>
        <item x="286"/>
        <item t="default"/>
      </items>
    </pivotField>
    <pivotField compact="0" showAll="0"/>
    <pivotField compact="0" showAll="0"/>
    <pivotField compact="0" showAll="0"/>
    <pivotField compact="0" numFmtId="178" showAll="0"/>
    <pivotField compact="0" numFmtId="178" showAll="0"/>
    <pivotField compact="0" numFmtId="178" showAll="0"/>
    <pivotField compact="0" numFmtId="177" showAll="0"/>
    <pivotField compact="0" numFmtId="178" showAll="0"/>
    <pivotField compact="0" numFmtId="177" showAll="0"/>
    <pivotField compact="0" numFmtId="177" showAll="0"/>
    <pivotField compact="0" numFmtId="177" showAll="0"/>
    <pivotField compact="0" numFmtId="178" showAll="0"/>
    <pivotField compact="0" multipleItemSelectionAllowed="1" numFmtId="177" showAll="0">
      <items count="7">
        <item x="0"/>
        <item x="1"/>
        <item x="2"/>
        <item h="1" x="3"/>
        <item h="1" x="4"/>
        <item h="1" x="5"/>
        <item t="default"/>
      </items>
    </pivotField>
    <pivotField compact="0" showAll="0"/>
    <pivotField compact="0" numFmtId="178" showAll="0"/>
    <pivotField compact="0" numFmtId="178" showAll="0"/>
    <pivotField compact="0" numFmtId="178" showAll="0"/>
    <pivotField compact="0" numFmtId="178" showAll="0"/>
    <pivotField compact="0" numFmtId="178" showAll="0"/>
    <pivotField compact="0" numFmtId="177" showAll="0"/>
    <pivotField compact="0" numFmtId="178" showAll="0"/>
    <pivotField compact="0" showAll="0"/>
    <pivotField compact="0" numFmtId="177" showAll="0"/>
    <pivotField compact="0" numFmtId="177" showAll="0"/>
    <pivotField compact="0" showAll="0"/>
    <pivotField compact="0" numFmtId="177" showAll="0"/>
    <pivotField compact="0" numFmtId="177" showAll="0"/>
    <pivotField compact="0" numFmtId="177" showAll="0"/>
    <pivotField compact="0" showAll="0"/>
    <pivotField compact="0" numFmtId="177" showAll="0"/>
    <pivotField compact="0" numFmtId="177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2:P22" totalsRowShown="0">
  <autoFilter ref="A2:P22">
    <filterColumn colId="14">
      <customFilters>
        <customFilter operator="equal" val="0"/>
      </customFilters>
    </filterColumn>
  </autoFilter>
  <sortState ref="A2:P22">
    <sortCondition ref="L2" descending="1"/>
  </sortState>
  <tableColumns count="16">
    <tableColumn id="1" name="四级机构名称" dataDxfId="0"/>
    <tableColumn id="2" name="部名称" dataDxfId="1"/>
    <tableColumn id="3" name="组名称" dataDxfId="2"/>
    <tableColumn id="4" name="业务员姓名" dataDxfId="3"/>
    <tableColumn id="5" name="业务员代码" dataDxfId="4"/>
    <tableColumn id="6" name="月初人力" dataDxfId="5"/>
    <tableColumn id="7" name="现有人力" dataDxfId="6"/>
    <tableColumn id="8" name="预收实动人力" dataDxfId="7"/>
    <tableColumn id="9" name="预收实动率" dataDxfId="8"/>
    <tableColumn id="10" name="目标价值" dataDxfId="9"/>
    <tableColumn id="11" name="预收价值" dataDxfId="10"/>
    <tableColumn id="12" name="预收达成率" dataDxfId="11"/>
    <tableColumn id="13" name="承保价值" dataDxfId="12"/>
    <tableColumn id="14" name="承保达成率" dataDxfId="13"/>
    <tableColumn id="15" name="本人预收" dataDxfId="14"/>
    <tableColumn id="16" name="本人承保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68" totalsRowShown="0">
  <autoFilter ref="A1:H68">
    <filterColumn colId="0">
      <customFilters>
        <customFilter operator="equal" val="谢家集"/>
      </customFilters>
    </filterColumn>
  </autoFilter>
  <sortState ref="A1:H68">
    <sortCondition ref="H1" descending="1"/>
  </sortState>
  <tableColumns count="8">
    <tableColumn id="1" name="营服" dataDxfId="19"/>
    <tableColumn id="2" name="部" dataDxfId="20"/>
    <tableColumn id="3" name="姓名" dataDxfId="21"/>
    <tableColumn id="4" name="代码" dataDxfId="22"/>
    <tableColumn id="5" name="金额" dataDxfId="23"/>
    <tableColumn id="6" name="目标" dataDxfId="24"/>
    <tableColumn id="7" name="好习惯" dataDxfId="25"/>
    <tableColumn id="8" name="达成率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0.25.2.2/rptapp/#main?id=8546135924535795498&amp;type=shar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:AA502"/>
  <sheetViews>
    <sheetView tabSelected="1" zoomScale="175" zoomScaleNormal="175" workbookViewId="0">
      <selection activeCell="F1" sqref="F$1:F$1048576"/>
    </sheetView>
  </sheetViews>
  <sheetFormatPr defaultColWidth="9" defaultRowHeight="13.5"/>
  <cols>
    <col min="5" max="5" width="10.375"/>
    <col min="6" max="6" width="19.375" style="125"/>
    <col min="10" max="10" width="16" customWidth="1"/>
    <col min="11" max="11" width="16"/>
    <col min="17" max="17" width="11.5"/>
    <col min="20" max="20" width="16"/>
    <col min="21" max="21" width="9" customWidth="1"/>
    <col min="22" max="22" width="9.375" style="2"/>
    <col min="23" max="27" width="9" style="2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s="12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>
        <v>588442562</v>
      </c>
      <c r="F2" s="125">
        <v>7946276531001</v>
      </c>
      <c r="G2">
        <v>4126</v>
      </c>
      <c r="H2" t="s">
        <v>31</v>
      </c>
      <c r="I2" s="123" t="s">
        <v>32</v>
      </c>
      <c r="J2" s="123">
        <v>44326.8068981481</v>
      </c>
      <c r="K2" s="123"/>
      <c r="L2" t="s">
        <v>33</v>
      </c>
      <c r="M2">
        <v>20</v>
      </c>
      <c r="N2" t="s">
        <v>34</v>
      </c>
      <c r="P2">
        <v>0</v>
      </c>
      <c r="Q2">
        <v>0</v>
      </c>
      <c r="R2">
        <v>1116</v>
      </c>
      <c r="S2">
        <v>1116</v>
      </c>
      <c r="T2" s="123"/>
      <c r="V2" s="2">
        <f>TEXT(J:J,"yyyymmdd")*1</f>
        <v>20210510</v>
      </c>
      <c r="W2" s="2">
        <f>IF(AND(M:M&gt;1,R:R&gt;3000),1,0)-IF(AND(M:M&gt;1,R:R&gt;3000,G:G=4126),1,0)-IF(AND(M:M&gt;1,R:R&gt;3000,G:G=4127),1,0)+IF(X:X&gt;=3000,1,0)</f>
        <v>1</v>
      </c>
      <c r="X2" s="2">
        <f>(SUMIF(F:F,IF(H:H="福禄20两全",F:F,0),险种!R:R)-SUMIFS(R:R,F:F,F:F,M:M,"&lt;=1"))*_xlfn.IFS(G:G=4126,1,OR(G:G&gt;4126,G:G&lt;4126),0)</f>
        <v>4650</v>
      </c>
      <c r="Y2" s="2">
        <f>IF(AND(W:W=1,V:V&lt;=20210510),1,0)</f>
        <v>1</v>
      </c>
      <c r="Z2" s="2">
        <f>IF(AND(W:W=1,V:V&lt;=20210520,V:V&gt;20210510),1,0)</f>
        <v>0</v>
      </c>
      <c r="AA2" s="2">
        <f t="shared" ref="AA2:AA33" si="0">ROUNDDOWN(IF(AND(R:R&gt;=1000,M:M&gt;1),R:R,0)/1000,0)*IF(OR(G:G=4126,G:G=4127),0,1)+ROUNDDOWN(X:X/1000,)</f>
        <v>4</v>
      </c>
    </row>
    <row r="3" spans="1:27">
      <c r="A3" t="s">
        <v>27</v>
      </c>
      <c r="B3" t="s">
        <v>28</v>
      </c>
      <c r="C3" t="s">
        <v>29</v>
      </c>
      <c r="D3" t="s">
        <v>30</v>
      </c>
      <c r="E3">
        <v>588442562</v>
      </c>
      <c r="F3" s="125">
        <v>7946276531001</v>
      </c>
      <c r="G3">
        <v>4127</v>
      </c>
      <c r="H3" t="s">
        <v>31</v>
      </c>
      <c r="I3" s="123" t="s">
        <v>32</v>
      </c>
      <c r="J3" s="123">
        <v>44326.8068981481</v>
      </c>
      <c r="K3" s="123"/>
      <c r="L3" t="s">
        <v>33</v>
      </c>
      <c r="M3">
        <v>20</v>
      </c>
      <c r="N3" t="s">
        <v>34</v>
      </c>
      <c r="P3">
        <v>0</v>
      </c>
      <c r="Q3">
        <v>0</v>
      </c>
      <c r="R3">
        <v>3534</v>
      </c>
      <c r="S3" s="123">
        <v>3534</v>
      </c>
      <c r="T3" s="123"/>
      <c r="V3" s="2">
        <f>TEXT(J:J,"yyyymmdd")*1</f>
        <v>20210510</v>
      </c>
      <c r="W3" s="2">
        <f t="shared" ref="W2:W10" si="1">IF(AND(M:M&gt;1,R:R&gt;3000),1,0)-IF(AND(M:M&gt;1,R:R&gt;3000,G:G=4126),1,0)-IF(AND(M:M&gt;1,R:R&gt;3000,G:G=4127),1,0)+IF(X:X&gt;=3000,1,0)</f>
        <v>0</v>
      </c>
      <c r="X3" s="2">
        <f>(SUMIF(F:F,IF(H:H="福禄20两全",F:F,0),险种!R:R)-SUMIFS(R:R,F:F,F:F,M:M,"&lt;=1"))*_xlfn.IFS(G:G=4126,1,OR(G:G&gt;4126,G:G&lt;4126),0)</f>
        <v>0</v>
      </c>
      <c r="Y3" s="2">
        <f t="shared" ref="Y3:Y66" si="2">IF(AND(W:W=1,V:V&lt;=20210510),1,0)</f>
        <v>0</v>
      </c>
      <c r="Z3" s="2">
        <f t="shared" ref="Z3:Z66" si="3">IF(AND(W:W=1,V:V&lt;=20210520,V:V&gt;20210510),1,0)</f>
        <v>0</v>
      </c>
      <c r="AA3" s="2">
        <f t="shared" si="0"/>
        <v>0</v>
      </c>
    </row>
    <row r="4" spans="1:27">
      <c r="A4" t="s">
        <v>27</v>
      </c>
      <c r="B4" t="s">
        <v>28</v>
      </c>
      <c r="C4" t="s">
        <v>29</v>
      </c>
      <c r="D4" t="s">
        <v>30</v>
      </c>
      <c r="E4">
        <v>588442562</v>
      </c>
      <c r="F4" s="125">
        <v>7946276531001</v>
      </c>
      <c r="G4">
        <v>4114</v>
      </c>
      <c r="H4" t="s">
        <v>35</v>
      </c>
      <c r="I4" s="123" t="s">
        <v>32</v>
      </c>
      <c r="J4" s="123">
        <v>44326.8068981481</v>
      </c>
      <c r="K4" s="123"/>
      <c r="L4" t="s">
        <v>33</v>
      </c>
      <c r="M4">
        <v>1</v>
      </c>
      <c r="N4" t="s">
        <v>34</v>
      </c>
      <c r="P4">
        <v>0</v>
      </c>
      <c r="Q4">
        <v>0</v>
      </c>
      <c r="R4">
        <v>130</v>
      </c>
      <c r="S4" s="123">
        <v>130</v>
      </c>
      <c r="T4" s="123"/>
      <c r="V4" s="2">
        <f>TEXT(J:J,"yyyymmdd")*1</f>
        <v>20210510</v>
      </c>
      <c r="W4" s="2">
        <f t="shared" si="1"/>
        <v>0</v>
      </c>
      <c r="X4" s="2">
        <f>(SUMIF(F:F,IF(H:H="福禄20两全",F:F,0),险种!R:R)-SUMIFS(R:R,F:F,F:F,M:M,"&lt;=1"))*_xlfn.IFS(G:G=4126,1,OR(G:G&gt;4126,G:G&lt;4126),0)</f>
        <v>0</v>
      </c>
      <c r="Y4" s="2">
        <f t="shared" si="2"/>
        <v>0</v>
      </c>
      <c r="Z4" s="2">
        <f t="shared" si="3"/>
        <v>0</v>
      </c>
      <c r="AA4" s="2">
        <f t="shared" si="0"/>
        <v>0</v>
      </c>
    </row>
    <row r="5" spans="1:27">
      <c r="A5" t="s">
        <v>27</v>
      </c>
      <c r="B5" t="s">
        <v>28</v>
      </c>
      <c r="C5" t="s">
        <v>29</v>
      </c>
      <c r="D5" t="s">
        <v>30</v>
      </c>
      <c r="E5">
        <v>588442562</v>
      </c>
      <c r="F5" s="125">
        <v>7946276531001</v>
      </c>
      <c r="G5">
        <v>4123</v>
      </c>
      <c r="H5" t="s">
        <v>36</v>
      </c>
      <c r="I5" s="123" t="s">
        <v>32</v>
      </c>
      <c r="J5" s="123">
        <v>44326.8068981481</v>
      </c>
      <c r="K5" s="123"/>
      <c r="L5" t="s">
        <v>33</v>
      </c>
      <c r="M5">
        <v>1</v>
      </c>
      <c r="N5" t="s">
        <v>34</v>
      </c>
      <c r="P5">
        <v>0</v>
      </c>
      <c r="Q5">
        <v>0</v>
      </c>
      <c r="R5">
        <v>1663</v>
      </c>
      <c r="S5" s="123">
        <v>1663</v>
      </c>
      <c r="T5" s="123"/>
      <c r="V5" s="2">
        <f>TEXT(J:J,"yyyymmdd")*1</f>
        <v>20210510</v>
      </c>
      <c r="W5" s="2">
        <f t="shared" si="1"/>
        <v>0</v>
      </c>
      <c r="X5" s="2">
        <f>(SUMIF(F:F,IF(H:H="福禄20两全",F:F,0),险种!R:R)-SUMIFS(R:R,F:F,F:F,M:M,"&lt;=1"))*_xlfn.IFS(G:G=4126,1,OR(G:G&gt;4126,G:G&lt;4126),0)</f>
        <v>0</v>
      </c>
      <c r="Y5" s="2">
        <f t="shared" si="2"/>
        <v>0</v>
      </c>
      <c r="Z5" s="2">
        <f t="shared" si="3"/>
        <v>0</v>
      </c>
      <c r="AA5" s="2">
        <f t="shared" si="0"/>
        <v>0</v>
      </c>
    </row>
    <row r="6" spans="1:27">
      <c r="A6" t="s">
        <v>27</v>
      </c>
      <c r="B6" t="s">
        <v>37</v>
      </c>
      <c r="C6" t="s">
        <v>38</v>
      </c>
      <c r="D6" t="s">
        <v>39</v>
      </c>
      <c r="E6">
        <v>68852502</v>
      </c>
      <c r="F6" s="125">
        <v>6173088725001</v>
      </c>
      <c r="G6">
        <v>4124</v>
      </c>
      <c r="H6" t="s">
        <v>40</v>
      </c>
      <c r="I6" s="1" t="s">
        <v>32</v>
      </c>
      <c r="J6" s="1">
        <v>44326.7046875</v>
      </c>
      <c r="K6" s="123"/>
      <c r="L6" t="s">
        <v>41</v>
      </c>
      <c r="M6">
        <v>1</v>
      </c>
      <c r="N6" t="s">
        <v>41</v>
      </c>
      <c r="P6">
        <v>0</v>
      </c>
      <c r="Q6">
        <v>4.551695484</v>
      </c>
      <c r="R6">
        <v>282</v>
      </c>
      <c r="S6" s="123">
        <v>282</v>
      </c>
      <c r="T6" s="123"/>
      <c r="V6" s="2">
        <f>TEXT(J:J,"yyyymmdd")*1</f>
        <v>20210510</v>
      </c>
      <c r="W6" s="2">
        <f t="shared" si="1"/>
        <v>0</v>
      </c>
      <c r="X6" s="2">
        <f>(SUMIF(F:F,IF(H:H="福禄20两全",F:F,0),险种!R:R)-SUMIFS(R:R,F:F,F:F,M:M,"&lt;=1"))*_xlfn.IFS(G:G=4126,1,OR(G:G&gt;4126,G:G&lt;4126),0)</f>
        <v>0</v>
      </c>
      <c r="Y6" s="2">
        <f t="shared" si="2"/>
        <v>0</v>
      </c>
      <c r="Z6" s="2">
        <f t="shared" si="3"/>
        <v>0</v>
      </c>
      <c r="AA6" s="2">
        <f t="shared" si="0"/>
        <v>0</v>
      </c>
    </row>
    <row r="7" spans="1:27">
      <c r="A7" t="s">
        <v>42</v>
      </c>
      <c r="B7" t="s">
        <v>43</v>
      </c>
      <c r="C7" t="s">
        <v>44</v>
      </c>
      <c r="D7" t="s">
        <v>45</v>
      </c>
      <c r="E7">
        <v>51108342</v>
      </c>
      <c r="F7" s="125">
        <v>7946153982001</v>
      </c>
      <c r="G7">
        <v>4114</v>
      </c>
      <c r="H7" t="s">
        <v>35</v>
      </c>
      <c r="I7" s="1" t="s">
        <v>32</v>
      </c>
      <c r="J7" s="1">
        <v>44326.6774652778</v>
      </c>
      <c r="K7" s="123"/>
      <c r="L7" t="s">
        <v>41</v>
      </c>
      <c r="M7">
        <v>1</v>
      </c>
      <c r="N7" t="s">
        <v>41</v>
      </c>
      <c r="P7">
        <v>100000</v>
      </c>
      <c r="Q7">
        <v>-7.703248214</v>
      </c>
      <c r="R7">
        <v>280</v>
      </c>
      <c r="S7" s="123">
        <v>280</v>
      </c>
      <c r="T7" s="123"/>
      <c r="V7" s="2">
        <f>TEXT(J:J,"yyyymmdd")*1</f>
        <v>20210510</v>
      </c>
      <c r="W7" s="2">
        <f t="shared" si="1"/>
        <v>0</v>
      </c>
      <c r="X7" s="2">
        <f>(SUMIF(F:F,IF(H:H="福禄20两全",F:F,0),险种!R:R)-SUMIFS(R:R,F:F,F:F,M:M,"&lt;=1"))*_xlfn.IFS(G:G=4126,1,OR(G:G&gt;4126,G:G&lt;4126),0)</f>
        <v>0</v>
      </c>
      <c r="Y7" s="2">
        <f t="shared" si="2"/>
        <v>0</v>
      </c>
      <c r="Z7" s="2">
        <f t="shared" si="3"/>
        <v>0</v>
      </c>
      <c r="AA7" s="2">
        <f t="shared" si="0"/>
        <v>0</v>
      </c>
    </row>
    <row r="8" spans="1:27">
      <c r="A8" t="s">
        <v>42</v>
      </c>
      <c r="B8" t="s">
        <v>43</v>
      </c>
      <c r="C8" t="s">
        <v>44</v>
      </c>
      <c r="D8" t="s">
        <v>45</v>
      </c>
      <c r="E8">
        <v>51108342</v>
      </c>
      <c r="F8" s="125">
        <v>7946153982001</v>
      </c>
      <c r="G8">
        <v>4128</v>
      </c>
      <c r="H8" t="s">
        <v>46</v>
      </c>
      <c r="I8" s="1" t="s">
        <v>32</v>
      </c>
      <c r="J8" s="1">
        <v>44326.6774652778</v>
      </c>
      <c r="K8" s="123"/>
      <c r="L8" t="s">
        <v>41</v>
      </c>
      <c r="M8">
        <v>1</v>
      </c>
      <c r="N8" t="s">
        <v>41</v>
      </c>
      <c r="P8">
        <v>1000000</v>
      </c>
      <c r="Q8">
        <v>2.076628639</v>
      </c>
      <c r="R8">
        <v>59.9</v>
      </c>
      <c r="S8" s="123">
        <v>59.9</v>
      </c>
      <c r="T8" s="123"/>
      <c r="V8" s="2">
        <f>TEXT(J:J,"yyyymmdd")*1</f>
        <v>20210510</v>
      </c>
      <c r="W8" s="2">
        <f t="shared" si="1"/>
        <v>0</v>
      </c>
      <c r="X8" s="2">
        <f>(SUMIF(F:F,IF(H:H="福禄20两全",F:F,0),险种!R:R)-SUMIFS(R:R,F:F,F:F,M:M,"&lt;=1"))*_xlfn.IFS(G:G=4126,1,OR(G:G&gt;4126,G:G&lt;4126),0)</f>
        <v>0</v>
      </c>
      <c r="Y8" s="2">
        <f t="shared" si="2"/>
        <v>0</v>
      </c>
      <c r="Z8" s="2">
        <f t="shared" si="3"/>
        <v>0</v>
      </c>
      <c r="AA8" s="2">
        <f t="shared" si="0"/>
        <v>0</v>
      </c>
    </row>
    <row r="9" spans="1:27">
      <c r="A9" t="s">
        <v>42</v>
      </c>
      <c r="B9" t="s">
        <v>43</v>
      </c>
      <c r="C9" t="s">
        <v>44</v>
      </c>
      <c r="D9" t="s">
        <v>45</v>
      </c>
      <c r="E9">
        <v>51108342</v>
      </c>
      <c r="F9" s="125">
        <v>7946153982001</v>
      </c>
      <c r="G9">
        <v>4118</v>
      </c>
      <c r="H9" t="s">
        <v>47</v>
      </c>
      <c r="I9" t="s">
        <v>32</v>
      </c>
      <c r="J9" s="1">
        <v>44326.6774652778</v>
      </c>
      <c r="K9" s="123"/>
      <c r="L9" t="s">
        <v>41</v>
      </c>
      <c r="M9">
        <v>20</v>
      </c>
      <c r="N9" t="s">
        <v>41</v>
      </c>
      <c r="P9">
        <v>120000</v>
      </c>
      <c r="Q9">
        <v>3549.864094007</v>
      </c>
      <c r="R9">
        <v>4716</v>
      </c>
      <c r="S9">
        <v>4716</v>
      </c>
      <c r="T9" s="123"/>
      <c r="V9" s="2">
        <f>TEXT(J:J,"yyyymmdd")*1</f>
        <v>20210510</v>
      </c>
      <c r="W9" s="2">
        <f t="shared" si="1"/>
        <v>1</v>
      </c>
      <c r="X9" s="2">
        <f>(SUMIF(F:F,IF(H:H="福禄20两全",F:F,0),险种!R:R)-SUMIFS(R:R,F:F,F:F,M:M,"&lt;=1"))*_xlfn.IFS(G:G=4126,1,OR(G:G&gt;4126,G:G&lt;4126),0)</f>
        <v>0</v>
      </c>
      <c r="Y9" s="2">
        <f t="shared" si="2"/>
        <v>1</v>
      </c>
      <c r="Z9" s="2">
        <f t="shared" si="3"/>
        <v>0</v>
      </c>
      <c r="AA9" s="2">
        <f t="shared" si="0"/>
        <v>4</v>
      </c>
    </row>
    <row r="10" spans="1:27">
      <c r="A10" t="s">
        <v>42</v>
      </c>
      <c r="B10" t="s">
        <v>43</v>
      </c>
      <c r="C10" t="s">
        <v>44</v>
      </c>
      <c r="D10" t="s">
        <v>45</v>
      </c>
      <c r="E10">
        <v>51108342</v>
      </c>
      <c r="F10" s="125">
        <v>7946153982001</v>
      </c>
      <c r="G10">
        <v>4123</v>
      </c>
      <c r="H10" t="s">
        <v>36</v>
      </c>
      <c r="I10" t="s">
        <v>32</v>
      </c>
      <c r="J10" s="1">
        <v>44326.6774652778</v>
      </c>
      <c r="K10" s="123"/>
      <c r="L10" t="s">
        <v>41</v>
      </c>
      <c r="M10">
        <v>1</v>
      </c>
      <c r="N10" t="s">
        <v>41</v>
      </c>
      <c r="P10">
        <v>1040000</v>
      </c>
      <c r="Q10">
        <v>-134.927686251</v>
      </c>
      <c r="R10">
        <v>1766</v>
      </c>
      <c r="S10">
        <v>1766</v>
      </c>
      <c r="T10" s="123"/>
      <c r="V10" s="2">
        <f>TEXT(J:J,"yyyymmdd")*1</f>
        <v>20210510</v>
      </c>
      <c r="W10" s="2">
        <f t="shared" si="1"/>
        <v>0</v>
      </c>
      <c r="X10" s="2">
        <f>(SUMIF(F:F,IF(H:H="福禄20两全",F:F,0),险种!R:R)-SUMIFS(R:R,F:F,F:F,M:M,"&lt;=1"))*_xlfn.IFS(G:G=4126,1,OR(G:G&gt;4126,G:G&lt;4126),0)</f>
        <v>0</v>
      </c>
      <c r="Y10" s="2">
        <f t="shared" si="2"/>
        <v>0</v>
      </c>
      <c r="Z10" s="2">
        <f t="shared" si="3"/>
        <v>0</v>
      </c>
      <c r="AA10" s="2">
        <f t="shared" si="0"/>
        <v>0</v>
      </c>
    </row>
    <row r="11" spans="1:27">
      <c r="A11" t="s">
        <v>48</v>
      </c>
      <c r="B11" t="s">
        <v>49</v>
      </c>
      <c r="C11" t="s">
        <v>50</v>
      </c>
      <c r="D11" t="s">
        <v>51</v>
      </c>
      <c r="E11">
        <v>5212998502</v>
      </c>
      <c r="F11" s="125">
        <v>6171706149001</v>
      </c>
      <c r="G11">
        <v>4124</v>
      </c>
      <c r="H11" t="s">
        <v>40</v>
      </c>
      <c r="I11" t="s">
        <v>32</v>
      </c>
      <c r="J11" s="1">
        <v>44326.5097222222</v>
      </c>
      <c r="K11" s="123"/>
      <c r="L11" t="s">
        <v>41</v>
      </c>
      <c r="M11">
        <v>1</v>
      </c>
      <c r="N11" t="s">
        <v>41</v>
      </c>
      <c r="P11">
        <v>0</v>
      </c>
      <c r="Q11">
        <v>4.551695484</v>
      </c>
      <c r="R11">
        <v>282</v>
      </c>
      <c r="S11">
        <v>282</v>
      </c>
      <c r="T11" s="123"/>
      <c r="V11" s="2">
        <f t="shared" ref="V11:V29" si="4">TEXT(J:J,"yyyymmdd")*1</f>
        <v>20210510</v>
      </c>
      <c r="W11" s="2">
        <f t="shared" ref="W11:W38" si="5">IF(AND(M:M&gt;1,R:R&gt;3000),1,0)-IF(AND(M:M&gt;1,R:R&gt;3000,G:G=4126),1,0)-IF(AND(M:M&gt;1,R:R&gt;3000,G:G=4127),1,0)+IF(X:X&gt;=3000,1,0)</f>
        <v>0</v>
      </c>
      <c r="X11" s="2">
        <f>(SUMIF(F:F,IF(H:H="福禄20两全",F:F,0),险种!R:R)-SUMIFS(R:R,F:F,F:F,M:M,"&lt;=1"))*_xlfn.IFS(G:G=4126,1,OR(G:G&gt;4126,G:G&lt;4126),0)</f>
        <v>0</v>
      </c>
      <c r="Y11" s="2">
        <f t="shared" si="2"/>
        <v>0</v>
      </c>
      <c r="Z11" s="2">
        <f t="shared" si="3"/>
        <v>0</v>
      </c>
      <c r="AA11" s="2">
        <f t="shared" si="0"/>
        <v>0</v>
      </c>
    </row>
    <row r="12" spans="1:27">
      <c r="A12" t="s">
        <v>27</v>
      </c>
      <c r="B12" t="s">
        <v>52</v>
      </c>
      <c r="C12" t="s">
        <v>53</v>
      </c>
      <c r="D12" t="s">
        <v>54</v>
      </c>
      <c r="E12">
        <v>531925062</v>
      </c>
      <c r="F12" s="125">
        <v>6171537367001</v>
      </c>
      <c r="G12">
        <v>4124</v>
      </c>
      <c r="H12" t="s">
        <v>40</v>
      </c>
      <c r="I12" t="s">
        <v>32</v>
      </c>
      <c r="J12" s="1">
        <v>44326.4802083333</v>
      </c>
      <c r="K12" s="123"/>
      <c r="L12" t="s">
        <v>41</v>
      </c>
      <c r="M12">
        <v>1</v>
      </c>
      <c r="N12" t="s">
        <v>41</v>
      </c>
      <c r="P12">
        <v>0</v>
      </c>
      <c r="Q12">
        <v>18.884695605</v>
      </c>
      <c r="R12">
        <v>1170</v>
      </c>
      <c r="S12">
        <v>1170</v>
      </c>
      <c r="T12" s="123">
        <v>44326.4815509259</v>
      </c>
      <c r="V12" s="2">
        <f t="shared" si="4"/>
        <v>20210510</v>
      </c>
      <c r="W12" s="2">
        <f t="shared" si="5"/>
        <v>0</v>
      </c>
      <c r="X12" s="2">
        <f>(SUMIF(F:F,IF(H:H="福禄20两全",F:F,0),险种!R:R)-SUMIFS(R:R,F:F,F:F,M:M,"&lt;=1"))*_xlfn.IFS(G:G=4126,1,OR(G:G&gt;4126,G:G&lt;4126),0)</f>
        <v>0</v>
      </c>
      <c r="Y12" s="2">
        <f t="shared" si="2"/>
        <v>0</v>
      </c>
      <c r="Z12" s="2">
        <f t="shared" si="3"/>
        <v>0</v>
      </c>
      <c r="AA12" s="2">
        <f t="shared" si="0"/>
        <v>0</v>
      </c>
    </row>
    <row r="13" spans="1:27">
      <c r="A13" t="s">
        <v>27</v>
      </c>
      <c r="B13" t="s">
        <v>52</v>
      </c>
      <c r="C13" t="s">
        <v>53</v>
      </c>
      <c r="D13" t="s">
        <v>54</v>
      </c>
      <c r="E13">
        <v>531925062</v>
      </c>
      <c r="F13" s="125">
        <v>6171397909001</v>
      </c>
      <c r="G13">
        <v>4124</v>
      </c>
      <c r="H13" t="s">
        <v>40</v>
      </c>
      <c r="I13" t="s">
        <v>32</v>
      </c>
      <c r="J13" s="1">
        <v>44326.4637615741</v>
      </c>
      <c r="K13" s="123"/>
      <c r="L13" t="s">
        <v>41</v>
      </c>
      <c r="M13">
        <v>1</v>
      </c>
      <c r="N13" t="s">
        <v>41</v>
      </c>
      <c r="P13">
        <v>0</v>
      </c>
      <c r="Q13">
        <v>5.69769028</v>
      </c>
      <c r="R13">
        <v>353</v>
      </c>
      <c r="S13">
        <v>353</v>
      </c>
      <c r="T13" s="123">
        <v>44326.464525463</v>
      </c>
      <c r="V13" s="2">
        <f t="shared" si="4"/>
        <v>20210510</v>
      </c>
      <c r="W13" s="2">
        <f t="shared" si="5"/>
        <v>0</v>
      </c>
      <c r="X13" s="2">
        <f>(SUMIF(F:F,IF(H:H="福禄20两全",F:F,0),险种!R:R)-SUMIFS(R:R,F:F,F:F,M:M,"&lt;=1"))*_xlfn.IFS(G:G=4126,1,OR(G:G&gt;4126,G:G&lt;4126),0)</f>
        <v>0</v>
      </c>
      <c r="Y13" s="2">
        <f t="shared" si="2"/>
        <v>0</v>
      </c>
      <c r="Z13" s="2">
        <f t="shared" si="3"/>
        <v>0</v>
      </c>
      <c r="AA13" s="2">
        <f t="shared" si="0"/>
        <v>0</v>
      </c>
    </row>
    <row r="14" spans="1:27">
      <c r="A14" t="s">
        <v>48</v>
      </c>
      <c r="B14" t="s">
        <v>49</v>
      </c>
      <c r="C14" t="s">
        <v>50</v>
      </c>
      <c r="D14" t="s">
        <v>51</v>
      </c>
      <c r="E14">
        <v>5212998502</v>
      </c>
      <c r="F14" s="125">
        <v>6170963987001</v>
      </c>
      <c r="G14">
        <v>4124</v>
      </c>
      <c r="H14" t="s">
        <v>40</v>
      </c>
      <c r="I14" t="s">
        <v>32</v>
      </c>
      <c r="J14" s="1">
        <v>44326.424525463</v>
      </c>
      <c r="K14" s="123">
        <v>44326.6959490741</v>
      </c>
      <c r="L14" t="s">
        <v>55</v>
      </c>
      <c r="M14">
        <v>1</v>
      </c>
      <c r="N14" t="s">
        <v>56</v>
      </c>
      <c r="P14">
        <v>0</v>
      </c>
      <c r="Q14">
        <v>4.551695484</v>
      </c>
      <c r="R14">
        <v>282</v>
      </c>
      <c r="S14">
        <v>282</v>
      </c>
      <c r="T14" s="123">
        <v>44326.6949074074</v>
      </c>
      <c r="U14" t="s">
        <v>57</v>
      </c>
      <c r="V14" s="2">
        <f>TEXT(J:J,"yyyymmdd")*1</f>
        <v>20210510</v>
      </c>
      <c r="W14" s="2">
        <f t="shared" si="5"/>
        <v>0</v>
      </c>
      <c r="X14" s="2">
        <f>(SUMIF(F:F,IF(H:H="福禄20两全",F:F,0),险种!R:R)-SUMIFS(R:R,F:F,F:F,M:M,"&lt;=1"))*_xlfn.IFS(G:G=4126,1,OR(G:G&gt;4126,G:G&lt;4126),0)</f>
        <v>0</v>
      </c>
      <c r="Y14" s="2">
        <f t="shared" si="2"/>
        <v>0</v>
      </c>
      <c r="Z14" s="2">
        <f t="shared" si="3"/>
        <v>0</v>
      </c>
      <c r="AA14" s="2">
        <f t="shared" si="0"/>
        <v>0</v>
      </c>
    </row>
    <row r="15" spans="1:27">
      <c r="A15" t="s">
        <v>27</v>
      </c>
      <c r="B15" t="s">
        <v>58</v>
      </c>
      <c r="C15" t="s">
        <v>59</v>
      </c>
      <c r="D15" t="s">
        <v>60</v>
      </c>
      <c r="E15">
        <v>51137372</v>
      </c>
      <c r="F15" s="125">
        <v>6170983611001</v>
      </c>
      <c r="G15">
        <v>4124</v>
      </c>
      <c r="H15" t="s">
        <v>40</v>
      </c>
      <c r="I15" t="s">
        <v>32</v>
      </c>
      <c r="J15" s="1">
        <v>44326.4245138889</v>
      </c>
      <c r="K15" s="123"/>
      <c r="L15" t="s">
        <v>41</v>
      </c>
      <c r="M15">
        <v>1</v>
      </c>
      <c r="N15" t="s">
        <v>41</v>
      </c>
      <c r="P15">
        <v>0</v>
      </c>
      <c r="Q15">
        <v>5.891379471</v>
      </c>
      <c r="R15">
        <v>365</v>
      </c>
      <c r="S15">
        <v>365</v>
      </c>
      <c r="T15" s="123"/>
      <c r="V15" s="2">
        <f>TEXT(J:J,"yyyymmdd")*1</f>
        <v>20210510</v>
      </c>
      <c r="W15" s="2">
        <f t="shared" si="5"/>
        <v>0</v>
      </c>
      <c r="X15" s="2">
        <f>(SUMIF(F:F,IF(H:H="福禄20两全",F:F,0),险种!R:R)-SUMIFS(R:R,F:F,F:F,M:M,"&lt;=1"))*_xlfn.IFS(G:G=4126,1,OR(G:G&gt;4126,G:G&lt;4126),0)</f>
        <v>0</v>
      </c>
      <c r="Y15" s="2">
        <f t="shared" si="2"/>
        <v>0</v>
      </c>
      <c r="Z15" s="2">
        <f t="shared" si="3"/>
        <v>0</v>
      </c>
      <c r="AA15" s="2">
        <f t="shared" si="0"/>
        <v>0</v>
      </c>
    </row>
    <row r="16" spans="1:27">
      <c r="A16" t="s">
        <v>27</v>
      </c>
      <c r="B16" t="s">
        <v>58</v>
      </c>
      <c r="C16" t="s">
        <v>59</v>
      </c>
      <c r="D16" t="s">
        <v>60</v>
      </c>
      <c r="E16">
        <v>51137372</v>
      </c>
      <c r="F16" s="125">
        <v>6170983611001</v>
      </c>
      <c r="G16">
        <v>4122</v>
      </c>
      <c r="H16" t="s">
        <v>61</v>
      </c>
      <c r="I16" t="s">
        <v>32</v>
      </c>
      <c r="J16" s="1">
        <v>44326.4245138889</v>
      </c>
      <c r="K16" s="123"/>
      <c r="L16" t="s">
        <v>41</v>
      </c>
      <c r="M16">
        <v>1</v>
      </c>
      <c r="N16" t="s">
        <v>41</v>
      </c>
      <c r="P16">
        <v>4054000</v>
      </c>
      <c r="Q16">
        <v>38.83423353</v>
      </c>
      <c r="R16">
        <v>444</v>
      </c>
      <c r="S16">
        <v>444</v>
      </c>
      <c r="T16" s="123"/>
      <c r="V16" s="2">
        <f>TEXT(J:J,"yyyymmdd")*1</f>
        <v>20210510</v>
      </c>
      <c r="W16" s="2">
        <f t="shared" si="5"/>
        <v>0</v>
      </c>
      <c r="X16" s="2">
        <f>(SUMIF(F:F,IF(H:H="福禄20两全",F:F,0),险种!R:R)-SUMIFS(R:R,F:F,F:F,M:M,"&lt;=1"))*_xlfn.IFS(G:G=4126,1,OR(G:G&gt;4126,G:G&lt;4126),0)</f>
        <v>0</v>
      </c>
      <c r="Y16" s="2">
        <f t="shared" si="2"/>
        <v>0</v>
      </c>
      <c r="Z16" s="2">
        <f t="shared" si="3"/>
        <v>0</v>
      </c>
      <c r="AA16" s="2">
        <f t="shared" si="0"/>
        <v>0</v>
      </c>
    </row>
    <row r="17" spans="1:27">
      <c r="A17" t="s">
        <v>42</v>
      </c>
      <c r="B17" t="s">
        <v>62</v>
      </c>
      <c r="C17" t="s">
        <v>63</v>
      </c>
      <c r="D17" t="s">
        <v>64</v>
      </c>
      <c r="E17">
        <v>6550500692</v>
      </c>
      <c r="F17" s="125">
        <v>7945892296001</v>
      </c>
      <c r="G17">
        <v>4115</v>
      </c>
      <c r="H17" t="s">
        <v>65</v>
      </c>
      <c r="I17" t="s">
        <v>32</v>
      </c>
      <c r="J17" s="1">
        <v>44325.8691898148</v>
      </c>
      <c r="K17" s="123"/>
      <c r="L17" t="s">
        <v>41</v>
      </c>
      <c r="M17">
        <v>20</v>
      </c>
      <c r="N17" t="s">
        <v>41</v>
      </c>
      <c r="P17">
        <v>1814.4</v>
      </c>
      <c r="Q17">
        <v>11168.6512837174</v>
      </c>
      <c r="R17">
        <v>12000</v>
      </c>
      <c r="S17">
        <v>12000</v>
      </c>
      <c r="T17" s="123"/>
      <c r="V17" s="2">
        <f t="shared" si="4"/>
        <v>20210509</v>
      </c>
      <c r="W17" s="2">
        <f t="shared" si="5"/>
        <v>1</v>
      </c>
      <c r="X17" s="2">
        <f>(SUMIF(F:F,IF(H:H="福禄20两全",F:F,0),险种!R:R)-SUMIFS(R:R,F:F,F:F,M:M,"&lt;=1"))*_xlfn.IFS(G:G=4126,1,OR(G:G&gt;4126,G:G&lt;4126),0)</f>
        <v>0</v>
      </c>
      <c r="Y17" s="2">
        <f t="shared" si="2"/>
        <v>1</v>
      </c>
      <c r="Z17" s="2">
        <f t="shared" si="3"/>
        <v>0</v>
      </c>
      <c r="AA17" s="2">
        <f t="shared" si="0"/>
        <v>12</v>
      </c>
    </row>
    <row r="18" spans="1:27">
      <c r="A18" t="s">
        <v>42</v>
      </c>
      <c r="B18" t="s">
        <v>66</v>
      </c>
      <c r="C18" t="s">
        <v>67</v>
      </c>
      <c r="D18" t="s">
        <v>68</v>
      </c>
      <c r="E18">
        <v>55996582</v>
      </c>
      <c r="F18" s="125">
        <v>7945848116001</v>
      </c>
      <c r="G18">
        <v>4112</v>
      </c>
      <c r="H18" t="s">
        <v>69</v>
      </c>
      <c r="I18" t="s">
        <v>32</v>
      </c>
      <c r="J18" s="1">
        <v>44325.6433101852</v>
      </c>
      <c r="K18" s="123">
        <v>44326.5957060185</v>
      </c>
      <c r="L18" t="s">
        <v>55</v>
      </c>
      <c r="M18">
        <v>20</v>
      </c>
      <c r="N18" t="s">
        <v>56</v>
      </c>
      <c r="O18">
        <v>1472</v>
      </c>
      <c r="P18">
        <v>100000</v>
      </c>
      <c r="Q18">
        <v>3236.650190275</v>
      </c>
      <c r="R18">
        <v>3680</v>
      </c>
      <c r="S18">
        <v>3680</v>
      </c>
      <c r="T18" s="123">
        <v>44326.5956944444</v>
      </c>
      <c r="U18" t="s">
        <v>57</v>
      </c>
      <c r="V18" s="2">
        <f t="shared" si="4"/>
        <v>20210509</v>
      </c>
      <c r="W18" s="2">
        <f t="shared" si="5"/>
        <v>1</v>
      </c>
      <c r="X18" s="2">
        <f>(SUMIF(F:F,IF(H:H="福禄20两全",F:F,0),险种!R:R)-SUMIFS(R:R,F:F,F:F,M:M,"&lt;=1"))*_xlfn.IFS(G:G=4126,1,OR(G:G&gt;4126,G:G&lt;4126),0)</f>
        <v>0</v>
      </c>
      <c r="Y18" s="2">
        <f t="shared" si="2"/>
        <v>1</v>
      </c>
      <c r="Z18" s="2">
        <f t="shared" si="3"/>
        <v>0</v>
      </c>
      <c r="AA18" s="2">
        <f t="shared" si="0"/>
        <v>3</v>
      </c>
    </row>
    <row r="19" spans="1:27">
      <c r="A19" t="s">
        <v>42</v>
      </c>
      <c r="B19" t="s">
        <v>66</v>
      </c>
      <c r="C19" t="s">
        <v>67</v>
      </c>
      <c r="D19" t="s">
        <v>68</v>
      </c>
      <c r="E19">
        <v>55996582</v>
      </c>
      <c r="F19" s="125">
        <v>7945848116001</v>
      </c>
      <c r="G19">
        <v>4114</v>
      </c>
      <c r="H19" t="s">
        <v>35</v>
      </c>
      <c r="I19" t="s">
        <v>32</v>
      </c>
      <c r="J19" s="1">
        <v>44325.6433101852</v>
      </c>
      <c r="K19" s="123">
        <v>44326.5957060185</v>
      </c>
      <c r="L19" t="s">
        <v>55</v>
      </c>
      <c r="M19">
        <v>1</v>
      </c>
      <c r="N19" t="s">
        <v>56</v>
      </c>
      <c r="O19">
        <v>18</v>
      </c>
      <c r="P19">
        <v>100000</v>
      </c>
      <c r="Q19">
        <v>-4.952088138</v>
      </c>
      <c r="R19">
        <v>180</v>
      </c>
      <c r="S19">
        <v>180</v>
      </c>
      <c r="T19" s="123">
        <v>44326.5956944444</v>
      </c>
      <c r="U19" t="s">
        <v>57</v>
      </c>
      <c r="V19" s="2">
        <f t="shared" si="4"/>
        <v>20210509</v>
      </c>
      <c r="W19" s="2">
        <f t="shared" si="5"/>
        <v>0</v>
      </c>
      <c r="X19" s="2">
        <f>(SUMIF(F:F,IF(H:H="福禄20两全",F:F,0),险种!R:R)-SUMIFS(R:R,F:F,F:F,M:M,"&lt;=1"))*_xlfn.IFS(G:G=4126,1,OR(G:G&gt;4126,G:G&lt;4126),0)</f>
        <v>0</v>
      </c>
      <c r="Y19" s="2">
        <f t="shared" si="2"/>
        <v>0</v>
      </c>
      <c r="Z19" s="2">
        <f t="shared" si="3"/>
        <v>0</v>
      </c>
      <c r="AA19" s="2">
        <f t="shared" si="0"/>
        <v>0</v>
      </c>
    </row>
    <row r="20" spans="1:27">
      <c r="A20" t="s">
        <v>42</v>
      </c>
      <c r="B20" t="s">
        <v>66</v>
      </c>
      <c r="C20" t="s">
        <v>67</v>
      </c>
      <c r="D20" t="s">
        <v>68</v>
      </c>
      <c r="E20">
        <v>55996582</v>
      </c>
      <c r="F20" s="125">
        <v>7945848116001</v>
      </c>
      <c r="G20">
        <v>4123</v>
      </c>
      <c r="H20" t="s">
        <v>36</v>
      </c>
      <c r="I20" t="s">
        <v>32</v>
      </c>
      <c r="J20" s="1">
        <v>44325.6433101852</v>
      </c>
      <c r="K20" s="123">
        <v>44326.5957060185</v>
      </c>
      <c r="L20" t="s">
        <v>55</v>
      </c>
      <c r="M20">
        <v>1</v>
      </c>
      <c r="N20" t="s">
        <v>56</v>
      </c>
      <c r="O20">
        <v>127.4</v>
      </c>
      <c r="P20">
        <v>1040000</v>
      </c>
      <c r="Q20">
        <v>-97.337414075</v>
      </c>
      <c r="R20">
        <v>1274</v>
      </c>
      <c r="S20">
        <v>1274</v>
      </c>
      <c r="T20" s="123">
        <v>44326.5956944444</v>
      </c>
      <c r="U20" t="s">
        <v>57</v>
      </c>
      <c r="V20" s="2">
        <f t="shared" si="4"/>
        <v>20210509</v>
      </c>
      <c r="W20" s="2">
        <f t="shared" si="5"/>
        <v>0</v>
      </c>
      <c r="X20" s="2">
        <f>(SUMIF(F:F,IF(H:H="福禄20两全",F:F,0),险种!R:R)-SUMIFS(R:R,F:F,F:F,M:M,"&lt;=1"))*_xlfn.IFS(G:G=4126,1,OR(G:G&gt;4126,G:G&lt;4126),0)</f>
        <v>0</v>
      </c>
      <c r="Y20" s="2">
        <f t="shared" si="2"/>
        <v>0</v>
      </c>
      <c r="Z20" s="2">
        <f t="shared" si="3"/>
        <v>0</v>
      </c>
      <c r="AA20" s="2">
        <f t="shared" si="0"/>
        <v>0</v>
      </c>
    </row>
    <row r="21" spans="1:27">
      <c r="A21" t="s">
        <v>42</v>
      </c>
      <c r="B21" t="s">
        <v>43</v>
      </c>
      <c r="C21" t="s">
        <v>70</v>
      </c>
      <c r="D21" t="s">
        <v>71</v>
      </c>
      <c r="E21">
        <v>5689072702</v>
      </c>
      <c r="F21" s="125">
        <v>7945834534001</v>
      </c>
      <c r="G21">
        <v>4115</v>
      </c>
      <c r="H21" t="s">
        <v>65</v>
      </c>
      <c r="I21" t="s">
        <v>32</v>
      </c>
      <c r="J21" s="1">
        <v>44325.6194328704</v>
      </c>
      <c r="K21" s="123">
        <v>44326.6022916667</v>
      </c>
      <c r="L21" t="s">
        <v>55</v>
      </c>
      <c r="M21">
        <v>20</v>
      </c>
      <c r="N21" t="s">
        <v>56</v>
      </c>
      <c r="O21">
        <v>1750</v>
      </c>
      <c r="P21">
        <v>829.1</v>
      </c>
      <c r="Q21">
        <v>6515.046582005</v>
      </c>
      <c r="R21">
        <v>7000</v>
      </c>
      <c r="S21">
        <v>7000</v>
      </c>
      <c r="T21" s="123">
        <v>44326.6022685185</v>
      </c>
      <c r="U21" t="s">
        <v>57</v>
      </c>
      <c r="V21" s="2">
        <f t="shared" si="4"/>
        <v>20210509</v>
      </c>
      <c r="W21" s="2">
        <f t="shared" si="5"/>
        <v>1</v>
      </c>
      <c r="X21" s="2">
        <f>(SUMIF(F:F,IF(H:H="福禄20两全",F:F,0),险种!R:R)-SUMIFS(R:R,F:F,F:F,M:M,"&lt;=1"))*_xlfn.IFS(G:G=4126,1,OR(G:G&gt;4126,G:G&lt;4126),0)</f>
        <v>0</v>
      </c>
      <c r="Y21" s="2">
        <f t="shared" si="2"/>
        <v>1</v>
      </c>
      <c r="Z21" s="2">
        <f t="shared" si="3"/>
        <v>0</v>
      </c>
      <c r="AA21" s="2">
        <f t="shared" si="0"/>
        <v>7</v>
      </c>
    </row>
    <row r="22" spans="1:27">
      <c r="A22" t="s">
        <v>42</v>
      </c>
      <c r="B22" t="s">
        <v>43</v>
      </c>
      <c r="C22" t="s">
        <v>70</v>
      </c>
      <c r="D22" t="s">
        <v>71</v>
      </c>
      <c r="E22">
        <v>5689072702</v>
      </c>
      <c r="F22" s="125">
        <v>7945834534001</v>
      </c>
      <c r="G22">
        <v>4123</v>
      </c>
      <c r="H22" t="s">
        <v>36</v>
      </c>
      <c r="I22" t="s">
        <v>32</v>
      </c>
      <c r="J22" s="1">
        <v>44325.6194328704</v>
      </c>
      <c r="K22" s="123">
        <v>44326.6022916667</v>
      </c>
      <c r="L22" t="s">
        <v>55</v>
      </c>
      <c r="M22">
        <v>1</v>
      </c>
      <c r="N22" t="s">
        <v>56</v>
      </c>
      <c r="O22">
        <v>127.4</v>
      </c>
      <c r="P22">
        <v>1040000</v>
      </c>
      <c r="Q22">
        <v>-97.337414075</v>
      </c>
      <c r="R22">
        <v>1274</v>
      </c>
      <c r="S22">
        <v>1274</v>
      </c>
      <c r="T22" s="123">
        <v>44326.6022685185</v>
      </c>
      <c r="U22" t="s">
        <v>57</v>
      </c>
      <c r="V22" s="2">
        <f t="shared" si="4"/>
        <v>20210509</v>
      </c>
      <c r="W22" s="2">
        <f t="shared" si="5"/>
        <v>0</v>
      </c>
      <c r="X22" s="2">
        <f>(SUMIF(F:F,IF(H:H="福禄20两全",F:F,0),险种!R:R)-SUMIFS(R:R,F:F,F:F,M:M,"&lt;=1"))*_xlfn.IFS(G:G=4126,1,OR(G:G&gt;4126,G:G&lt;4126),0)</f>
        <v>0</v>
      </c>
      <c r="Y22" s="2">
        <f t="shared" si="2"/>
        <v>0</v>
      </c>
      <c r="Z22" s="2">
        <f t="shared" si="3"/>
        <v>0</v>
      </c>
      <c r="AA22" s="2">
        <f t="shared" si="0"/>
        <v>0</v>
      </c>
    </row>
    <row r="23" spans="1:27">
      <c r="A23" t="s">
        <v>42</v>
      </c>
      <c r="B23" t="s">
        <v>43</v>
      </c>
      <c r="C23" t="s">
        <v>70</v>
      </c>
      <c r="D23" t="s">
        <v>71</v>
      </c>
      <c r="E23">
        <v>5689072702</v>
      </c>
      <c r="F23" s="125">
        <v>7945834534001</v>
      </c>
      <c r="G23">
        <v>4114</v>
      </c>
      <c r="H23" t="s">
        <v>35</v>
      </c>
      <c r="I23" t="s">
        <v>32</v>
      </c>
      <c r="J23" s="1">
        <v>44325.6194328704</v>
      </c>
      <c r="K23" s="123">
        <v>44326.6022916667</v>
      </c>
      <c r="L23" t="s">
        <v>55</v>
      </c>
      <c r="M23">
        <v>1</v>
      </c>
      <c r="N23" t="s">
        <v>56</v>
      </c>
      <c r="O23">
        <v>18</v>
      </c>
      <c r="P23">
        <v>100000</v>
      </c>
      <c r="Q23">
        <v>-4.952088138</v>
      </c>
      <c r="R23">
        <v>180</v>
      </c>
      <c r="S23">
        <v>180</v>
      </c>
      <c r="T23" s="123">
        <v>44326.6022685185</v>
      </c>
      <c r="U23" t="s">
        <v>57</v>
      </c>
      <c r="V23" s="2">
        <f t="shared" si="4"/>
        <v>20210509</v>
      </c>
      <c r="W23" s="2">
        <f t="shared" si="5"/>
        <v>0</v>
      </c>
      <c r="X23" s="2">
        <f>(SUMIF(F:F,IF(H:H="福禄20两全",F:F,0),险种!R:R)-SUMIFS(R:R,F:F,F:F,M:M,"&lt;=1"))*_xlfn.IFS(G:G=4126,1,OR(G:G&gt;4126,G:G&lt;4126),0)</f>
        <v>0</v>
      </c>
      <c r="Y23" s="2">
        <f t="shared" si="2"/>
        <v>0</v>
      </c>
      <c r="Z23" s="2">
        <f t="shared" si="3"/>
        <v>0</v>
      </c>
      <c r="AA23" s="2">
        <f t="shared" si="0"/>
        <v>0</v>
      </c>
    </row>
    <row r="24" spans="1:27">
      <c r="A24" t="s">
        <v>42</v>
      </c>
      <c r="B24" t="s">
        <v>62</v>
      </c>
      <c r="C24" t="s">
        <v>72</v>
      </c>
      <c r="D24" t="s">
        <v>73</v>
      </c>
      <c r="E24">
        <v>6487584872</v>
      </c>
      <c r="F24" s="125">
        <v>7945788836001</v>
      </c>
      <c r="G24">
        <v>4122</v>
      </c>
      <c r="H24" t="s">
        <v>61</v>
      </c>
      <c r="I24" t="s">
        <v>32</v>
      </c>
      <c r="J24" s="1">
        <v>44325.4900578704</v>
      </c>
      <c r="K24" s="123"/>
      <c r="L24" t="s">
        <v>41</v>
      </c>
      <c r="M24">
        <v>1</v>
      </c>
      <c r="N24" t="s">
        <v>41</v>
      </c>
      <c r="O24">
        <v>38.6</v>
      </c>
      <c r="P24">
        <v>4054000</v>
      </c>
      <c r="Q24">
        <v>16.880646701</v>
      </c>
      <c r="R24">
        <v>193</v>
      </c>
      <c r="S24">
        <v>193</v>
      </c>
      <c r="T24" s="123"/>
      <c r="V24" s="2">
        <f t="shared" si="4"/>
        <v>20210509</v>
      </c>
      <c r="W24" s="2">
        <f t="shared" si="5"/>
        <v>0</v>
      </c>
      <c r="X24" s="2">
        <f>(SUMIF(F:F,IF(H:H="福禄20两全",F:F,0),险种!R:R)-SUMIFS(R:R,F:F,F:F,M:M,"&lt;=1"))*_xlfn.IFS(G:G=4126,1,OR(G:G&gt;4126,G:G&lt;4126),0)</f>
        <v>0</v>
      </c>
      <c r="Y24" s="2">
        <f t="shared" si="2"/>
        <v>0</v>
      </c>
      <c r="Z24" s="2">
        <f t="shared" si="3"/>
        <v>0</v>
      </c>
      <c r="AA24" s="2">
        <f t="shared" si="0"/>
        <v>0</v>
      </c>
    </row>
    <row r="25" spans="1:27">
      <c r="A25" t="s">
        <v>42</v>
      </c>
      <c r="B25" t="s">
        <v>62</v>
      </c>
      <c r="C25" t="s">
        <v>72</v>
      </c>
      <c r="D25" t="s">
        <v>73</v>
      </c>
      <c r="E25">
        <v>6487584872</v>
      </c>
      <c r="F25" s="125">
        <v>7945788836001</v>
      </c>
      <c r="G25">
        <v>4112</v>
      </c>
      <c r="H25" t="s">
        <v>69</v>
      </c>
      <c r="I25" t="s">
        <v>32</v>
      </c>
      <c r="J25" s="1">
        <v>44325.4900578704</v>
      </c>
      <c r="K25" s="123"/>
      <c r="L25" t="s">
        <v>41</v>
      </c>
      <c r="M25">
        <v>20</v>
      </c>
      <c r="N25" t="s">
        <v>41</v>
      </c>
      <c r="O25">
        <v>2424</v>
      </c>
      <c r="P25">
        <v>300000</v>
      </c>
      <c r="Q25">
        <v>5329.91852037</v>
      </c>
      <c r="R25">
        <v>6060</v>
      </c>
      <c r="S25">
        <v>6060</v>
      </c>
      <c r="T25" s="123"/>
      <c r="V25" s="2">
        <f t="shared" si="4"/>
        <v>20210509</v>
      </c>
      <c r="W25" s="2">
        <f t="shared" si="5"/>
        <v>1</v>
      </c>
      <c r="X25" s="2">
        <f>(SUMIF(F:F,IF(H:H="福禄20两全",F:F,0),险种!R:R)-SUMIFS(R:R,F:F,F:F,M:M,"&lt;=1"))*_xlfn.IFS(G:G=4126,1,OR(G:G&gt;4126,G:G&lt;4126),0)</f>
        <v>0</v>
      </c>
      <c r="Y25" s="2">
        <f t="shared" si="2"/>
        <v>1</v>
      </c>
      <c r="Z25" s="2">
        <f t="shared" si="3"/>
        <v>0</v>
      </c>
      <c r="AA25" s="2">
        <f t="shared" si="0"/>
        <v>6</v>
      </c>
    </row>
    <row r="26" spans="1:27">
      <c r="A26" t="s">
        <v>42</v>
      </c>
      <c r="B26" t="s">
        <v>62</v>
      </c>
      <c r="C26" t="s">
        <v>72</v>
      </c>
      <c r="D26" t="s">
        <v>73</v>
      </c>
      <c r="E26">
        <v>6487584872</v>
      </c>
      <c r="F26" s="125">
        <v>7945788836001</v>
      </c>
      <c r="G26">
        <v>4114</v>
      </c>
      <c r="H26" t="s">
        <v>35</v>
      </c>
      <c r="I26" t="s">
        <v>32</v>
      </c>
      <c r="J26" s="1">
        <v>44325.4900578704</v>
      </c>
      <c r="K26" s="123"/>
      <c r="L26" t="s">
        <v>41</v>
      </c>
      <c r="M26">
        <v>1</v>
      </c>
      <c r="N26" t="s">
        <v>41</v>
      </c>
      <c r="O26">
        <v>20</v>
      </c>
      <c r="P26">
        <v>200000</v>
      </c>
      <c r="Q26">
        <v>-5.502320153</v>
      </c>
      <c r="R26">
        <v>200</v>
      </c>
      <c r="S26">
        <v>200</v>
      </c>
      <c r="T26" s="123"/>
      <c r="V26" s="2">
        <f t="shared" si="4"/>
        <v>20210509</v>
      </c>
      <c r="W26" s="2">
        <f t="shared" si="5"/>
        <v>0</v>
      </c>
      <c r="X26" s="2">
        <f>(SUMIF(F:F,IF(H:H="福禄20两全",F:F,0),险种!R:R)-SUMIFS(R:R,F:F,F:F,M:M,"&lt;=1"))*_xlfn.IFS(G:G=4126,1,OR(G:G&gt;4126,G:G&lt;4126),0)</f>
        <v>0</v>
      </c>
      <c r="Y26" s="2">
        <f t="shared" si="2"/>
        <v>0</v>
      </c>
      <c r="Z26" s="2">
        <f t="shared" si="3"/>
        <v>0</v>
      </c>
      <c r="AA26" s="2">
        <f t="shared" si="0"/>
        <v>0</v>
      </c>
    </row>
    <row r="27" spans="1:27">
      <c r="A27" t="s">
        <v>48</v>
      </c>
      <c r="B27" t="s">
        <v>49</v>
      </c>
      <c r="C27" t="s">
        <v>50</v>
      </c>
      <c r="D27" t="s">
        <v>74</v>
      </c>
      <c r="E27">
        <v>782700762</v>
      </c>
      <c r="F27" s="125">
        <v>6168449858001</v>
      </c>
      <c r="G27">
        <v>4123</v>
      </c>
      <c r="H27" t="s">
        <v>36</v>
      </c>
      <c r="I27" t="s">
        <v>32</v>
      </c>
      <c r="J27" s="1">
        <v>44325.3943055556</v>
      </c>
      <c r="K27" s="123"/>
      <c r="L27" t="s">
        <v>41</v>
      </c>
      <c r="M27">
        <v>1</v>
      </c>
      <c r="N27" t="s">
        <v>41</v>
      </c>
      <c r="O27">
        <v>201.1</v>
      </c>
      <c r="P27">
        <v>520000</v>
      </c>
      <c r="Q27">
        <v>-153.646419688</v>
      </c>
      <c r="R27">
        <v>2011</v>
      </c>
      <c r="S27">
        <v>2011</v>
      </c>
      <c r="T27" s="123"/>
      <c r="V27" s="2">
        <f t="shared" si="4"/>
        <v>20210509</v>
      </c>
      <c r="W27" s="2">
        <f t="shared" si="5"/>
        <v>0</v>
      </c>
      <c r="X27" s="2">
        <f>(SUMIF(F:F,IF(H:H="福禄20两全",F:F,0),险种!R:R)-SUMIFS(R:R,F:F,F:F,M:M,"&lt;=1"))*_xlfn.IFS(G:G=4126,1,OR(G:G&gt;4126,G:G&lt;4126),0)</f>
        <v>0</v>
      </c>
      <c r="Y27" s="2">
        <f t="shared" si="2"/>
        <v>0</v>
      </c>
      <c r="Z27" s="2">
        <f t="shared" si="3"/>
        <v>0</v>
      </c>
      <c r="AA27" s="2">
        <f t="shared" si="0"/>
        <v>0</v>
      </c>
    </row>
    <row r="28" spans="1:27">
      <c r="A28" t="s">
        <v>42</v>
      </c>
      <c r="B28" t="s">
        <v>43</v>
      </c>
      <c r="C28" t="s">
        <v>75</v>
      </c>
      <c r="D28" t="s">
        <v>76</v>
      </c>
      <c r="E28">
        <v>5671371552</v>
      </c>
      <c r="F28" s="125">
        <v>6167281548001</v>
      </c>
      <c r="G28">
        <v>4122</v>
      </c>
      <c r="H28" t="s">
        <v>61</v>
      </c>
      <c r="I28" t="s">
        <v>32</v>
      </c>
      <c r="J28" s="1">
        <v>44324.7934606482</v>
      </c>
      <c r="K28" s="123"/>
      <c r="L28" t="s">
        <v>41</v>
      </c>
      <c r="M28">
        <v>1</v>
      </c>
      <c r="N28" t="s">
        <v>41</v>
      </c>
      <c r="O28">
        <v>53.8</v>
      </c>
      <c r="P28">
        <v>4054000</v>
      </c>
      <c r="Q28">
        <v>23.527947972</v>
      </c>
      <c r="R28">
        <v>269</v>
      </c>
      <c r="S28">
        <v>269</v>
      </c>
      <c r="T28" s="123"/>
      <c r="V28" s="2">
        <f t="shared" si="4"/>
        <v>20210508</v>
      </c>
      <c r="W28" s="2">
        <f t="shared" si="5"/>
        <v>0</v>
      </c>
      <c r="X28" s="2">
        <f>(SUMIF(F:F,IF(H:H="福禄20两全",F:F,0),险种!R:R)-SUMIFS(R:R,F:F,F:F,M:M,"&lt;=1"))*_xlfn.IFS(G:G=4126,1,OR(G:G&gt;4126,G:G&lt;4126),0)</f>
        <v>0</v>
      </c>
      <c r="Y28" s="2">
        <f t="shared" si="2"/>
        <v>0</v>
      </c>
      <c r="Z28" s="2">
        <f t="shared" si="3"/>
        <v>0</v>
      </c>
      <c r="AA28" s="2">
        <f t="shared" si="0"/>
        <v>0</v>
      </c>
    </row>
    <row r="29" spans="1:27">
      <c r="A29" t="s">
        <v>27</v>
      </c>
      <c r="B29" t="s">
        <v>52</v>
      </c>
      <c r="C29" t="s">
        <v>53</v>
      </c>
      <c r="D29" t="s">
        <v>54</v>
      </c>
      <c r="E29">
        <v>531925062</v>
      </c>
      <c r="F29" s="125">
        <v>6153383822001</v>
      </c>
      <c r="G29">
        <v>4122</v>
      </c>
      <c r="H29" t="s">
        <v>61</v>
      </c>
      <c r="I29" t="s">
        <v>32</v>
      </c>
      <c r="J29" s="1">
        <v>44324.7792013889</v>
      </c>
      <c r="K29" s="123"/>
      <c r="L29" t="s">
        <v>41</v>
      </c>
      <c r="M29">
        <v>1</v>
      </c>
      <c r="N29" t="s">
        <v>41</v>
      </c>
      <c r="O29">
        <v>39.8</v>
      </c>
      <c r="P29">
        <v>4054000</v>
      </c>
      <c r="Q29">
        <v>17.405433749</v>
      </c>
      <c r="R29">
        <v>199</v>
      </c>
      <c r="S29">
        <v>199</v>
      </c>
      <c r="T29" s="123"/>
      <c r="V29" s="2">
        <f t="shared" si="4"/>
        <v>20210508</v>
      </c>
      <c r="W29" s="2">
        <f t="shared" si="5"/>
        <v>0</v>
      </c>
      <c r="X29" s="2">
        <f>(SUMIF(F:F,IF(H:H="福禄20两全",F:F,0),险种!R:R)-SUMIFS(R:R,F:F,F:F,M:M,"&lt;=1"))*_xlfn.IFS(G:G=4126,1,OR(G:G&gt;4126,G:G&lt;4126),0)</f>
        <v>0</v>
      </c>
      <c r="Y29" s="2">
        <f t="shared" si="2"/>
        <v>0</v>
      </c>
      <c r="Z29" s="2">
        <f t="shared" si="3"/>
        <v>0</v>
      </c>
      <c r="AA29" s="2">
        <f t="shared" si="0"/>
        <v>0</v>
      </c>
    </row>
    <row r="30" spans="1:27">
      <c r="A30" t="s">
        <v>27</v>
      </c>
      <c r="B30" t="s">
        <v>52</v>
      </c>
      <c r="C30" t="s">
        <v>53</v>
      </c>
      <c r="D30" t="s">
        <v>54</v>
      </c>
      <c r="E30">
        <v>531925062</v>
      </c>
      <c r="F30" s="125">
        <v>6153383822001</v>
      </c>
      <c r="G30">
        <v>4124</v>
      </c>
      <c r="H30" t="s">
        <v>40</v>
      </c>
      <c r="I30" t="s">
        <v>32</v>
      </c>
      <c r="J30" s="1">
        <v>44324.7792013889</v>
      </c>
      <c r="K30" s="123"/>
      <c r="L30" t="s">
        <v>41</v>
      </c>
      <c r="M30">
        <v>1</v>
      </c>
      <c r="N30" t="s">
        <v>41</v>
      </c>
      <c r="O30">
        <v>27.1</v>
      </c>
      <c r="P30">
        <v>0</v>
      </c>
      <c r="Q30">
        <v>4.374147643</v>
      </c>
      <c r="R30">
        <v>271</v>
      </c>
      <c r="S30">
        <v>271</v>
      </c>
      <c r="T30" s="123"/>
      <c r="V30" s="2">
        <f t="shared" ref="V30:V61" si="6">TEXT(J:J,"yyyymmdd")*1</f>
        <v>20210508</v>
      </c>
      <c r="W30" s="2">
        <f t="shared" si="5"/>
        <v>0</v>
      </c>
      <c r="X30" s="2">
        <f>(SUMIF(F:F,IF(H:H="福禄20两全",F:F,0),险种!R:R)-SUMIFS(R:R,F:F,F:F,M:M,"&lt;=1"))*_xlfn.IFS(G:G=4126,1,OR(G:G&gt;4126,G:G&lt;4126),0)</f>
        <v>0</v>
      </c>
      <c r="Y30" s="2">
        <f t="shared" si="2"/>
        <v>0</v>
      </c>
      <c r="Z30" s="2">
        <f t="shared" si="3"/>
        <v>0</v>
      </c>
      <c r="AA30" s="2">
        <f t="shared" si="0"/>
        <v>0</v>
      </c>
    </row>
    <row r="31" spans="1:27">
      <c r="A31" t="s">
        <v>42</v>
      </c>
      <c r="B31" t="s">
        <v>66</v>
      </c>
      <c r="C31" t="s">
        <v>67</v>
      </c>
      <c r="D31" t="s">
        <v>68</v>
      </c>
      <c r="E31">
        <v>55996582</v>
      </c>
      <c r="F31" s="125">
        <v>6167027188001</v>
      </c>
      <c r="G31">
        <v>4122</v>
      </c>
      <c r="H31" t="s">
        <v>61</v>
      </c>
      <c r="I31" t="s">
        <v>32</v>
      </c>
      <c r="J31" s="1">
        <v>44324.763599537</v>
      </c>
      <c r="K31" s="123"/>
      <c r="L31" t="s">
        <v>41</v>
      </c>
      <c r="M31">
        <v>1</v>
      </c>
      <c r="N31" t="s">
        <v>41</v>
      </c>
      <c r="O31">
        <v>39.8</v>
      </c>
      <c r="P31">
        <v>4054000</v>
      </c>
      <c r="Q31">
        <v>17.405433749</v>
      </c>
      <c r="R31">
        <v>199</v>
      </c>
      <c r="S31">
        <v>199</v>
      </c>
      <c r="T31" s="123"/>
      <c r="V31" s="2">
        <f t="shared" si="6"/>
        <v>20210508</v>
      </c>
      <c r="W31" s="2">
        <f t="shared" si="5"/>
        <v>0</v>
      </c>
      <c r="X31" s="2">
        <f>(SUMIF(F:F,IF(H:H="福禄20两全",F:F,0),险种!R:R)-SUMIFS(R:R,F:F,F:F,M:M,"&lt;=1"))*_xlfn.IFS(G:G=4126,1,OR(G:G&gt;4126,G:G&lt;4126),0)</f>
        <v>0</v>
      </c>
      <c r="Y31" s="2">
        <f t="shared" si="2"/>
        <v>0</v>
      </c>
      <c r="Z31" s="2">
        <f t="shared" si="3"/>
        <v>0</v>
      </c>
      <c r="AA31" s="2">
        <f t="shared" si="0"/>
        <v>0</v>
      </c>
    </row>
    <row r="32" spans="1:27">
      <c r="A32" t="s">
        <v>42</v>
      </c>
      <c r="B32" t="s">
        <v>43</v>
      </c>
      <c r="C32" t="s">
        <v>77</v>
      </c>
      <c r="D32" t="s">
        <v>78</v>
      </c>
      <c r="E32">
        <v>430700742</v>
      </c>
      <c r="F32" s="125">
        <v>6166973522001</v>
      </c>
      <c r="G32">
        <v>4122</v>
      </c>
      <c r="H32" t="s">
        <v>61</v>
      </c>
      <c r="I32" t="s">
        <v>32</v>
      </c>
      <c r="J32" s="1">
        <v>44324.7397569444</v>
      </c>
      <c r="K32" s="123"/>
      <c r="L32" t="s">
        <v>41</v>
      </c>
      <c r="M32">
        <v>1</v>
      </c>
      <c r="N32" t="s">
        <v>41</v>
      </c>
      <c r="O32">
        <v>214</v>
      </c>
      <c r="P32">
        <v>4054000</v>
      </c>
      <c r="Q32">
        <v>93.587004841</v>
      </c>
      <c r="R32">
        <v>1070</v>
      </c>
      <c r="S32">
        <v>1070</v>
      </c>
      <c r="T32" s="123"/>
      <c r="V32" s="2">
        <f t="shared" si="6"/>
        <v>20210508</v>
      </c>
      <c r="W32" s="2">
        <f t="shared" si="5"/>
        <v>0</v>
      </c>
      <c r="X32" s="2">
        <f>(SUMIF(F:F,IF(H:H="福禄20两全",F:F,0),险种!R:R)-SUMIFS(R:R,F:F,F:F,M:M,"&lt;=1"))*_xlfn.IFS(G:G=4126,1,OR(G:G&gt;4126,G:G&lt;4126),0)</f>
        <v>0</v>
      </c>
      <c r="Y32" s="2">
        <f t="shared" si="2"/>
        <v>0</v>
      </c>
      <c r="Z32" s="2">
        <f t="shared" si="3"/>
        <v>0</v>
      </c>
      <c r="AA32" s="2">
        <f t="shared" si="0"/>
        <v>0</v>
      </c>
    </row>
    <row r="33" spans="1:27">
      <c r="A33" t="s">
        <v>27</v>
      </c>
      <c r="B33" t="s">
        <v>28</v>
      </c>
      <c r="C33" t="s">
        <v>29</v>
      </c>
      <c r="D33" t="s">
        <v>79</v>
      </c>
      <c r="E33">
        <v>6554611872</v>
      </c>
      <c r="F33" s="125">
        <v>7945660255001</v>
      </c>
      <c r="G33">
        <v>4127</v>
      </c>
      <c r="H33" t="s">
        <v>31</v>
      </c>
      <c r="I33" t="s">
        <v>32</v>
      </c>
      <c r="J33" s="1">
        <v>44324.731087963</v>
      </c>
      <c r="K33" s="123"/>
      <c r="L33" t="s">
        <v>80</v>
      </c>
      <c r="M33">
        <v>20</v>
      </c>
      <c r="N33" t="s">
        <v>81</v>
      </c>
      <c r="P33">
        <v>0</v>
      </c>
      <c r="Q33">
        <v>0</v>
      </c>
      <c r="R33">
        <v>0</v>
      </c>
      <c r="S33">
        <v>0</v>
      </c>
      <c r="T33" s="123"/>
      <c r="V33" s="2">
        <f t="shared" si="6"/>
        <v>20210508</v>
      </c>
      <c r="W33" s="2">
        <f t="shared" si="5"/>
        <v>0</v>
      </c>
      <c r="X33" s="2">
        <f>(SUMIF(F:F,IF(H:H="福禄20两全",F:F,0),险种!R:R)-SUMIFS(R:R,F:F,F:F,M:M,"&lt;=1"))*_xlfn.IFS(G:G=4126,1,OR(G:G&gt;4126,G:G&lt;4126),0)</f>
        <v>0</v>
      </c>
      <c r="Y33" s="2">
        <f t="shared" si="2"/>
        <v>0</v>
      </c>
      <c r="Z33" s="2">
        <f t="shared" si="3"/>
        <v>0</v>
      </c>
      <c r="AA33" s="2">
        <f t="shared" si="0"/>
        <v>0</v>
      </c>
    </row>
    <row r="34" spans="1:27">
      <c r="A34" t="s">
        <v>27</v>
      </c>
      <c r="B34" t="s">
        <v>28</v>
      </c>
      <c r="C34" t="s">
        <v>29</v>
      </c>
      <c r="D34" t="s">
        <v>79</v>
      </c>
      <c r="E34">
        <v>6554611872</v>
      </c>
      <c r="F34" s="125">
        <v>7945660255001</v>
      </c>
      <c r="G34">
        <v>4114</v>
      </c>
      <c r="H34" t="s">
        <v>35</v>
      </c>
      <c r="I34" t="s">
        <v>32</v>
      </c>
      <c r="J34" s="1">
        <v>44324.731087963</v>
      </c>
      <c r="K34" s="123"/>
      <c r="L34" t="s">
        <v>80</v>
      </c>
      <c r="M34">
        <v>1</v>
      </c>
      <c r="N34" t="s">
        <v>81</v>
      </c>
      <c r="P34">
        <v>0</v>
      </c>
      <c r="Q34">
        <v>0</v>
      </c>
      <c r="R34">
        <v>0</v>
      </c>
      <c r="S34">
        <v>0</v>
      </c>
      <c r="T34" s="123"/>
      <c r="V34" s="2">
        <f t="shared" si="6"/>
        <v>20210508</v>
      </c>
      <c r="W34" s="2">
        <f t="shared" si="5"/>
        <v>0</v>
      </c>
      <c r="X34" s="2">
        <f>(SUMIF(F:F,IF(H:H="福禄20两全",F:F,0),险种!R:R)-SUMIFS(R:R,F:F,F:F,M:M,"&lt;=1"))*_xlfn.IFS(G:G=4126,1,OR(G:G&gt;4126,G:G&lt;4126),0)</f>
        <v>0</v>
      </c>
      <c r="Y34" s="2">
        <f t="shared" si="2"/>
        <v>0</v>
      </c>
      <c r="Z34" s="2">
        <f t="shared" si="3"/>
        <v>0</v>
      </c>
      <c r="AA34" s="2">
        <f>ROUNDDOWN(IF(AND(R:R&gt;=1000,M:M&gt;1),R:R,0)/1000,0)*IF(OR(G:G=4126,G:G=4127),0,1)+ROUNDDOWN(X:X/1000,)</f>
        <v>0</v>
      </c>
    </row>
    <row r="35" spans="1:27">
      <c r="A35" t="s">
        <v>27</v>
      </c>
      <c r="B35" t="s">
        <v>28</v>
      </c>
      <c r="C35" t="s">
        <v>29</v>
      </c>
      <c r="D35" t="s">
        <v>79</v>
      </c>
      <c r="E35">
        <v>6554611872</v>
      </c>
      <c r="F35" s="125">
        <v>7945660255001</v>
      </c>
      <c r="G35">
        <v>4126</v>
      </c>
      <c r="H35" t="s">
        <v>31</v>
      </c>
      <c r="I35" t="s">
        <v>32</v>
      </c>
      <c r="J35" s="1">
        <v>44324.731087963</v>
      </c>
      <c r="K35" s="123"/>
      <c r="L35" t="s">
        <v>80</v>
      </c>
      <c r="M35">
        <v>20</v>
      </c>
      <c r="N35" t="s">
        <v>81</v>
      </c>
      <c r="P35">
        <v>0</v>
      </c>
      <c r="Q35">
        <v>0</v>
      </c>
      <c r="R35">
        <v>0</v>
      </c>
      <c r="S35">
        <v>0</v>
      </c>
      <c r="T35" s="123"/>
      <c r="V35" s="2">
        <f t="shared" si="6"/>
        <v>20210508</v>
      </c>
      <c r="W35" s="2">
        <f t="shared" si="5"/>
        <v>0</v>
      </c>
      <c r="X35" s="2">
        <f>(SUMIF(F:F,IF(H:H="福禄20两全",F:F,0),险种!R:R)-SUMIFS(R:R,F:F,F:F,M:M,"&lt;=1"))*_xlfn.IFS(G:G=4126,1,OR(G:G&gt;4126,G:G&lt;4126),0)</f>
        <v>0</v>
      </c>
      <c r="Y35" s="2">
        <f t="shared" si="2"/>
        <v>0</v>
      </c>
      <c r="Z35" s="2">
        <f t="shared" si="3"/>
        <v>0</v>
      </c>
      <c r="AA35" s="2">
        <f t="shared" ref="AA35:AA98" si="7">ROUNDDOWN(IF(AND(R:R&gt;=1000,M:M&gt;1),R:R,0)/1000,0)*IF(OR(G:G=4126,G:G=4127),0,1)+ROUNDDOWN(X:X/1000,)</f>
        <v>0</v>
      </c>
    </row>
    <row r="36" spans="1:27">
      <c r="A36" t="s">
        <v>27</v>
      </c>
      <c r="B36" t="s">
        <v>28</v>
      </c>
      <c r="C36" t="s">
        <v>29</v>
      </c>
      <c r="D36" t="s">
        <v>79</v>
      </c>
      <c r="E36">
        <v>6554611872</v>
      </c>
      <c r="F36" s="125">
        <v>7945660255001</v>
      </c>
      <c r="G36">
        <v>4123</v>
      </c>
      <c r="H36" t="s">
        <v>36</v>
      </c>
      <c r="I36" t="s">
        <v>32</v>
      </c>
      <c r="J36" s="1">
        <v>44324.731087963</v>
      </c>
      <c r="K36" s="123"/>
      <c r="L36" t="s">
        <v>80</v>
      </c>
      <c r="M36">
        <v>1</v>
      </c>
      <c r="N36" t="s">
        <v>81</v>
      </c>
      <c r="P36">
        <v>0</v>
      </c>
      <c r="Q36">
        <v>0</v>
      </c>
      <c r="R36">
        <v>0</v>
      </c>
      <c r="S36">
        <v>0</v>
      </c>
      <c r="T36" s="123"/>
      <c r="V36" s="2">
        <f t="shared" si="6"/>
        <v>20210508</v>
      </c>
      <c r="W36" s="2">
        <f t="shared" si="5"/>
        <v>0</v>
      </c>
      <c r="X36" s="2">
        <f>(SUMIF(F:F,IF(H:H="福禄20两全",F:F,0),险种!R:R)-SUMIFS(R:R,F:F,F:F,M:M,"&lt;=1"))*_xlfn.IFS(G:G=4126,1,OR(G:G&gt;4126,G:G&lt;4126),0)</f>
        <v>0</v>
      </c>
      <c r="Y36" s="2">
        <f t="shared" si="2"/>
        <v>0</v>
      </c>
      <c r="Z36" s="2">
        <f t="shared" si="3"/>
        <v>0</v>
      </c>
      <c r="AA36" s="2">
        <f t="shared" si="7"/>
        <v>0</v>
      </c>
    </row>
    <row r="37" spans="1:27">
      <c r="A37" t="s">
        <v>42</v>
      </c>
      <c r="B37" t="s">
        <v>43</v>
      </c>
      <c r="C37" t="s">
        <v>77</v>
      </c>
      <c r="D37" t="s">
        <v>78</v>
      </c>
      <c r="E37">
        <v>430700742</v>
      </c>
      <c r="F37" s="125">
        <v>6166924263001</v>
      </c>
      <c r="G37">
        <v>4122</v>
      </c>
      <c r="H37" t="s">
        <v>61</v>
      </c>
      <c r="I37" t="s">
        <v>32</v>
      </c>
      <c r="J37" s="1">
        <v>44324.7306828704</v>
      </c>
      <c r="K37" s="123"/>
      <c r="L37" t="s">
        <v>41</v>
      </c>
      <c r="M37">
        <v>1</v>
      </c>
      <c r="N37" t="s">
        <v>41</v>
      </c>
      <c r="O37">
        <v>146.6</v>
      </c>
      <c r="P37">
        <v>4054000</v>
      </c>
      <c r="Q37">
        <v>64.111471995</v>
      </c>
      <c r="R37">
        <v>733</v>
      </c>
      <c r="S37">
        <v>733</v>
      </c>
      <c r="T37" s="123"/>
      <c r="V37" s="2">
        <f t="shared" si="6"/>
        <v>20210508</v>
      </c>
      <c r="W37" s="2">
        <f t="shared" si="5"/>
        <v>0</v>
      </c>
      <c r="X37" s="2">
        <f>(SUMIF(F:F,IF(H:H="福禄20两全",F:F,0),险种!R:R)-SUMIFS(R:R,F:F,F:F,M:M,"&lt;=1"))*_xlfn.IFS(G:G=4126,1,OR(G:G&gt;4126,G:G&lt;4126),0)</f>
        <v>0</v>
      </c>
      <c r="Y37" s="2">
        <f t="shared" si="2"/>
        <v>0</v>
      </c>
      <c r="Z37" s="2">
        <f t="shared" si="3"/>
        <v>0</v>
      </c>
      <c r="AA37" s="2">
        <f t="shared" si="7"/>
        <v>0</v>
      </c>
    </row>
    <row r="38" spans="1:27">
      <c r="A38" t="s">
        <v>48</v>
      </c>
      <c r="B38" t="s">
        <v>49</v>
      </c>
      <c r="C38" t="s">
        <v>82</v>
      </c>
      <c r="D38" t="s">
        <v>83</v>
      </c>
      <c r="E38">
        <v>6549480842</v>
      </c>
      <c r="F38" s="125">
        <v>7945579532001</v>
      </c>
      <c r="G38">
        <v>4112</v>
      </c>
      <c r="H38" t="s">
        <v>69</v>
      </c>
      <c r="I38" t="s">
        <v>32</v>
      </c>
      <c r="J38" s="1">
        <v>44324.7236689815</v>
      </c>
      <c r="K38" s="123">
        <v>44326.7490856481</v>
      </c>
      <c r="L38" t="s">
        <v>55</v>
      </c>
      <c r="M38">
        <v>20</v>
      </c>
      <c r="N38" t="s">
        <v>56</v>
      </c>
      <c r="O38">
        <v>1560</v>
      </c>
      <c r="P38">
        <v>200000</v>
      </c>
      <c r="Q38">
        <v>3430.145582023</v>
      </c>
      <c r="R38">
        <v>3900</v>
      </c>
      <c r="S38">
        <v>3900</v>
      </c>
      <c r="T38" s="123">
        <v>44326.7490625</v>
      </c>
      <c r="U38" t="s">
        <v>57</v>
      </c>
      <c r="V38" s="2">
        <f t="shared" si="6"/>
        <v>20210508</v>
      </c>
      <c r="W38" s="2">
        <f t="shared" si="5"/>
        <v>1</v>
      </c>
      <c r="X38" s="2">
        <f>(SUMIF(F:F,IF(H:H="福禄20两全",F:F,0),险种!R:R)-SUMIFS(R:R,F:F,F:F,M:M,"&lt;=1"))*_xlfn.IFS(G:G=4126,1,OR(G:G&gt;4126,G:G&lt;4126),0)</f>
        <v>0</v>
      </c>
      <c r="Y38" s="2">
        <f t="shared" si="2"/>
        <v>1</v>
      </c>
      <c r="Z38" s="2">
        <f t="shared" si="3"/>
        <v>0</v>
      </c>
      <c r="AA38" s="2">
        <f t="shared" si="7"/>
        <v>3</v>
      </c>
    </row>
    <row r="39" spans="1:27">
      <c r="A39" t="s">
        <v>48</v>
      </c>
      <c r="B39" t="s">
        <v>49</v>
      </c>
      <c r="C39" t="s">
        <v>82</v>
      </c>
      <c r="D39" t="s">
        <v>83</v>
      </c>
      <c r="E39">
        <v>6549480842</v>
      </c>
      <c r="F39" s="125">
        <v>7945579532001</v>
      </c>
      <c r="G39">
        <v>4011</v>
      </c>
      <c r="H39" t="s">
        <v>84</v>
      </c>
      <c r="I39" t="s">
        <v>32</v>
      </c>
      <c r="J39" s="1">
        <v>44324.7236689815</v>
      </c>
      <c r="K39" s="123">
        <v>44326.7490856481</v>
      </c>
      <c r="L39" t="s">
        <v>55</v>
      </c>
      <c r="M39">
        <v>0</v>
      </c>
      <c r="N39" t="s">
        <v>56</v>
      </c>
      <c r="O39">
        <v>0</v>
      </c>
      <c r="P39">
        <v>5000</v>
      </c>
      <c r="Q39">
        <v>18.378009986</v>
      </c>
      <c r="R39">
        <v>51.5</v>
      </c>
      <c r="S39">
        <v>51.5</v>
      </c>
      <c r="T39" s="123">
        <v>44326.7490625</v>
      </c>
      <c r="U39" t="s">
        <v>57</v>
      </c>
      <c r="V39" s="2">
        <f t="shared" si="6"/>
        <v>20210508</v>
      </c>
      <c r="W39" s="2">
        <f t="shared" ref="W39:W70" si="8">IF(AND(M:M&gt;1,R:R&gt;3000),1,0)-IF(AND(M:M&gt;1,R:R&gt;3000,G:G=4126),1,0)-IF(AND(M:M&gt;1,R:R&gt;3000,G:G=4127),1,0)+IF(X:X&gt;=3000,1,0)</f>
        <v>0</v>
      </c>
      <c r="X39" s="2">
        <f>(SUMIF(F:F,IF(H:H="福禄20两全",F:F,0),险种!R:R)-SUMIFS(R:R,F:F,F:F,M:M,"&lt;=1"))*_xlfn.IFS(G:G=4126,1,OR(G:G&gt;4126,G:G&lt;4126),0)</f>
        <v>0</v>
      </c>
      <c r="Y39" s="2">
        <f t="shared" si="2"/>
        <v>0</v>
      </c>
      <c r="Z39" s="2">
        <f t="shared" si="3"/>
        <v>0</v>
      </c>
      <c r="AA39" s="2">
        <f t="shared" si="7"/>
        <v>0</v>
      </c>
    </row>
    <row r="40" spans="1:27">
      <c r="A40" t="s">
        <v>48</v>
      </c>
      <c r="B40" t="s">
        <v>49</v>
      </c>
      <c r="C40" t="s">
        <v>82</v>
      </c>
      <c r="D40" t="s">
        <v>83</v>
      </c>
      <c r="E40">
        <v>6549480842</v>
      </c>
      <c r="F40" s="125">
        <v>7945579532001</v>
      </c>
      <c r="G40">
        <v>4122</v>
      </c>
      <c r="H40" t="s">
        <v>61</v>
      </c>
      <c r="I40" t="s">
        <v>32</v>
      </c>
      <c r="J40" s="1">
        <v>44324.7236689815</v>
      </c>
      <c r="K40" s="123">
        <v>44326.7490856481</v>
      </c>
      <c r="L40" t="s">
        <v>55</v>
      </c>
      <c r="M40">
        <v>1</v>
      </c>
      <c r="N40" t="s">
        <v>56</v>
      </c>
      <c r="O40">
        <v>38.6</v>
      </c>
      <c r="P40">
        <v>4054000</v>
      </c>
      <c r="Q40">
        <v>16.880646701</v>
      </c>
      <c r="R40">
        <v>193</v>
      </c>
      <c r="S40">
        <v>193</v>
      </c>
      <c r="T40" s="123">
        <v>44326.7490625</v>
      </c>
      <c r="U40" t="s">
        <v>57</v>
      </c>
      <c r="V40" s="2">
        <f t="shared" si="6"/>
        <v>20210508</v>
      </c>
      <c r="W40" s="2">
        <f t="shared" si="8"/>
        <v>0</v>
      </c>
      <c r="X40" s="2">
        <f>(SUMIF(F:F,IF(H:H="福禄20两全",F:F,0),险种!R:R)-SUMIFS(R:R,F:F,F:F,M:M,"&lt;=1"))*_xlfn.IFS(G:G=4126,1,OR(G:G&gt;4126,G:G&lt;4126),0)</f>
        <v>0</v>
      </c>
      <c r="Y40" s="2">
        <f t="shared" si="2"/>
        <v>0</v>
      </c>
      <c r="Z40" s="2">
        <f t="shared" si="3"/>
        <v>0</v>
      </c>
      <c r="AA40" s="2">
        <f t="shared" si="7"/>
        <v>0</v>
      </c>
    </row>
    <row r="41" spans="1:27">
      <c r="A41" t="s">
        <v>48</v>
      </c>
      <c r="B41" t="s">
        <v>49</v>
      </c>
      <c r="C41" t="s">
        <v>82</v>
      </c>
      <c r="D41" t="s">
        <v>83</v>
      </c>
      <c r="E41">
        <v>6549480842</v>
      </c>
      <c r="F41" s="125">
        <v>7945579532001</v>
      </c>
      <c r="G41">
        <v>4010</v>
      </c>
      <c r="H41" t="s">
        <v>85</v>
      </c>
      <c r="I41" t="s">
        <v>32</v>
      </c>
      <c r="J41" s="1">
        <v>44324.7236689815</v>
      </c>
      <c r="K41" s="123">
        <v>44326.7490856481</v>
      </c>
      <c r="L41" t="s">
        <v>55</v>
      </c>
      <c r="M41">
        <v>0</v>
      </c>
      <c r="N41" t="s">
        <v>56</v>
      </c>
      <c r="O41">
        <v>0</v>
      </c>
      <c r="P41">
        <v>100</v>
      </c>
      <c r="Q41">
        <v>13.025191747</v>
      </c>
      <c r="R41">
        <v>36.5</v>
      </c>
      <c r="S41">
        <v>36.5</v>
      </c>
      <c r="T41" s="123">
        <v>44326.7490625</v>
      </c>
      <c r="U41" t="s">
        <v>57</v>
      </c>
      <c r="V41" s="2">
        <f t="shared" si="6"/>
        <v>20210508</v>
      </c>
      <c r="W41" s="2">
        <f t="shared" si="8"/>
        <v>0</v>
      </c>
      <c r="X41" s="2">
        <f>(SUMIF(F:F,IF(H:H="福禄20两全",F:F,0),险种!R:R)-SUMIFS(R:R,F:F,F:F,M:M,"&lt;=1"))*_xlfn.IFS(G:G=4126,1,OR(G:G&gt;4126,G:G&lt;4126),0)</f>
        <v>0</v>
      </c>
      <c r="Y41" s="2">
        <f t="shared" si="2"/>
        <v>0</v>
      </c>
      <c r="Z41" s="2">
        <f t="shared" si="3"/>
        <v>0</v>
      </c>
      <c r="AA41" s="2">
        <f t="shared" si="7"/>
        <v>0</v>
      </c>
    </row>
    <row r="42" spans="1:27">
      <c r="A42" t="s">
        <v>42</v>
      </c>
      <c r="B42" t="s">
        <v>62</v>
      </c>
      <c r="C42" t="s">
        <v>86</v>
      </c>
      <c r="D42" t="s">
        <v>87</v>
      </c>
      <c r="E42">
        <v>214639732</v>
      </c>
      <c r="F42" s="125">
        <v>6166326424001</v>
      </c>
      <c r="G42">
        <v>4138</v>
      </c>
      <c r="H42" t="s">
        <v>88</v>
      </c>
      <c r="I42" t="s">
        <v>32</v>
      </c>
      <c r="J42" s="1">
        <v>44324.6617361111</v>
      </c>
      <c r="K42" s="123">
        <v>44324.6621412037</v>
      </c>
      <c r="L42" t="s">
        <v>55</v>
      </c>
      <c r="M42">
        <v>1</v>
      </c>
      <c r="N42" t="s">
        <v>56</v>
      </c>
      <c r="P42">
        <v>600000</v>
      </c>
      <c r="Q42">
        <v>-383.180340999</v>
      </c>
      <c r="R42">
        <v>1698</v>
      </c>
      <c r="S42">
        <v>1698</v>
      </c>
      <c r="T42" s="123">
        <v>44324.6621412037</v>
      </c>
      <c r="U42" t="s">
        <v>57</v>
      </c>
      <c r="V42" s="2">
        <f t="shared" si="6"/>
        <v>20210508</v>
      </c>
      <c r="W42" s="2">
        <f t="shared" si="8"/>
        <v>0</v>
      </c>
      <c r="X42" s="2">
        <f>(SUMIF(F:F,IF(H:H="福禄20两全",F:F,0),险种!R:R)-SUMIFS(R:R,F:F,F:F,M:M,"&lt;=1"))*_xlfn.IFS(G:G=4126,1,OR(G:G&gt;4126,G:G&lt;4126),0)</f>
        <v>0</v>
      </c>
      <c r="Y42" s="2">
        <f t="shared" si="2"/>
        <v>0</v>
      </c>
      <c r="Z42" s="2">
        <f t="shared" si="3"/>
        <v>0</v>
      </c>
      <c r="AA42" s="2">
        <f t="shared" si="7"/>
        <v>0</v>
      </c>
    </row>
    <row r="43" spans="1:27">
      <c r="A43" t="s">
        <v>42</v>
      </c>
      <c r="B43" t="s">
        <v>62</v>
      </c>
      <c r="C43" t="s">
        <v>86</v>
      </c>
      <c r="D43" t="s">
        <v>89</v>
      </c>
      <c r="E43">
        <v>584648952</v>
      </c>
      <c r="F43" s="125">
        <v>6165084279001</v>
      </c>
      <c r="G43">
        <v>4138</v>
      </c>
      <c r="H43" t="s">
        <v>88</v>
      </c>
      <c r="I43" t="s">
        <v>32</v>
      </c>
      <c r="J43" s="1">
        <v>44324.48375</v>
      </c>
      <c r="K43" s="123">
        <v>44324.4858217593</v>
      </c>
      <c r="L43" t="s">
        <v>55</v>
      </c>
      <c r="M43">
        <v>1</v>
      </c>
      <c r="N43" t="s">
        <v>56</v>
      </c>
      <c r="P43">
        <v>250000</v>
      </c>
      <c r="Q43">
        <v>-259.289877729</v>
      </c>
      <c r="R43">
        <v>1149</v>
      </c>
      <c r="S43">
        <v>1149</v>
      </c>
      <c r="T43" s="123">
        <v>44324.4858217593</v>
      </c>
      <c r="U43" t="s">
        <v>57</v>
      </c>
      <c r="V43" s="2">
        <f t="shared" si="6"/>
        <v>20210508</v>
      </c>
      <c r="W43" s="2">
        <f t="shared" si="8"/>
        <v>0</v>
      </c>
      <c r="X43" s="2">
        <f>(SUMIF(F:F,IF(H:H="福禄20两全",F:F,0),险种!R:R)-SUMIFS(R:R,F:F,F:F,M:M,"&lt;=1"))*_xlfn.IFS(G:G=4126,1,OR(G:G&gt;4126,G:G&lt;4126),0)</f>
        <v>0</v>
      </c>
      <c r="Y43" s="2">
        <f t="shared" si="2"/>
        <v>0</v>
      </c>
      <c r="Z43" s="2">
        <f t="shared" si="3"/>
        <v>0</v>
      </c>
      <c r="AA43" s="2">
        <f t="shared" si="7"/>
        <v>0</v>
      </c>
    </row>
    <row r="44" spans="1:27">
      <c r="A44" t="s">
        <v>48</v>
      </c>
      <c r="B44" t="s">
        <v>49</v>
      </c>
      <c r="C44" t="s">
        <v>82</v>
      </c>
      <c r="D44" t="s">
        <v>90</v>
      </c>
      <c r="E44">
        <v>6137982332</v>
      </c>
      <c r="F44" s="125">
        <v>6165107561001</v>
      </c>
      <c r="G44">
        <v>4123</v>
      </c>
      <c r="H44" t="s">
        <v>36</v>
      </c>
      <c r="I44" t="s">
        <v>32</v>
      </c>
      <c r="J44" s="1">
        <v>44324.4799768518</v>
      </c>
      <c r="K44" s="123">
        <v>44326.8059837963</v>
      </c>
      <c r="L44" t="s">
        <v>55</v>
      </c>
      <c r="M44">
        <v>1</v>
      </c>
      <c r="N44" t="s">
        <v>56</v>
      </c>
      <c r="O44">
        <v>60</v>
      </c>
      <c r="P44">
        <v>520000</v>
      </c>
      <c r="Q44">
        <v>-45.841796459</v>
      </c>
      <c r="R44">
        <v>600</v>
      </c>
      <c r="S44">
        <v>600</v>
      </c>
      <c r="T44" s="123">
        <v>44326.8059722222</v>
      </c>
      <c r="U44" t="s">
        <v>57</v>
      </c>
      <c r="V44" s="2">
        <f t="shared" si="6"/>
        <v>20210508</v>
      </c>
      <c r="W44" s="2">
        <f t="shared" si="8"/>
        <v>0</v>
      </c>
      <c r="X44" s="2">
        <f>(SUMIF(F:F,IF(H:H="福禄20两全",F:F,0),险种!R:R)-SUMIFS(R:R,F:F,F:F,M:M,"&lt;=1"))*_xlfn.IFS(G:G=4126,1,OR(G:G&gt;4126,G:G&lt;4126),0)</f>
        <v>0</v>
      </c>
      <c r="Y44" s="2">
        <f t="shared" si="2"/>
        <v>0</v>
      </c>
      <c r="Z44" s="2">
        <f t="shared" si="3"/>
        <v>0</v>
      </c>
      <c r="AA44" s="2">
        <f t="shared" si="7"/>
        <v>0</v>
      </c>
    </row>
    <row r="45" spans="1:27">
      <c r="A45" t="s">
        <v>48</v>
      </c>
      <c r="B45" t="s">
        <v>49</v>
      </c>
      <c r="C45" t="s">
        <v>50</v>
      </c>
      <c r="D45" t="s">
        <v>91</v>
      </c>
      <c r="E45">
        <v>157576102</v>
      </c>
      <c r="F45" s="125">
        <v>6165037511001</v>
      </c>
      <c r="G45">
        <v>4122</v>
      </c>
      <c r="H45" t="s">
        <v>61</v>
      </c>
      <c r="I45" t="s">
        <v>32</v>
      </c>
      <c r="J45" s="1">
        <v>44324.4706018519</v>
      </c>
      <c r="K45" s="123"/>
      <c r="L45" t="s">
        <v>41</v>
      </c>
      <c r="M45">
        <v>1</v>
      </c>
      <c r="N45" t="s">
        <v>41</v>
      </c>
      <c r="O45">
        <v>88.8</v>
      </c>
      <c r="P45">
        <v>4054000</v>
      </c>
      <c r="Q45">
        <v>38.83423353</v>
      </c>
      <c r="R45">
        <v>444</v>
      </c>
      <c r="S45">
        <v>444</v>
      </c>
      <c r="T45" s="123"/>
      <c r="V45" s="2">
        <f t="shared" si="6"/>
        <v>20210508</v>
      </c>
      <c r="W45" s="2">
        <f t="shared" si="8"/>
        <v>0</v>
      </c>
      <c r="X45" s="2">
        <f>(SUMIF(F:F,IF(H:H="福禄20两全",F:F,0),险种!R:R)-SUMIFS(R:R,F:F,F:F,M:M,"&lt;=1"))*_xlfn.IFS(G:G=4126,1,OR(G:G&gt;4126,G:G&lt;4126),0)</f>
        <v>0</v>
      </c>
      <c r="Y45" s="2">
        <f t="shared" si="2"/>
        <v>0</v>
      </c>
      <c r="Z45" s="2">
        <f t="shared" si="3"/>
        <v>0</v>
      </c>
      <c r="AA45" s="2">
        <f t="shared" si="7"/>
        <v>0</v>
      </c>
    </row>
    <row r="46" spans="1:27">
      <c r="A46" t="s">
        <v>42</v>
      </c>
      <c r="B46" t="s">
        <v>43</v>
      </c>
      <c r="C46" t="s">
        <v>75</v>
      </c>
      <c r="D46" t="s">
        <v>76</v>
      </c>
      <c r="E46">
        <v>5671371552</v>
      </c>
      <c r="F46" s="125">
        <v>6164051127001</v>
      </c>
      <c r="G46">
        <v>4122</v>
      </c>
      <c r="H46" t="s">
        <v>61</v>
      </c>
      <c r="I46" t="s">
        <v>32</v>
      </c>
      <c r="J46" s="123">
        <v>44324.3851851852</v>
      </c>
      <c r="K46" s="123"/>
      <c r="L46" t="s">
        <v>41</v>
      </c>
      <c r="M46">
        <v>1</v>
      </c>
      <c r="N46" t="s">
        <v>41</v>
      </c>
      <c r="O46">
        <v>281</v>
      </c>
      <c r="P46">
        <v>4054000</v>
      </c>
      <c r="Q46">
        <v>122.887609338</v>
      </c>
      <c r="R46">
        <v>1405</v>
      </c>
      <c r="S46">
        <v>1405</v>
      </c>
      <c r="T46" s="123"/>
      <c r="V46" s="2">
        <f t="shared" si="6"/>
        <v>20210508</v>
      </c>
      <c r="W46" s="2">
        <f t="shared" si="8"/>
        <v>0</v>
      </c>
      <c r="X46" s="2">
        <f>(SUMIF(F:F,IF(H:H="福禄20两全",F:F,0),险种!R:R)-SUMIFS(R:R,F:F,F:F,M:M,"&lt;=1"))*_xlfn.IFS(G:G=4126,1,OR(G:G&gt;4126,G:G&lt;4126),0)</f>
        <v>0</v>
      </c>
      <c r="Y46" s="2">
        <f t="shared" si="2"/>
        <v>0</v>
      </c>
      <c r="Z46" s="2">
        <f t="shared" si="3"/>
        <v>0</v>
      </c>
      <c r="AA46" s="2">
        <f t="shared" si="7"/>
        <v>0</v>
      </c>
    </row>
    <row r="47" spans="1:27">
      <c r="A47" t="s">
        <v>42</v>
      </c>
      <c r="B47" t="s">
        <v>43</v>
      </c>
      <c r="C47" t="s">
        <v>75</v>
      </c>
      <c r="D47" t="s">
        <v>76</v>
      </c>
      <c r="E47">
        <v>5671371552</v>
      </c>
      <c r="F47" s="125">
        <v>6164023097001</v>
      </c>
      <c r="G47">
        <v>4122</v>
      </c>
      <c r="H47" t="s">
        <v>61</v>
      </c>
      <c r="I47" t="s">
        <v>32</v>
      </c>
      <c r="J47" s="1">
        <v>44324.3816782407</v>
      </c>
      <c r="K47" s="123"/>
      <c r="L47" t="s">
        <v>41</v>
      </c>
      <c r="M47">
        <v>1</v>
      </c>
      <c r="N47" t="s">
        <v>41</v>
      </c>
      <c r="O47">
        <v>281</v>
      </c>
      <c r="P47">
        <v>4054000</v>
      </c>
      <c r="Q47">
        <v>122.887609338</v>
      </c>
      <c r="R47">
        <v>1405</v>
      </c>
      <c r="S47">
        <v>1405</v>
      </c>
      <c r="T47" s="123"/>
      <c r="V47" s="2">
        <f t="shared" si="6"/>
        <v>20210508</v>
      </c>
      <c r="W47" s="2">
        <f t="shared" si="8"/>
        <v>0</v>
      </c>
      <c r="X47" s="2">
        <f>(SUMIF(F:F,IF(H:H="福禄20两全",F:F,0),险种!R:R)-SUMIFS(R:R,F:F,F:F,M:M,"&lt;=1"))*_xlfn.IFS(G:G=4126,1,OR(G:G&gt;4126,G:G&lt;4126),0)</f>
        <v>0</v>
      </c>
      <c r="Y47" s="2">
        <f t="shared" si="2"/>
        <v>0</v>
      </c>
      <c r="Z47" s="2">
        <f t="shared" si="3"/>
        <v>0</v>
      </c>
      <c r="AA47" s="2">
        <f t="shared" si="7"/>
        <v>0</v>
      </c>
    </row>
    <row r="48" spans="1:27">
      <c r="A48" t="s">
        <v>42</v>
      </c>
      <c r="B48" t="s">
        <v>43</v>
      </c>
      <c r="C48" t="s">
        <v>75</v>
      </c>
      <c r="D48" t="s">
        <v>76</v>
      </c>
      <c r="E48">
        <v>5671371552</v>
      </c>
      <c r="F48" s="125">
        <v>6163406286001</v>
      </c>
      <c r="G48">
        <v>4123</v>
      </c>
      <c r="H48" t="s">
        <v>36</v>
      </c>
      <c r="I48" t="s">
        <v>32</v>
      </c>
      <c r="J48" s="1">
        <v>44323.9184837963</v>
      </c>
      <c r="K48" s="123">
        <v>44326.4399074074</v>
      </c>
      <c r="L48" t="s">
        <v>55</v>
      </c>
      <c r="M48">
        <v>1</v>
      </c>
      <c r="N48" t="s">
        <v>56</v>
      </c>
      <c r="O48">
        <v>93.4</v>
      </c>
      <c r="P48">
        <v>1040000</v>
      </c>
      <c r="Q48">
        <v>-71.360395815</v>
      </c>
      <c r="R48">
        <v>934</v>
      </c>
      <c r="S48">
        <v>934</v>
      </c>
      <c r="T48" s="123">
        <v>44326.4385763889</v>
      </c>
      <c r="U48" t="s">
        <v>57</v>
      </c>
      <c r="V48" s="2">
        <f t="shared" si="6"/>
        <v>20210507</v>
      </c>
      <c r="W48" s="2">
        <f t="shared" si="8"/>
        <v>0</v>
      </c>
      <c r="X48" s="2">
        <f>(SUMIF(F:F,IF(H:H="福禄20两全",F:F,0),险种!R:R)-SUMIFS(R:R,F:F,F:F,M:M,"&lt;=1"))*_xlfn.IFS(G:G=4126,1,OR(G:G&gt;4126,G:G&lt;4126),0)</f>
        <v>0</v>
      </c>
      <c r="Y48" s="2">
        <f t="shared" si="2"/>
        <v>0</v>
      </c>
      <c r="Z48" s="2">
        <f t="shared" si="3"/>
        <v>0</v>
      </c>
      <c r="AA48" s="2">
        <f t="shared" si="7"/>
        <v>0</v>
      </c>
    </row>
    <row r="49" spans="1:27">
      <c r="A49" t="s">
        <v>48</v>
      </c>
      <c r="B49" t="s">
        <v>49</v>
      </c>
      <c r="C49" t="s">
        <v>50</v>
      </c>
      <c r="D49" t="s">
        <v>91</v>
      </c>
      <c r="E49">
        <v>157576102</v>
      </c>
      <c r="F49" s="125">
        <v>7945452566001</v>
      </c>
      <c r="G49">
        <v>4127</v>
      </c>
      <c r="H49" t="s">
        <v>31</v>
      </c>
      <c r="I49" t="s">
        <v>32</v>
      </c>
      <c r="J49" s="1">
        <v>44323.8398032407</v>
      </c>
      <c r="K49" s="123"/>
      <c r="L49" t="s">
        <v>41</v>
      </c>
      <c r="M49">
        <v>20</v>
      </c>
      <c r="N49" t="s">
        <v>41</v>
      </c>
      <c r="O49">
        <v>1704</v>
      </c>
      <c r="P49">
        <v>0</v>
      </c>
      <c r="Q49">
        <v>4355.363610298</v>
      </c>
      <c r="R49">
        <v>4260</v>
      </c>
      <c r="S49">
        <v>4260</v>
      </c>
      <c r="T49" s="123"/>
      <c r="V49" s="2">
        <f t="shared" si="6"/>
        <v>20210507</v>
      </c>
      <c r="W49" s="2">
        <f t="shared" si="8"/>
        <v>0</v>
      </c>
      <c r="X49" s="2">
        <f>(SUMIF(F:F,IF(H:H="福禄20两全",F:F,0),险种!R:R)-SUMIFS(R:R,F:F,F:F,M:M,"&lt;=1"))*_xlfn.IFS(G:G=4126,1,OR(G:G&gt;4126,G:G&lt;4126),0)</f>
        <v>0</v>
      </c>
      <c r="Y49" s="2">
        <f t="shared" si="2"/>
        <v>0</v>
      </c>
      <c r="Z49" s="2">
        <f t="shared" si="3"/>
        <v>0</v>
      </c>
      <c r="AA49" s="2">
        <f t="shared" si="7"/>
        <v>0</v>
      </c>
    </row>
    <row r="50" spans="1:27">
      <c r="A50" t="s">
        <v>48</v>
      </c>
      <c r="B50" t="s">
        <v>49</v>
      </c>
      <c r="C50" t="s">
        <v>50</v>
      </c>
      <c r="D50" t="s">
        <v>91</v>
      </c>
      <c r="E50">
        <v>157576102</v>
      </c>
      <c r="F50" s="125">
        <v>7945452566001</v>
      </c>
      <c r="G50">
        <v>4126</v>
      </c>
      <c r="H50" t="s">
        <v>31</v>
      </c>
      <c r="I50" t="s">
        <v>32</v>
      </c>
      <c r="J50" s="1">
        <v>44323.8398032407</v>
      </c>
      <c r="K50" s="123"/>
      <c r="L50" t="s">
        <v>41</v>
      </c>
      <c r="M50">
        <v>20</v>
      </c>
      <c r="N50" t="s">
        <v>41</v>
      </c>
      <c r="O50">
        <v>1672</v>
      </c>
      <c r="P50">
        <v>200000</v>
      </c>
      <c r="Q50">
        <v>4273.572744191</v>
      </c>
      <c r="R50">
        <v>4180</v>
      </c>
      <c r="S50">
        <v>4180</v>
      </c>
      <c r="T50" s="123"/>
      <c r="V50" s="2">
        <f t="shared" si="6"/>
        <v>20210507</v>
      </c>
      <c r="W50" s="2">
        <f t="shared" si="8"/>
        <v>1</v>
      </c>
      <c r="X50" s="2">
        <f>(SUMIF(F:F,IF(H:H="福禄20两全",F:F,0),险种!R:R)-SUMIFS(R:R,F:F,F:F,M:M,"&lt;=1"))*_xlfn.IFS(G:G=4126,1,OR(G:G&gt;4126,G:G&lt;4126),0)</f>
        <v>8440</v>
      </c>
      <c r="Y50" s="2">
        <f t="shared" si="2"/>
        <v>1</v>
      </c>
      <c r="Z50" s="2">
        <f t="shared" si="3"/>
        <v>0</v>
      </c>
      <c r="AA50" s="2">
        <f t="shared" si="7"/>
        <v>8</v>
      </c>
    </row>
    <row r="51" spans="1:27">
      <c r="A51" t="s">
        <v>42</v>
      </c>
      <c r="B51" t="s">
        <v>62</v>
      </c>
      <c r="C51" t="s">
        <v>92</v>
      </c>
      <c r="D51" t="s">
        <v>93</v>
      </c>
      <c r="E51">
        <v>6559818092</v>
      </c>
      <c r="F51" s="125">
        <v>7945451924001</v>
      </c>
      <c r="G51">
        <v>4010</v>
      </c>
      <c r="H51" t="s">
        <v>85</v>
      </c>
      <c r="I51" t="s">
        <v>32</v>
      </c>
      <c r="J51" s="1">
        <v>44323.8308680556</v>
      </c>
      <c r="K51" s="123">
        <v>44323.8309953704</v>
      </c>
      <c r="L51" t="s">
        <v>55</v>
      </c>
      <c r="M51">
        <v>0</v>
      </c>
      <c r="N51" t="s">
        <v>56</v>
      </c>
      <c r="O51">
        <v>0</v>
      </c>
      <c r="P51">
        <v>100</v>
      </c>
      <c r="Q51">
        <v>13.025191747</v>
      </c>
      <c r="R51">
        <v>36.5</v>
      </c>
      <c r="S51">
        <v>36.5</v>
      </c>
      <c r="T51" s="123">
        <v>44323.8309837963</v>
      </c>
      <c r="U51" t="s">
        <v>57</v>
      </c>
      <c r="V51" s="2">
        <f t="shared" si="6"/>
        <v>20210507</v>
      </c>
      <c r="W51" s="2">
        <f t="shared" si="8"/>
        <v>0</v>
      </c>
      <c r="X51" s="2">
        <f>(SUMIF(F:F,IF(H:H="福禄20两全",F:F,0),险种!R:R)-SUMIFS(R:R,F:F,F:F,M:M,"&lt;=1"))*_xlfn.IFS(G:G=4126,1,OR(G:G&gt;4126,G:G&lt;4126),0)</f>
        <v>0</v>
      </c>
      <c r="Y51" s="2">
        <f t="shared" si="2"/>
        <v>0</v>
      </c>
      <c r="Z51" s="2">
        <f t="shared" si="3"/>
        <v>0</v>
      </c>
      <c r="AA51" s="2">
        <f t="shared" si="7"/>
        <v>0</v>
      </c>
    </row>
    <row r="52" spans="1:27">
      <c r="A52" t="s">
        <v>42</v>
      </c>
      <c r="B52" t="s">
        <v>62</v>
      </c>
      <c r="C52" t="s">
        <v>92</v>
      </c>
      <c r="D52" t="s">
        <v>93</v>
      </c>
      <c r="E52">
        <v>6559818092</v>
      </c>
      <c r="F52" s="125">
        <v>7945451924001</v>
      </c>
      <c r="G52">
        <v>4011</v>
      </c>
      <c r="H52" t="s">
        <v>84</v>
      </c>
      <c r="I52" t="s">
        <v>32</v>
      </c>
      <c r="J52" s="123">
        <v>44323.8308680556</v>
      </c>
      <c r="K52" s="123">
        <v>44323.8309953704</v>
      </c>
      <c r="L52" t="s">
        <v>55</v>
      </c>
      <c r="M52">
        <v>0</v>
      </c>
      <c r="N52" t="s">
        <v>56</v>
      </c>
      <c r="O52">
        <v>0</v>
      </c>
      <c r="P52">
        <v>5000</v>
      </c>
      <c r="Q52">
        <v>18.378009986</v>
      </c>
      <c r="R52">
        <v>51.5</v>
      </c>
      <c r="S52">
        <v>51.5</v>
      </c>
      <c r="T52" s="123">
        <v>44323.8309837963</v>
      </c>
      <c r="U52" t="s">
        <v>57</v>
      </c>
      <c r="V52" s="2">
        <f t="shared" si="6"/>
        <v>20210507</v>
      </c>
      <c r="W52" s="2">
        <f t="shared" si="8"/>
        <v>0</v>
      </c>
      <c r="X52" s="2">
        <f>(SUMIF(F:F,IF(H:H="福禄20两全",F:F,0),险种!R:R)-SUMIFS(R:R,F:F,F:F,M:M,"&lt;=1"))*_xlfn.IFS(G:G=4126,1,OR(G:G&gt;4126,G:G&lt;4126),0)</f>
        <v>0</v>
      </c>
      <c r="Y52" s="2">
        <f t="shared" si="2"/>
        <v>0</v>
      </c>
      <c r="Z52" s="2">
        <f t="shared" si="3"/>
        <v>0</v>
      </c>
      <c r="AA52" s="2">
        <f t="shared" si="7"/>
        <v>0</v>
      </c>
    </row>
    <row r="53" spans="1:27">
      <c r="A53" t="s">
        <v>42</v>
      </c>
      <c r="B53" t="s">
        <v>43</v>
      </c>
      <c r="C53" t="s">
        <v>75</v>
      </c>
      <c r="D53" t="s">
        <v>76</v>
      </c>
      <c r="E53">
        <v>5671371552</v>
      </c>
      <c r="F53" s="125">
        <v>6162360087001</v>
      </c>
      <c r="G53">
        <v>4123</v>
      </c>
      <c r="H53" t="s">
        <v>36</v>
      </c>
      <c r="I53" t="s">
        <v>32</v>
      </c>
      <c r="J53" s="123">
        <v>44323.7729166667</v>
      </c>
      <c r="K53" s="123"/>
      <c r="L53" t="s">
        <v>80</v>
      </c>
      <c r="M53">
        <v>1</v>
      </c>
      <c r="N53" t="s">
        <v>81</v>
      </c>
      <c r="P53">
        <v>0</v>
      </c>
      <c r="Q53">
        <v>0</v>
      </c>
      <c r="R53">
        <v>0</v>
      </c>
      <c r="S53">
        <v>0</v>
      </c>
      <c r="T53" s="123"/>
      <c r="V53" s="2">
        <f t="shared" si="6"/>
        <v>20210507</v>
      </c>
      <c r="W53" s="2">
        <f t="shared" si="8"/>
        <v>0</v>
      </c>
      <c r="X53" s="2">
        <f>(SUMIF(F:F,IF(H:H="福禄20两全",F:F,0),险种!R:R)-SUMIFS(R:R,F:F,F:F,M:M,"&lt;=1"))*_xlfn.IFS(G:G=4126,1,OR(G:G&gt;4126,G:G&lt;4126),0)</f>
        <v>0</v>
      </c>
      <c r="Y53" s="2">
        <f t="shared" si="2"/>
        <v>0</v>
      </c>
      <c r="Z53" s="2">
        <f t="shared" si="3"/>
        <v>0</v>
      </c>
      <c r="AA53" s="2">
        <f t="shared" si="7"/>
        <v>0</v>
      </c>
    </row>
    <row r="54" spans="1:27">
      <c r="A54" t="s">
        <v>42</v>
      </c>
      <c r="B54" t="s">
        <v>43</v>
      </c>
      <c r="C54" t="s">
        <v>75</v>
      </c>
      <c r="D54" t="s">
        <v>76</v>
      </c>
      <c r="E54">
        <v>5671371552</v>
      </c>
      <c r="F54" s="125">
        <v>6162062734001</v>
      </c>
      <c r="G54">
        <v>4122</v>
      </c>
      <c r="H54" t="s">
        <v>61</v>
      </c>
      <c r="I54" t="s">
        <v>32</v>
      </c>
      <c r="J54" s="1">
        <v>44323.729837963</v>
      </c>
      <c r="K54" s="123"/>
      <c r="L54" t="s">
        <v>41</v>
      </c>
      <c r="M54">
        <v>1</v>
      </c>
      <c r="N54" t="s">
        <v>41</v>
      </c>
      <c r="O54">
        <v>214</v>
      </c>
      <c r="P54">
        <v>4054000</v>
      </c>
      <c r="Q54">
        <v>93.587004841</v>
      </c>
      <c r="R54">
        <v>1070</v>
      </c>
      <c r="S54">
        <v>1070</v>
      </c>
      <c r="T54" s="123"/>
      <c r="V54" s="2">
        <f t="shared" si="6"/>
        <v>20210507</v>
      </c>
      <c r="W54" s="2">
        <f t="shared" si="8"/>
        <v>0</v>
      </c>
      <c r="X54" s="2">
        <f>(SUMIF(F:F,IF(H:H="福禄20两全",F:F,0),险种!R:R)-SUMIFS(R:R,F:F,F:F,M:M,"&lt;=1"))*_xlfn.IFS(G:G=4126,1,OR(G:G&gt;4126,G:G&lt;4126),0)</f>
        <v>0</v>
      </c>
      <c r="Y54" s="2">
        <f t="shared" si="2"/>
        <v>0</v>
      </c>
      <c r="Z54" s="2">
        <f t="shared" si="3"/>
        <v>0</v>
      </c>
      <c r="AA54" s="2">
        <f t="shared" si="7"/>
        <v>0</v>
      </c>
    </row>
    <row r="55" spans="1:27">
      <c r="A55" t="s">
        <v>42</v>
      </c>
      <c r="B55" t="s">
        <v>43</v>
      </c>
      <c r="C55" t="s">
        <v>75</v>
      </c>
      <c r="D55" t="s">
        <v>76</v>
      </c>
      <c r="E55">
        <v>5671371552</v>
      </c>
      <c r="F55" s="125">
        <v>6161985990001</v>
      </c>
      <c r="G55">
        <v>4122</v>
      </c>
      <c r="H55" t="s">
        <v>61</v>
      </c>
      <c r="I55" t="s">
        <v>32</v>
      </c>
      <c r="J55" s="1">
        <v>44323.7261458333</v>
      </c>
      <c r="K55" s="123"/>
      <c r="L55" t="s">
        <v>41</v>
      </c>
      <c r="M55">
        <v>1</v>
      </c>
      <c r="N55" t="s">
        <v>41</v>
      </c>
      <c r="O55">
        <v>214</v>
      </c>
      <c r="P55">
        <v>4054000</v>
      </c>
      <c r="Q55">
        <v>93.587004841</v>
      </c>
      <c r="R55">
        <v>1070</v>
      </c>
      <c r="S55">
        <v>1070</v>
      </c>
      <c r="T55" s="123"/>
      <c r="V55" s="2">
        <f t="shared" si="6"/>
        <v>20210507</v>
      </c>
      <c r="W55" s="2">
        <f t="shared" si="8"/>
        <v>0</v>
      </c>
      <c r="X55" s="2">
        <f>(SUMIF(F:F,IF(H:H="福禄20两全",F:F,0),险种!R:R)-SUMIFS(R:R,F:F,F:F,M:M,"&lt;=1"))*_xlfn.IFS(G:G=4126,1,OR(G:G&gt;4126,G:G&lt;4126),0)</f>
        <v>0</v>
      </c>
      <c r="Y55" s="2">
        <f t="shared" si="2"/>
        <v>0</v>
      </c>
      <c r="Z55" s="2">
        <f t="shared" si="3"/>
        <v>0</v>
      </c>
      <c r="AA55" s="2">
        <f t="shared" si="7"/>
        <v>0</v>
      </c>
    </row>
    <row r="56" spans="1:27">
      <c r="A56" t="s">
        <v>27</v>
      </c>
      <c r="B56" t="s">
        <v>94</v>
      </c>
      <c r="C56" t="s">
        <v>95</v>
      </c>
      <c r="D56" t="s">
        <v>96</v>
      </c>
      <c r="E56">
        <v>480193632</v>
      </c>
      <c r="F56" s="125">
        <v>6161718165001</v>
      </c>
      <c r="G56">
        <v>4123</v>
      </c>
      <c r="H56" t="s">
        <v>36</v>
      </c>
      <c r="I56" t="s">
        <v>32</v>
      </c>
      <c r="J56" s="1">
        <v>44323.6961226852</v>
      </c>
      <c r="K56" s="123">
        <v>44323.6966203704</v>
      </c>
      <c r="L56" t="s">
        <v>55</v>
      </c>
      <c r="M56">
        <v>1</v>
      </c>
      <c r="N56" t="s">
        <v>56</v>
      </c>
      <c r="O56">
        <v>126.2</v>
      </c>
      <c r="P56">
        <v>1040000</v>
      </c>
      <c r="Q56">
        <v>-96.420578265</v>
      </c>
      <c r="R56">
        <v>1262</v>
      </c>
      <c r="S56">
        <v>1262</v>
      </c>
      <c r="T56" s="123">
        <v>44323.6966087963</v>
      </c>
      <c r="U56" t="s">
        <v>57</v>
      </c>
      <c r="V56" s="2">
        <f t="shared" si="6"/>
        <v>20210507</v>
      </c>
      <c r="W56" s="2">
        <f t="shared" si="8"/>
        <v>0</v>
      </c>
      <c r="X56" s="2">
        <f>(SUMIF(F:F,IF(H:H="福禄20两全",F:F,0),险种!R:R)-SUMIFS(R:R,F:F,F:F,M:M,"&lt;=1"))*_xlfn.IFS(G:G=4126,1,OR(G:G&gt;4126,G:G&lt;4126),0)</f>
        <v>0</v>
      </c>
      <c r="Y56" s="2">
        <f t="shared" si="2"/>
        <v>0</v>
      </c>
      <c r="Z56" s="2">
        <f t="shared" si="3"/>
        <v>0</v>
      </c>
      <c r="AA56" s="2">
        <f t="shared" si="7"/>
        <v>0</v>
      </c>
    </row>
    <row r="57" spans="1:27">
      <c r="A57" t="s">
        <v>42</v>
      </c>
      <c r="B57" t="s">
        <v>66</v>
      </c>
      <c r="C57" t="s">
        <v>67</v>
      </c>
      <c r="D57" t="s">
        <v>97</v>
      </c>
      <c r="E57">
        <v>628297282</v>
      </c>
      <c r="F57" s="125">
        <v>7945391992001</v>
      </c>
      <c r="G57">
        <v>4114</v>
      </c>
      <c r="H57" t="s">
        <v>35</v>
      </c>
      <c r="I57" t="s">
        <v>32</v>
      </c>
      <c r="J57" s="1">
        <v>44323.6957986111</v>
      </c>
      <c r="K57" s="123">
        <v>44323.6974074074</v>
      </c>
      <c r="L57" t="s">
        <v>55</v>
      </c>
      <c r="M57">
        <v>1</v>
      </c>
      <c r="N57" t="s">
        <v>56</v>
      </c>
      <c r="O57">
        <v>13</v>
      </c>
      <c r="P57">
        <v>100000</v>
      </c>
      <c r="Q57">
        <v>-3.576508599</v>
      </c>
      <c r="R57">
        <v>130</v>
      </c>
      <c r="S57">
        <v>130</v>
      </c>
      <c r="T57" s="123">
        <v>44323.6973842593</v>
      </c>
      <c r="U57" t="s">
        <v>57</v>
      </c>
      <c r="V57" s="2">
        <f t="shared" si="6"/>
        <v>20210507</v>
      </c>
      <c r="W57" s="2">
        <f t="shared" si="8"/>
        <v>0</v>
      </c>
      <c r="X57" s="2">
        <f>(SUMIF(F:F,IF(H:H="福禄20两全",F:F,0),险种!R:R)-SUMIFS(R:R,F:F,F:F,M:M,"&lt;=1"))*_xlfn.IFS(G:G=4126,1,OR(G:G&gt;4126,G:G&lt;4126),0)</f>
        <v>0</v>
      </c>
      <c r="Y57" s="2">
        <f t="shared" si="2"/>
        <v>0</v>
      </c>
      <c r="Z57" s="2">
        <f t="shared" si="3"/>
        <v>0</v>
      </c>
      <c r="AA57" s="2">
        <f t="shared" si="7"/>
        <v>0</v>
      </c>
    </row>
    <row r="58" spans="1:27">
      <c r="A58" t="s">
        <v>42</v>
      </c>
      <c r="B58" t="s">
        <v>66</v>
      </c>
      <c r="C58" t="s">
        <v>67</v>
      </c>
      <c r="D58" t="s">
        <v>97</v>
      </c>
      <c r="E58">
        <v>628297282</v>
      </c>
      <c r="F58" s="125">
        <v>7945391992001</v>
      </c>
      <c r="G58">
        <v>4123</v>
      </c>
      <c r="H58" t="s">
        <v>36</v>
      </c>
      <c r="I58" t="s">
        <v>32</v>
      </c>
      <c r="J58" s="1">
        <v>44323.6957986111</v>
      </c>
      <c r="K58" s="123">
        <v>44323.6974074074</v>
      </c>
      <c r="L58" t="s">
        <v>55</v>
      </c>
      <c r="M58">
        <v>1</v>
      </c>
      <c r="N58" t="s">
        <v>56</v>
      </c>
      <c r="O58">
        <v>174.7</v>
      </c>
      <c r="P58">
        <v>1040000</v>
      </c>
      <c r="Q58">
        <v>-133.476029886</v>
      </c>
      <c r="R58">
        <v>1747</v>
      </c>
      <c r="S58">
        <v>1747</v>
      </c>
      <c r="T58" s="123">
        <v>44323.6973842593</v>
      </c>
      <c r="U58" t="s">
        <v>57</v>
      </c>
      <c r="V58" s="2">
        <f t="shared" si="6"/>
        <v>20210507</v>
      </c>
      <c r="W58" s="2">
        <f t="shared" si="8"/>
        <v>0</v>
      </c>
      <c r="X58" s="2">
        <f>(SUMIF(F:F,IF(H:H="福禄20两全",F:F,0),险种!R:R)-SUMIFS(R:R,F:F,F:F,M:M,"&lt;=1"))*_xlfn.IFS(G:G=4126,1,OR(G:G&gt;4126,G:G&lt;4126),0)</f>
        <v>0</v>
      </c>
      <c r="Y58" s="2">
        <f t="shared" si="2"/>
        <v>0</v>
      </c>
      <c r="Z58" s="2">
        <f t="shared" si="3"/>
        <v>0</v>
      </c>
      <c r="AA58" s="2">
        <f t="shared" si="7"/>
        <v>0</v>
      </c>
    </row>
    <row r="59" spans="1:27">
      <c r="A59" t="s">
        <v>42</v>
      </c>
      <c r="B59" t="s">
        <v>66</v>
      </c>
      <c r="C59" t="s">
        <v>67</v>
      </c>
      <c r="D59" t="s">
        <v>97</v>
      </c>
      <c r="E59">
        <v>628297282</v>
      </c>
      <c r="F59" s="125">
        <v>7945391992001</v>
      </c>
      <c r="G59">
        <v>4112</v>
      </c>
      <c r="H59" t="s">
        <v>69</v>
      </c>
      <c r="I59" t="s">
        <v>32</v>
      </c>
      <c r="J59" s="1">
        <v>44323.6957986111</v>
      </c>
      <c r="K59" s="123">
        <v>44323.6974074074</v>
      </c>
      <c r="L59" t="s">
        <v>55</v>
      </c>
      <c r="M59">
        <v>20</v>
      </c>
      <c r="N59" t="s">
        <v>56</v>
      </c>
      <c r="O59">
        <v>1248</v>
      </c>
      <c r="P59">
        <v>300000</v>
      </c>
      <c r="Q59">
        <v>2744.116466218</v>
      </c>
      <c r="R59">
        <v>3120</v>
      </c>
      <c r="S59">
        <v>3120</v>
      </c>
      <c r="T59" s="123">
        <v>44323.6973842593</v>
      </c>
      <c r="U59" t="s">
        <v>57</v>
      </c>
      <c r="V59" s="2">
        <f t="shared" si="6"/>
        <v>20210507</v>
      </c>
      <c r="W59" s="2">
        <f t="shared" si="8"/>
        <v>1</v>
      </c>
      <c r="X59" s="2">
        <f>(SUMIF(F:F,IF(H:H="福禄20两全",F:F,0),险种!R:R)-SUMIFS(R:R,F:F,F:F,M:M,"&lt;=1"))*_xlfn.IFS(G:G=4126,1,OR(G:G&gt;4126,G:G&lt;4126),0)</f>
        <v>0</v>
      </c>
      <c r="Y59" s="2">
        <f t="shared" si="2"/>
        <v>1</v>
      </c>
      <c r="Z59" s="2">
        <f t="shared" si="3"/>
        <v>0</v>
      </c>
      <c r="AA59" s="2">
        <f t="shared" si="7"/>
        <v>3</v>
      </c>
    </row>
    <row r="60" spans="1:27">
      <c r="A60" t="s">
        <v>42</v>
      </c>
      <c r="B60" t="s">
        <v>43</v>
      </c>
      <c r="C60" t="s">
        <v>44</v>
      </c>
      <c r="D60" t="s">
        <v>45</v>
      </c>
      <c r="E60">
        <v>51108342</v>
      </c>
      <c r="F60" s="125">
        <v>7945362571001</v>
      </c>
      <c r="G60">
        <v>4123</v>
      </c>
      <c r="H60" t="s">
        <v>36</v>
      </c>
      <c r="I60" t="s">
        <v>32</v>
      </c>
      <c r="J60" s="1">
        <v>44323.6325115741</v>
      </c>
      <c r="K60" s="123">
        <v>44323.6337384259</v>
      </c>
      <c r="L60" t="s">
        <v>55</v>
      </c>
      <c r="M60">
        <v>1</v>
      </c>
      <c r="N60" t="s">
        <v>56</v>
      </c>
      <c r="O60">
        <v>126.2</v>
      </c>
      <c r="P60">
        <v>1040000</v>
      </c>
      <c r="Q60">
        <v>-96.420578265</v>
      </c>
      <c r="R60">
        <v>1262</v>
      </c>
      <c r="S60">
        <v>1262</v>
      </c>
      <c r="T60" s="123">
        <v>44323.6337152778</v>
      </c>
      <c r="U60" t="s">
        <v>57</v>
      </c>
      <c r="V60" s="2">
        <f t="shared" si="6"/>
        <v>20210507</v>
      </c>
      <c r="W60" s="2">
        <f t="shared" si="8"/>
        <v>0</v>
      </c>
      <c r="X60" s="2">
        <f>(SUMIF(F:F,IF(H:H="福禄20两全",F:F,0),险种!R:R)-SUMIFS(R:R,F:F,F:F,M:M,"&lt;=1"))*_xlfn.IFS(G:G=4126,1,OR(G:G&gt;4126,G:G&lt;4126),0)</f>
        <v>0</v>
      </c>
      <c r="Y60" s="2">
        <f t="shared" si="2"/>
        <v>0</v>
      </c>
      <c r="Z60" s="2">
        <f t="shared" si="3"/>
        <v>0</v>
      </c>
      <c r="AA60" s="2">
        <f t="shared" si="7"/>
        <v>0</v>
      </c>
    </row>
    <row r="61" spans="1:27">
      <c r="A61" t="s">
        <v>42</v>
      </c>
      <c r="B61" t="s">
        <v>43</v>
      </c>
      <c r="C61" t="s">
        <v>44</v>
      </c>
      <c r="D61" t="s">
        <v>45</v>
      </c>
      <c r="E61">
        <v>51108342</v>
      </c>
      <c r="F61" s="125">
        <v>7945362571001</v>
      </c>
      <c r="G61">
        <v>4114</v>
      </c>
      <c r="H61" t="s">
        <v>35</v>
      </c>
      <c r="I61" t="s">
        <v>32</v>
      </c>
      <c r="J61" s="1">
        <v>44323.6325115741</v>
      </c>
      <c r="K61" s="123">
        <v>44323.6337384259</v>
      </c>
      <c r="L61" t="s">
        <v>55</v>
      </c>
      <c r="M61">
        <v>1</v>
      </c>
      <c r="N61" t="s">
        <v>56</v>
      </c>
      <c r="O61">
        <v>18</v>
      </c>
      <c r="P61">
        <v>100000</v>
      </c>
      <c r="Q61">
        <v>-4.952088138</v>
      </c>
      <c r="R61">
        <v>180</v>
      </c>
      <c r="S61">
        <v>180</v>
      </c>
      <c r="T61" s="123">
        <v>44323.6337152778</v>
      </c>
      <c r="U61" t="s">
        <v>57</v>
      </c>
      <c r="V61" s="2">
        <f t="shared" si="6"/>
        <v>20210507</v>
      </c>
      <c r="W61" s="2">
        <f t="shared" si="8"/>
        <v>0</v>
      </c>
      <c r="X61" s="2">
        <f>(SUMIF(F:F,IF(H:H="福禄20两全",F:F,0),险种!R:R)-SUMIFS(R:R,F:F,F:F,M:M,"&lt;=1"))*_xlfn.IFS(G:G=4126,1,OR(G:G&gt;4126,G:G&lt;4126),0)</f>
        <v>0</v>
      </c>
      <c r="Y61" s="2">
        <f t="shared" si="2"/>
        <v>0</v>
      </c>
      <c r="Z61" s="2">
        <f t="shared" si="3"/>
        <v>0</v>
      </c>
      <c r="AA61" s="2">
        <f t="shared" si="7"/>
        <v>0</v>
      </c>
    </row>
    <row r="62" spans="1:27">
      <c r="A62" t="s">
        <v>48</v>
      </c>
      <c r="B62" t="s">
        <v>49</v>
      </c>
      <c r="C62" t="s">
        <v>98</v>
      </c>
      <c r="D62" t="s">
        <v>99</v>
      </c>
      <c r="E62">
        <v>6183615882</v>
      </c>
      <c r="F62" s="125">
        <v>6153302233001</v>
      </c>
      <c r="G62">
        <v>4123</v>
      </c>
      <c r="H62" t="s">
        <v>36</v>
      </c>
      <c r="I62" t="s">
        <v>32</v>
      </c>
      <c r="J62" s="1">
        <v>44323.4111805556</v>
      </c>
      <c r="K62" s="123"/>
      <c r="L62" t="s">
        <v>41</v>
      </c>
      <c r="M62">
        <v>1</v>
      </c>
      <c r="N62" t="s">
        <v>41</v>
      </c>
      <c r="O62">
        <v>167.5</v>
      </c>
      <c r="P62">
        <v>520000</v>
      </c>
      <c r="Q62">
        <v>-127.975014031</v>
      </c>
      <c r="R62">
        <v>1675</v>
      </c>
      <c r="S62">
        <v>1675</v>
      </c>
      <c r="T62" s="123"/>
      <c r="V62" s="2">
        <f t="shared" ref="V62:V79" si="9">TEXT(J:J,"yyyymmdd")*1</f>
        <v>20210507</v>
      </c>
      <c r="W62" s="2">
        <f t="shared" si="8"/>
        <v>0</v>
      </c>
      <c r="X62" s="2">
        <f>(SUMIF(F:F,IF(H:H="福禄20两全",F:F,0),险种!R:R)-SUMIFS(R:R,F:F,F:F,M:M,"&lt;=1"))*_xlfn.IFS(G:G=4126,1,OR(G:G&gt;4126,G:G&lt;4126),0)</f>
        <v>0</v>
      </c>
      <c r="Y62" s="2">
        <f t="shared" si="2"/>
        <v>0</v>
      </c>
      <c r="Z62" s="2">
        <f t="shared" si="3"/>
        <v>0</v>
      </c>
      <c r="AA62" s="2">
        <f t="shared" si="7"/>
        <v>0</v>
      </c>
    </row>
    <row r="63" spans="1:27">
      <c r="A63" t="s">
        <v>48</v>
      </c>
      <c r="B63" t="s">
        <v>49</v>
      </c>
      <c r="C63" t="s">
        <v>50</v>
      </c>
      <c r="D63" t="s">
        <v>91</v>
      </c>
      <c r="E63">
        <v>157576102</v>
      </c>
      <c r="F63" s="125">
        <v>6158474921001</v>
      </c>
      <c r="G63">
        <v>4122</v>
      </c>
      <c r="H63" t="s">
        <v>61</v>
      </c>
      <c r="I63" t="s">
        <v>32</v>
      </c>
      <c r="J63" s="1">
        <v>44323.3881481482</v>
      </c>
      <c r="K63" s="123"/>
      <c r="L63" t="s">
        <v>41</v>
      </c>
      <c r="M63">
        <v>1</v>
      </c>
      <c r="N63" t="s">
        <v>41</v>
      </c>
      <c r="O63">
        <v>88.8</v>
      </c>
      <c r="P63">
        <v>4054000</v>
      </c>
      <c r="Q63">
        <v>38.83423353</v>
      </c>
      <c r="R63">
        <v>444</v>
      </c>
      <c r="S63">
        <v>444</v>
      </c>
      <c r="T63" s="123">
        <v>44323.3886921296</v>
      </c>
      <c r="V63" s="2">
        <f t="shared" si="9"/>
        <v>20210507</v>
      </c>
      <c r="W63" s="2">
        <f t="shared" si="8"/>
        <v>0</v>
      </c>
      <c r="X63" s="2">
        <f>(SUMIF(F:F,IF(H:H="福禄20两全",F:F,0),险种!R:R)-SUMIFS(R:R,F:F,F:F,M:M,"&lt;=1"))*_xlfn.IFS(G:G=4126,1,OR(G:G&gt;4126,G:G&lt;4126),0)</f>
        <v>0</v>
      </c>
      <c r="Y63" s="2">
        <f t="shared" si="2"/>
        <v>0</v>
      </c>
      <c r="Z63" s="2">
        <f t="shared" si="3"/>
        <v>0</v>
      </c>
      <c r="AA63" s="2">
        <f t="shared" si="7"/>
        <v>0</v>
      </c>
    </row>
    <row r="64" spans="1:27">
      <c r="A64" t="s">
        <v>48</v>
      </c>
      <c r="B64" t="s">
        <v>49</v>
      </c>
      <c r="C64" t="s">
        <v>50</v>
      </c>
      <c r="D64" t="s">
        <v>91</v>
      </c>
      <c r="E64">
        <v>157576102</v>
      </c>
      <c r="F64" s="125">
        <v>6158426314001</v>
      </c>
      <c r="G64">
        <v>4122</v>
      </c>
      <c r="H64" t="s">
        <v>61</v>
      </c>
      <c r="I64" t="s">
        <v>32</v>
      </c>
      <c r="J64" s="123">
        <v>44323.3842824074</v>
      </c>
      <c r="K64" s="123"/>
      <c r="L64" t="s">
        <v>41</v>
      </c>
      <c r="M64">
        <v>1</v>
      </c>
      <c r="N64" t="s">
        <v>41</v>
      </c>
      <c r="O64">
        <v>88.8</v>
      </c>
      <c r="P64">
        <v>4054000</v>
      </c>
      <c r="Q64">
        <v>38.83423353</v>
      </c>
      <c r="R64">
        <v>444</v>
      </c>
      <c r="S64">
        <v>444</v>
      </c>
      <c r="T64" s="123">
        <v>44323.3851041667</v>
      </c>
      <c r="V64" s="2">
        <f t="shared" si="9"/>
        <v>20210507</v>
      </c>
      <c r="W64" s="2">
        <f t="shared" si="8"/>
        <v>0</v>
      </c>
      <c r="X64" s="2">
        <f>(SUMIF(F:F,IF(H:H="福禄20两全",F:F,0),险种!R:R)-SUMIFS(R:R,F:F,F:F,M:M,"&lt;=1"))*_xlfn.IFS(G:G=4126,1,OR(G:G&gt;4126,G:G&lt;4126),0)</f>
        <v>0</v>
      </c>
      <c r="Y64" s="2">
        <f t="shared" si="2"/>
        <v>0</v>
      </c>
      <c r="Z64" s="2">
        <f t="shared" si="3"/>
        <v>0</v>
      </c>
      <c r="AA64" s="2">
        <f t="shared" si="7"/>
        <v>0</v>
      </c>
    </row>
    <row r="65" spans="1:27">
      <c r="A65" t="s">
        <v>48</v>
      </c>
      <c r="B65" t="s">
        <v>49</v>
      </c>
      <c r="C65" t="s">
        <v>50</v>
      </c>
      <c r="D65" t="s">
        <v>91</v>
      </c>
      <c r="E65">
        <v>157576102</v>
      </c>
      <c r="F65" s="125">
        <v>6158395589001</v>
      </c>
      <c r="G65">
        <v>4122</v>
      </c>
      <c r="H65" t="s">
        <v>61</v>
      </c>
      <c r="I65" t="s">
        <v>32</v>
      </c>
      <c r="J65" s="123">
        <v>44323.381099537</v>
      </c>
      <c r="K65" s="123"/>
      <c r="L65" t="s">
        <v>41</v>
      </c>
      <c r="M65">
        <v>1</v>
      </c>
      <c r="N65" t="s">
        <v>41</v>
      </c>
      <c r="O65">
        <v>88.8</v>
      </c>
      <c r="P65">
        <v>4054000</v>
      </c>
      <c r="Q65">
        <v>38.83423353</v>
      </c>
      <c r="R65">
        <v>444</v>
      </c>
      <c r="S65">
        <v>444</v>
      </c>
      <c r="T65" s="123">
        <v>44323.3815625</v>
      </c>
      <c r="V65" s="2">
        <f t="shared" si="9"/>
        <v>20210507</v>
      </c>
      <c r="W65" s="2">
        <f t="shared" si="8"/>
        <v>0</v>
      </c>
      <c r="X65" s="2">
        <f>(SUMIF(F:F,IF(H:H="福禄20两全",F:F,0),险种!R:R)-SUMIFS(R:R,F:F,F:F,M:M,"&lt;=1"))*_xlfn.IFS(G:G=4126,1,OR(G:G&gt;4126,G:G&lt;4126),0)</f>
        <v>0</v>
      </c>
      <c r="Y65" s="2">
        <f t="shared" si="2"/>
        <v>0</v>
      </c>
      <c r="Z65" s="2">
        <f t="shared" si="3"/>
        <v>0</v>
      </c>
      <c r="AA65" s="2">
        <f t="shared" si="7"/>
        <v>0</v>
      </c>
    </row>
    <row r="66" spans="1:27">
      <c r="A66" t="s">
        <v>27</v>
      </c>
      <c r="B66" t="s">
        <v>100</v>
      </c>
      <c r="C66" t="s">
        <v>101</v>
      </c>
      <c r="D66" t="s">
        <v>102</v>
      </c>
      <c r="E66">
        <v>61598022</v>
      </c>
      <c r="F66" s="125">
        <v>9486943156001</v>
      </c>
      <c r="G66">
        <v>4122</v>
      </c>
      <c r="H66" t="s">
        <v>61</v>
      </c>
      <c r="I66" t="s">
        <v>32</v>
      </c>
      <c r="J66" s="1">
        <v>44323</v>
      </c>
      <c r="K66" s="123">
        <v>44323.5297569444</v>
      </c>
      <c r="L66" t="s">
        <v>55</v>
      </c>
      <c r="M66">
        <v>1</v>
      </c>
      <c r="N66" t="s">
        <v>56</v>
      </c>
      <c r="O66">
        <v>208</v>
      </c>
      <c r="P66">
        <v>4054000</v>
      </c>
      <c r="Q66">
        <v>90.963070602</v>
      </c>
      <c r="R66">
        <v>1040</v>
      </c>
      <c r="S66">
        <v>1040</v>
      </c>
      <c r="T66" s="123">
        <v>44323.5297453704</v>
      </c>
      <c r="U66" t="s">
        <v>57</v>
      </c>
      <c r="V66" s="2">
        <f t="shared" si="9"/>
        <v>20210507</v>
      </c>
      <c r="W66" s="2">
        <f t="shared" si="8"/>
        <v>0</v>
      </c>
      <c r="X66" s="2">
        <f>(SUMIF(F:F,IF(H:H="福禄20两全",F:F,0),险种!R:R)-SUMIFS(R:R,F:F,F:F,M:M,"&lt;=1"))*_xlfn.IFS(G:G=4126,1,OR(G:G&gt;4126,G:G&lt;4126),0)</f>
        <v>0</v>
      </c>
      <c r="Y66" s="2">
        <f t="shared" si="2"/>
        <v>0</v>
      </c>
      <c r="Z66" s="2">
        <f t="shared" si="3"/>
        <v>0</v>
      </c>
      <c r="AA66" s="2">
        <f t="shared" si="7"/>
        <v>0</v>
      </c>
    </row>
    <row r="67" spans="1:27">
      <c r="A67" t="s">
        <v>42</v>
      </c>
      <c r="B67" t="s">
        <v>43</v>
      </c>
      <c r="C67" t="s">
        <v>70</v>
      </c>
      <c r="D67" t="s">
        <v>71</v>
      </c>
      <c r="E67">
        <v>5689072702</v>
      </c>
      <c r="F67" s="125">
        <v>7945240567001</v>
      </c>
      <c r="G67">
        <v>4126</v>
      </c>
      <c r="H67" t="s">
        <v>31</v>
      </c>
      <c r="I67" t="s">
        <v>103</v>
      </c>
      <c r="J67" s="123">
        <v>44322.9282638889</v>
      </c>
      <c r="K67" s="123">
        <v>44322.9366319444</v>
      </c>
      <c r="L67" t="s">
        <v>55</v>
      </c>
      <c r="M67">
        <v>20</v>
      </c>
      <c r="N67" t="s">
        <v>56</v>
      </c>
      <c r="O67">
        <v>316.8</v>
      </c>
      <c r="P67">
        <v>220000</v>
      </c>
      <c r="Q67">
        <v>809.729572278</v>
      </c>
      <c r="R67">
        <v>792</v>
      </c>
      <c r="S67">
        <v>792</v>
      </c>
      <c r="T67" s="123">
        <v>44322.9366087963</v>
      </c>
      <c r="U67" t="s">
        <v>57</v>
      </c>
      <c r="V67" s="2">
        <f t="shared" si="9"/>
        <v>20210506</v>
      </c>
      <c r="W67" s="2">
        <f t="shared" si="8"/>
        <v>1</v>
      </c>
      <c r="X67" s="2">
        <f>(SUMIF(F:F,IF(H:H="福禄20两全",F:F,0),险种!R:R)-SUMIFS(R:R,F:F,F:F,M:M,"&lt;=1"))*_xlfn.IFS(G:G=4126,1,OR(G:G&gt;4126,G:G&lt;4126),0)</f>
        <v>3300</v>
      </c>
      <c r="Y67" s="2">
        <f t="shared" ref="Y67:Y130" si="10">IF(AND(W:W=1,V:V&lt;=20210510),1,0)</f>
        <v>1</v>
      </c>
      <c r="Z67" s="2">
        <f t="shared" ref="Z67:Z130" si="11">IF(AND(W:W=1,V:V&lt;=20210520,V:V&gt;20210510),1,0)</f>
        <v>0</v>
      </c>
      <c r="AA67" s="2">
        <f t="shared" si="7"/>
        <v>3</v>
      </c>
    </row>
    <row r="68" spans="1:27">
      <c r="A68" t="s">
        <v>42</v>
      </c>
      <c r="B68" t="s">
        <v>43</v>
      </c>
      <c r="C68" t="s">
        <v>70</v>
      </c>
      <c r="D68" t="s">
        <v>71</v>
      </c>
      <c r="E68">
        <v>5689072702</v>
      </c>
      <c r="F68" s="125">
        <v>7945240567001</v>
      </c>
      <c r="G68">
        <v>4127</v>
      </c>
      <c r="H68" t="s">
        <v>31</v>
      </c>
      <c r="I68" t="s">
        <v>103</v>
      </c>
      <c r="J68" s="123">
        <v>44322.9282638889</v>
      </c>
      <c r="K68" s="123">
        <v>44322.9366319444</v>
      </c>
      <c r="L68" t="s">
        <v>55</v>
      </c>
      <c r="M68">
        <v>20</v>
      </c>
      <c r="N68" t="s">
        <v>56</v>
      </c>
      <c r="O68">
        <v>1003.2</v>
      </c>
      <c r="P68">
        <v>0</v>
      </c>
      <c r="Q68">
        <v>2564.143646219</v>
      </c>
      <c r="R68">
        <v>2508</v>
      </c>
      <c r="S68">
        <v>2508</v>
      </c>
      <c r="T68" s="123">
        <v>44322.9366087963</v>
      </c>
      <c r="U68" t="s">
        <v>57</v>
      </c>
      <c r="V68" s="2">
        <f t="shared" si="9"/>
        <v>20210506</v>
      </c>
      <c r="W68" s="2">
        <f t="shared" si="8"/>
        <v>0</v>
      </c>
      <c r="X68" s="2">
        <f>(SUMIF(F:F,IF(H:H="福禄20两全",F:F,0),险种!R:R)-SUMIFS(R:R,F:F,F:F,M:M,"&lt;=1"))*_xlfn.IFS(G:G=4126,1,OR(G:G&gt;4126,G:G&lt;4126),0)</f>
        <v>0</v>
      </c>
      <c r="Y68" s="2">
        <f t="shared" si="10"/>
        <v>0</v>
      </c>
      <c r="Z68" s="2">
        <f t="shared" si="11"/>
        <v>0</v>
      </c>
      <c r="AA68" s="2">
        <f t="shared" si="7"/>
        <v>0</v>
      </c>
    </row>
    <row r="69" spans="1:27">
      <c r="A69" t="s">
        <v>27</v>
      </c>
      <c r="B69" t="s">
        <v>58</v>
      </c>
      <c r="C69" t="s">
        <v>59</v>
      </c>
      <c r="D69" t="s">
        <v>60</v>
      </c>
      <c r="E69">
        <v>51137372</v>
      </c>
      <c r="F69" s="125">
        <v>7945202847001</v>
      </c>
      <c r="G69">
        <v>4127</v>
      </c>
      <c r="H69" t="s">
        <v>31</v>
      </c>
      <c r="I69" t="s">
        <v>32</v>
      </c>
      <c r="J69" s="123">
        <v>44322.8834259259</v>
      </c>
      <c r="K69" s="123">
        <v>44322.8835763889</v>
      </c>
      <c r="L69" t="s">
        <v>55</v>
      </c>
      <c r="M69">
        <v>20</v>
      </c>
      <c r="N69" t="s">
        <v>56</v>
      </c>
      <c r="O69">
        <v>1134</v>
      </c>
      <c r="P69">
        <v>0</v>
      </c>
      <c r="Q69">
        <v>2898.463811103</v>
      </c>
      <c r="R69">
        <v>2835</v>
      </c>
      <c r="S69">
        <v>2835</v>
      </c>
      <c r="T69" s="123">
        <v>44322.8835532407</v>
      </c>
      <c r="U69" t="s">
        <v>57</v>
      </c>
      <c r="V69" s="2">
        <f t="shared" si="9"/>
        <v>20210506</v>
      </c>
      <c r="W69" s="2">
        <f t="shared" si="8"/>
        <v>0</v>
      </c>
      <c r="X69" s="2">
        <f>(SUMIF(F:F,IF(H:H="福禄20两全",F:F,0),险种!R:R)-SUMIFS(R:R,F:F,F:F,M:M,"&lt;=1"))*_xlfn.IFS(G:G=4126,1,OR(G:G&gt;4126,G:G&lt;4126),0)</f>
        <v>0</v>
      </c>
      <c r="Y69" s="2">
        <f t="shared" si="10"/>
        <v>0</v>
      </c>
      <c r="Z69" s="2">
        <f t="shared" si="11"/>
        <v>0</v>
      </c>
      <c r="AA69" s="2">
        <f t="shared" si="7"/>
        <v>0</v>
      </c>
    </row>
    <row r="70" spans="1:27">
      <c r="A70" t="s">
        <v>27</v>
      </c>
      <c r="B70" t="s">
        <v>58</v>
      </c>
      <c r="C70" t="s">
        <v>59</v>
      </c>
      <c r="D70" t="s">
        <v>60</v>
      </c>
      <c r="E70">
        <v>51137372</v>
      </c>
      <c r="F70" s="125">
        <v>7945202847001</v>
      </c>
      <c r="G70">
        <v>4126</v>
      </c>
      <c r="H70" t="s">
        <v>31</v>
      </c>
      <c r="I70" t="s">
        <v>32</v>
      </c>
      <c r="J70" s="123">
        <v>44322.8834259259</v>
      </c>
      <c r="K70" s="123">
        <v>44322.8835763889</v>
      </c>
      <c r="L70" t="s">
        <v>55</v>
      </c>
      <c r="M70">
        <v>20</v>
      </c>
      <c r="N70" t="s">
        <v>56</v>
      </c>
      <c r="O70">
        <v>196</v>
      </c>
      <c r="P70">
        <v>350000</v>
      </c>
      <c r="Q70">
        <v>500.96905366</v>
      </c>
      <c r="R70">
        <v>490</v>
      </c>
      <c r="S70">
        <v>490</v>
      </c>
      <c r="T70" s="123">
        <v>44322.8835532407</v>
      </c>
      <c r="U70" t="s">
        <v>57</v>
      </c>
      <c r="V70" s="2">
        <f t="shared" si="9"/>
        <v>20210506</v>
      </c>
      <c r="W70" s="2">
        <f t="shared" si="8"/>
        <v>1</v>
      </c>
      <c r="X70" s="2">
        <f>(SUMIF(F:F,IF(H:H="福禄20两全",F:F,0),险种!R:R)-SUMIFS(R:R,F:F,F:F,M:M,"&lt;=1"))*_xlfn.IFS(G:G=4126,1,OR(G:G&gt;4126,G:G&lt;4126),0)</f>
        <v>3325</v>
      </c>
      <c r="Y70" s="2">
        <f t="shared" si="10"/>
        <v>1</v>
      </c>
      <c r="Z70" s="2">
        <f t="shared" si="11"/>
        <v>0</v>
      </c>
      <c r="AA70" s="2">
        <f t="shared" si="7"/>
        <v>3</v>
      </c>
    </row>
    <row r="71" spans="1:27">
      <c r="A71" t="s">
        <v>27</v>
      </c>
      <c r="B71" t="s">
        <v>58</v>
      </c>
      <c r="C71" t="s">
        <v>59</v>
      </c>
      <c r="D71" t="s">
        <v>60</v>
      </c>
      <c r="E71">
        <v>51137372</v>
      </c>
      <c r="F71" s="125">
        <v>7945202847001</v>
      </c>
      <c r="G71">
        <v>4123</v>
      </c>
      <c r="H71" t="s">
        <v>36</v>
      </c>
      <c r="I71" t="s">
        <v>32</v>
      </c>
      <c r="J71" s="1">
        <v>44322.8834259259</v>
      </c>
      <c r="K71" s="123">
        <v>44322.8835763889</v>
      </c>
      <c r="L71" t="s">
        <v>55</v>
      </c>
      <c r="M71">
        <v>1</v>
      </c>
      <c r="N71" t="s">
        <v>56</v>
      </c>
      <c r="O71">
        <v>174.7</v>
      </c>
      <c r="P71">
        <v>1040000</v>
      </c>
      <c r="Q71">
        <v>-133.476029886</v>
      </c>
      <c r="R71">
        <v>1747</v>
      </c>
      <c r="S71">
        <v>1747</v>
      </c>
      <c r="T71" s="123">
        <v>44322.8835532407</v>
      </c>
      <c r="U71" t="s">
        <v>57</v>
      </c>
      <c r="V71" s="2">
        <f t="shared" si="9"/>
        <v>20210506</v>
      </c>
      <c r="W71" s="2">
        <f>IF(AND(M:M&gt;1,R:R&gt;3000),1,0)-IF(AND(M:M&gt;1,R:R&gt;3000,G:G=4126),1,0)-IF(AND(M:M&gt;1,R:R&gt;3000,G:G=4127),1,0)+IF(X:X&gt;=3000,1,0)</f>
        <v>0</v>
      </c>
      <c r="X71" s="2">
        <f>(SUMIF(F:F,IF(H:H="福禄20两全",F:F,0),险种!R:R)-SUMIFS(R:R,F:F,F:F,M:M,"&lt;=1"))*_xlfn.IFS(G:G=4126,1,OR(G:G&gt;4126,G:G&lt;4126),0)</f>
        <v>0</v>
      </c>
      <c r="Y71" s="2">
        <f t="shared" si="10"/>
        <v>0</v>
      </c>
      <c r="Z71" s="2">
        <f t="shared" si="11"/>
        <v>0</v>
      </c>
      <c r="AA71" s="2">
        <f t="shared" si="7"/>
        <v>0</v>
      </c>
    </row>
    <row r="72" spans="1:27">
      <c r="A72" t="s">
        <v>27</v>
      </c>
      <c r="B72" t="s">
        <v>58</v>
      </c>
      <c r="C72" t="s">
        <v>59</v>
      </c>
      <c r="D72" t="s">
        <v>60</v>
      </c>
      <c r="E72">
        <v>51137372</v>
      </c>
      <c r="F72" s="125">
        <v>7945202847001</v>
      </c>
      <c r="G72">
        <v>4114</v>
      </c>
      <c r="H72" t="s">
        <v>35</v>
      </c>
      <c r="I72" t="s">
        <v>32</v>
      </c>
      <c r="J72" s="1">
        <v>44322.8834259259</v>
      </c>
      <c r="K72" s="123">
        <v>44322.8835763889</v>
      </c>
      <c r="L72" t="s">
        <v>55</v>
      </c>
      <c r="M72">
        <v>1</v>
      </c>
      <c r="N72" t="s">
        <v>56</v>
      </c>
      <c r="O72">
        <v>13</v>
      </c>
      <c r="P72">
        <v>100000</v>
      </c>
      <c r="Q72">
        <v>-3.576508599</v>
      </c>
      <c r="R72">
        <v>130</v>
      </c>
      <c r="S72">
        <v>130</v>
      </c>
      <c r="T72" s="123">
        <v>44322.8835532407</v>
      </c>
      <c r="U72" t="s">
        <v>57</v>
      </c>
      <c r="V72" s="2">
        <f t="shared" si="9"/>
        <v>20210506</v>
      </c>
      <c r="W72" s="2">
        <f>IF(AND(M:M&gt;1,R:R&gt;3000),1,0)-IF(AND(M:M&gt;1,R:R&gt;3000,G:G=4126),1,0)-IF(AND(M:M&gt;1,R:R&gt;3000,G:G=4127),1,0)+IF(X:X&gt;=3000,1,0)</f>
        <v>0</v>
      </c>
      <c r="X72" s="2">
        <f>(SUMIF(F:F,IF(H:H="福禄20两全",F:F,0),险种!R:R)-SUMIFS(R:R,F:F,F:F,M:M,"&lt;=1"))*_xlfn.IFS(G:G=4126,1,OR(G:G&gt;4126,G:G&lt;4126),0)</f>
        <v>0</v>
      </c>
      <c r="Y72" s="2">
        <f t="shared" si="10"/>
        <v>0</v>
      </c>
      <c r="Z72" s="2">
        <f t="shared" si="11"/>
        <v>0</v>
      </c>
      <c r="AA72" s="2">
        <f t="shared" si="7"/>
        <v>0</v>
      </c>
    </row>
    <row r="73" spans="1:27">
      <c r="A73" t="s">
        <v>27</v>
      </c>
      <c r="B73" t="s">
        <v>58</v>
      </c>
      <c r="C73" t="s">
        <v>59</v>
      </c>
      <c r="D73" t="s">
        <v>60</v>
      </c>
      <c r="E73">
        <v>51137372</v>
      </c>
      <c r="F73" s="125">
        <v>7945198858001</v>
      </c>
      <c r="G73">
        <v>4114</v>
      </c>
      <c r="H73" t="s">
        <v>35</v>
      </c>
      <c r="I73" t="s">
        <v>32</v>
      </c>
      <c r="J73" s="1">
        <v>44322.8782060185</v>
      </c>
      <c r="K73" s="123">
        <v>44322.8783449074</v>
      </c>
      <c r="L73" t="s">
        <v>55</v>
      </c>
      <c r="M73">
        <v>1</v>
      </c>
      <c r="N73" t="s">
        <v>56</v>
      </c>
      <c r="O73">
        <v>18</v>
      </c>
      <c r="P73">
        <v>100000</v>
      </c>
      <c r="Q73">
        <v>-4.952088138</v>
      </c>
      <c r="R73">
        <v>180</v>
      </c>
      <c r="S73">
        <v>180</v>
      </c>
      <c r="T73" s="123">
        <v>44322.8783333333</v>
      </c>
      <c r="U73" t="s">
        <v>57</v>
      </c>
      <c r="V73" s="2">
        <f t="shared" si="9"/>
        <v>20210506</v>
      </c>
      <c r="W73" s="2">
        <f>IF(AND(M:M&gt;1,R:R&gt;3000),1,0)-IF(AND(M:M&gt;1,R:R&gt;3000,G:G=4126),1,0)-IF(AND(M:M&gt;1,R:R&gt;3000,G:G=4127),1,0)+IF(X:X&gt;=3000,1,0)</f>
        <v>0</v>
      </c>
      <c r="X73" s="2">
        <f>(SUMIF(F:F,IF(H:H="福禄20两全",F:F,0),险种!R:R)-SUMIFS(R:R,F:F,F:F,M:M,"&lt;=1"))*_xlfn.IFS(G:G=4126,1,OR(G:G&gt;4126,G:G&lt;4126),0)</f>
        <v>0</v>
      </c>
      <c r="Y73" s="2">
        <f t="shared" si="10"/>
        <v>0</v>
      </c>
      <c r="Z73" s="2">
        <f t="shared" si="11"/>
        <v>0</v>
      </c>
      <c r="AA73" s="2">
        <f t="shared" si="7"/>
        <v>0</v>
      </c>
    </row>
    <row r="74" spans="1:27">
      <c r="A74" t="s">
        <v>27</v>
      </c>
      <c r="B74" t="s">
        <v>58</v>
      </c>
      <c r="C74" t="s">
        <v>59</v>
      </c>
      <c r="D74" t="s">
        <v>60</v>
      </c>
      <c r="E74">
        <v>51137372</v>
      </c>
      <c r="F74" s="125">
        <v>7945198858001</v>
      </c>
      <c r="G74">
        <v>4126</v>
      </c>
      <c r="H74" t="s">
        <v>31</v>
      </c>
      <c r="I74" t="s">
        <v>32</v>
      </c>
      <c r="J74" s="1">
        <v>44322.8782060185</v>
      </c>
      <c r="K74" s="123">
        <v>44322.8783449074</v>
      </c>
      <c r="L74" t="s">
        <v>55</v>
      </c>
      <c r="M74">
        <v>20</v>
      </c>
      <c r="N74" t="s">
        <v>56</v>
      </c>
      <c r="O74">
        <v>624</v>
      </c>
      <c r="P74">
        <v>200000</v>
      </c>
      <c r="Q74">
        <v>1594.921885623</v>
      </c>
      <c r="R74">
        <v>1560</v>
      </c>
      <c r="S74">
        <v>1560</v>
      </c>
      <c r="T74" s="123">
        <v>44322.8783333333</v>
      </c>
      <c r="U74" t="s">
        <v>57</v>
      </c>
      <c r="V74" s="2">
        <f t="shared" si="9"/>
        <v>20210506</v>
      </c>
      <c r="W74" s="2">
        <f>IF(AND(M:M&gt;1,R:R&gt;3000),1,0)-IF(AND(M:M&gt;1,R:R&gt;3000,G:G=4126),1,0)-IF(AND(M:M&gt;1,R:R&gt;3000,G:G=4127),1,0)+IF(X:X&gt;=3000,1,0)</f>
        <v>1</v>
      </c>
      <c r="X74" s="2">
        <f>(SUMIF(F:F,IF(H:H="福禄20两全",F:F,0),险种!R:R)-SUMIFS(R:R,F:F,F:F,M:M,"&lt;=1"))*_xlfn.IFS(G:G=4126,1,OR(G:G&gt;4126,G:G&lt;4126),0)</f>
        <v>4800</v>
      </c>
      <c r="Y74" s="2">
        <f t="shared" si="10"/>
        <v>1</v>
      </c>
      <c r="Z74" s="2">
        <f t="shared" si="11"/>
        <v>0</v>
      </c>
      <c r="AA74" s="2">
        <f t="shared" si="7"/>
        <v>4</v>
      </c>
    </row>
    <row r="75" spans="1:27">
      <c r="A75" t="s">
        <v>27</v>
      </c>
      <c r="B75" t="s">
        <v>58</v>
      </c>
      <c r="C75" t="s">
        <v>59</v>
      </c>
      <c r="D75" t="s">
        <v>60</v>
      </c>
      <c r="E75">
        <v>51137372</v>
      </c>
      <c r="F75" s="125">
        <v>7945198858001</v>
      </c>
      <c r="G75">
        <v>4127</v>
      </c>
      <c r="H75" t="s">
        <v>31</v>
      </c>
      <c r="I75" t="s">
        <v>32</v>
      </c>
      <c r="J75" s="1">
        <v>44322.8782060185</v>
      </c>
      <c r="K75" s="123">
        <v>44322.8783449074</v>
      </c>
      <c r="L75" t="s">
        <v>55</v>
      </c>
      <c r="M75">
        <v>20</v>
      </c>
      <c r="N75" t="s">
        <v>56</v>
      </c>
      <c r="O75">
        <v>1296</v>
      </c>
      <c r="P75">
        <v>0</v>
      </c>
      <c r="Q75">
        <v>3312.530069907</v>
      </c>
      <c r="R75">
        <v>3240</v>
      </c>
      <c r="S75">
        <v>3240</v>
      </c>
      <c r="T75" s="123">
        <v>44322.8783333333</v>
      </c>
      <c r="U75" t="s">
        <v>57</v>
      </c>
      <c r="V75" s="2">
        <f t="shared" si="9"/>
        <v>20210506</v>
      </c>
      <c r="W75" s="2">
        <f>IF(AND(M:M&gt;1,R:R&gt;3000),1,0)-IF(AND(M:M&gt;1,R:R&gt;3000,G:G=4126),1,0)-IF(AND(M:M&gt;1,R:R&gt;3000,G:G=4127),1,0)+IF(X:X&gt;=3000,1,0)</f>
        <v>0</v>
      </c>
      <c r="X75" s="2">
        <f>(SUMIF(F:F,IF(H:H="福禄20两全",F:F,0),险种!R:R)-SUMIFS(R:R,F:F,F:F,M:M,"&lt;=1"))*_xlfn.IFS(G:G=4126,1,OR(G:G&gt;4126,G:G&lt;4126),0)</f>
        <v>0</v>
      </c>
      <c r="Y75" s="2">
        <f t="shared" si="10"/>
        <v>0</v>
      </c>
      <c r="Z75" s="2">
        <f t="shared" si="11"/>
        <v>0</v>
      </c>
      <c r="AA75" s="2">
        <f t="shared" si="7"/>
        <v>0</v>
      </c>
    </row>
    <row r="76" spans="1:27">
      <c r="A76" t="s">
        <v>27</v>
      </c>
      <c r="B76" t="s">
        <v>58</v>
      </c>
      <c r="C76" t="s">
        <v>59</v>
      </c>
      <c r="D76" t="s">
        <v>60</v>
      </c>
      <c r="E76">
        <v>51137372</v>
      </c>
      <c r="F76" s="125">
        <v>7945198858001</v>
      </c>
      <c r="G76">
        <v>4123</v>
      </c>
      <c r="H76" t="s">
        <v>36</v>
      </c>
      <c r="I76" t="s">
        <v>32</v>
      </c>
      <c r="J76" s="1">
        <v>44322.8782060185</v>
      </c>
      <c r="K76" s="123">
        <v>44322.8783449074</v>
      </c>
      <c r="L76" t="s">
        <v>55</v>
      </c>
      <c r="M76">
        <v>1</v>
      </c>
      <c r="N76" t="s">
        <v>56</v>
      </c>
      <c r="O76">
        <v>63.4</v>
      </c>
      <c r="P76">
        <v>1040000</v>
      </c>
      <c r="Q76">
        <v>-48.439497585</v>
      </c>
      <c r="R76">
        <v>634</v>
      </c>
      <c r="S76">
        <v>634</v>
      </c>
      <c r="T76" s="123">
        <v>44322.8783333333</v>
      </c>
      <c r="U76" t="s">
        <v>57</v>
      </c>
      <c r="V76" s="2">
        <f t="shared" si="9"/>
        <v>20210506</v>
      </c>
      <c r="W76" s="2">
        <f>IF(AND(M:M&gt;1,R:R&gt;3000),1,0)-IF(AND(M:M&gt;1,R:R&gt;3000,G:G=4126),1,0)-IF(AND(M:M&gt;1,R:R&gt;3000,G:G=4127),1,0)+IF(X:X&gt;=3000,1,0)</f>
        <v>0</v>
      </c>
      <c r="X76" s="2">
        <f>(SUMIF(F:F,IF(H:H="福禄20两全",F:F,0),险种!R:R)-SUMIFS(R:R,F:F,F:F,M:M,"&lt;=1"))*_xlfn.IFS(G:G=4126,1,OR(G:G&gt;4126,G:G&lt;4126),0)</f>
        <v>0</v>
      </c>
      <c r="Y76" s="2">
        <f t="shared" si="10"/>
        <v>0</v>
      </c>
      <c r="Z76" s="2">
        <f t="shared" si="11"/>
        <v>0</v>
      </c>
      <c r="AA76" s="2">
        <f t="shared" si="7"/>
        <v>0</v>
      </c>
    </row>
    <row r="77" spans="1:27">
      <c r="A77" t="s">
        <v>42</v>
      </c>
      <c r="B77" t="s">
        <v>43</v>
      </c>
      <c r="C77" t="s">
        <v>44</v>
      </c>
      <c r="D77" t="s">
        <v>45</v>
      </c>
      <c r="E77">
        <v>51108342</v>
      </c>
      <c r="F77" s="125">
        <v>7945160603001</v>
      </c>
      <c r="G77">
        <v>4127</v>
      </c>
      <c r="H77" t="s">
        <v>31</v>
      </c>
      <c r="I77" t="s">
        <v>103</v>
      </c>
      <c r="J77" s="1">
        <v>44322.8312384259</v>
      </c>
      <c r="K77" s="123">
        <v>44322.8650462963</v>
      </c>
      <c r="L77" t="s">
        <v>55</v>
      </c>
      <c r="M77">
        <v>20</v>
      </c>
      <c r="N77" t="s">
        <v>56</v>
      </c>
      <c r="O77">
        <v>1020</v>
      </c>
      <c r="P77">
        <v>0</v>
      </c>
      <c r="Q77">
        <v>2607.083851479</v>
      </c>
      <c r="R77">
        <v>2550</v>
      </c>
      <c r="S77">
        <v>2550</v>
      </c>
      <c r="T77" s="123">
        <v>44322.8650231482</v>
      </c>
      <c r="U77" t="s">
        <v>57</v>
      </c>
      <c r="V77" s="2">
        <f t="shared" si="9"/>
        <v>20210506</v>
      </c>
      <c r="W77" s="2">
        <f>IF(AND(M:M&gt;1,R:R&gt;3000),1,0)-IF(AND(M:M&gt;1,R:R&gt;3000,G:G=4126),1,0)-IF(AND(M:M&gt;1,R:R&gt;3000,G:G=4127),1,0)+IF(X:X&gt;=3000,1,0)</f>
        <v>0</v>
      </c>
      <c r="X77" s="2">
        <f>(SUMIF(F:F,IF(H:H="福禄20两全",F:F,0),险种!R:R)-SUMIFS(R:R,F:F,F:F,M:M,"&lt;=1"))*_xlfn.IFS(G:G=4126,1,OR(G:G&gt;4126,G:G&lt;4126),0)</f>
        <v>0</v>
      </c>
      <c r="Y77" s="2">
        <f t="shared" si="10"/>
        <v>0</v>
      </c>
      <c r="Z77" s="2">
        <f t="shared" si="11"/>
        <v>0</v>
      </c>
      <c r="AA77" s="2">
        <f t="shared" si="7"/>
        <v>0</v>
      </c>
    </row>
    <row r="78" spans="1:27">
      <c r="A78" t="s">
        <v>42</v>
      </c>
      <c r="B78" t="s">
        <v>43</v>
      </c>
      <c r="C78" t="s">
        <v>44</v>
      </c>
      <c r="D78" t="s">
        <v>45</v>
      </c>
      <c r="E78">
        <v>51108342</v>
      </c>
      <c r="F78" s="125">
        <v>7945160603001</v>
      </c>
      <c r="G78">
        <v>4126</v>
      </c>
      <c r="H78" t="s">
        <v>31</v>
      </c>
      <c r="I78" t="s">
        <v>103</v>
      </c>
      <c r="J78" s="123">
        <v>44322.8312384259</v>
      </c>
      <c r="K78" s="123">
        <v>44322.8650462963</v>
      </c>
      <c r="L78" t="s">
        <v>55</v>
      </c>
      <c r="M78">
        <v>20</v>
      </c>
      <c r="N78" t="s">
        <v>56</v>
      </c>
      <c r="O78">
        <v>270</v>
      </c>
      <c r="P78">
        <v>250000</v>
      </c>
      <c r="Q78">
        <v>690.110431178</v>
      </c>
      <c r="R78">
        <v>675</v>
      </c>
      <c r="S78">
        <v>675</v>
      </c>
      <c r="T78" s="123">
        <v>44322.8650231482</v>
      </c>
      <c r="U78" t="s">
        <v>57</v>
      </c>
      <c r="V78" s="2">
        <f t="shared" si="9"/>
        <v>20210506</v>
      </c>
      <c r="W78" s="2">
        <f>IF(AND(M:M&gt;1,R:R&gt;3000),1,0)-IF(AND(M:M&gt;1,R:R&gt;3000,G:G=4126),1,0)-IF(AND(M:M&gt;1,R:R&gt;3000,G:G=4127),1,0)+IF(X:X&gt;=3000,1,0)</f>
        <v>1</v>
      </c>
      <c r="X78" s="2">
        <f>(SUMIF(F:F,IF(H:H="福禄20两全",F:F,0),险种!R:R)-SUMIFS(R:R,F:F,F:F,M:M,"&lt;=1"))*_xlfn.IFS(G:G=4126,1,OR(G:G&gt;4126,G:G&lt;4126),0)</f>
        <v>3225</v>
      </c>
      <c r="Y78" s="2">
        <f t="shared" si="10"/>
        <v>1</v>
      </c>
      <c r="Z78" s="2">
        <f t="shared" si="11"/>
        <v>0</v>
      </c>
      <c r="AA78" s="2">
        <f t="shared" si="7"/>
        <v>3</v>
      </c>
    </row>
    <row r="79" spans="1:27">
      <c r="A79" t="s">
        <v>42</v>
      </c>
      <c r="B79" t="s">
        <v>62</v>
      </c>
      <c r="C79" t="s">
        <v>86</v>
      </c>
      <c r="D79" t="s">
        <v>87</v>
      </c>
      <c r="E79">
        <v>214639732</v>
      </c>
      <c r="F79" s="125">
        <v>7945082672001</v>
      </c>
      <c r="G79">
        <v>4123</v>
      </c>
      <c r="H79" t="s">
        <v>36</v>
      </c>
      <c r="I79" t="s">
        <v>32</v>
      </c>
      <c r="J79" s="123">
        <v>44322.7894444444</v>
      </c>
      <c r="K79" s="123"/>
      <c r="L79" t="s">
        <v>41</v>
      </c>
      <c r="M79">
        <v>1</v>
      </c>
      <c r="N79" t="s">
        <v>41</v>
      </c>
      <c r="O79">
        <v>116.1</v>
      </c>
      <c r="P79">
        <v>520000</v>
      </c>
      <c r="Q79">
        <v>-88.703875538</v>
      </c>
      <c r="R79">
        <v>1161</v>
      </c>
      <c r="S79">
        <v>1161</v>
      </c>
      <c r="T79" s="123"/>
      <c r="V79" s="2">
        <f t="shared" si="9"/>
        <v>20210506</v>
      </c>
      <c r="W79" s="2">
        <f>IF(AND(M:M&gt;1,R:R&gt;3000),1,0)-IF(AND(M:M&gt;1,R:R&gt;3000,G:G=4126),1,0)-IF(AND(M:M&gt;1,R:R&gt;3000,G:G=4127),1,0)+IF(X:X&gt;=3000,1,0)</f>
        <v>0</v>
      </c>
      <c r="X79" s="2">
        <f>(SUMIF(F:F,IF(H:H="福禄20两全",F:F,0),险种!R:R)-SUMIFS(R:R,F:F,F:F,M:M,"&lt;=1"))*_xlfn.IFS(G:G=4126,1,OR(G:G&gt;4126,G:G&lt;4126),0)</f>
        <v>0</v>
      </c>
      <c r="Y79" s="2">
        <f t="shared" si="10"/>
        <v>0</v>
      </c>
      <c r="Z79" s="2">
        <f t="shared" si="11"/>
        <v>0</v>
      </c>
      <c r="AA79" s="2">
        <f t="shared" si="7"/>
        <v>0</v>
      </c>
    </row>
    <row r="80" spans="1:27">
      <c r="A80" t="s">
        <v>42</v>
      </c>
      <c r="B80" t="s">
        <v>62</v>
      </c>
      <c r="C80" t="s">
        <v>86</v>
      </c>
      <c r="D80" t="s">
        <v>87</v>
      </c>
      <c r="E80">
        <v>214639732</v>
      </c>
      <c r="F80" s="125">
        <v>7945082672001</v>
      </c>
      <c r="G80">
        <v>4118</v>
      </c>
      <c r="H80" t="s">
        <v>47</v>
      </c>
      <c r="I80" t="s">
        <v>32</v>
      </c>
      <c r="J80" s="123">
        <v>44322.7894444444</v>
      </c>
      <c r="K80" s="123"/>
      <c r="L80" t="s">
        <v>41</v>
      </c>
      <c r="M80">
        <v>20</v>
      </c>
      <c r="N80" t="s">
        <v>41</v>
      </c>
      <c r="O80">
        <v>1223.2</v>
      </c>
      <c r="P80">
        <v>110000</v>
      </c>
      <c r="Q80">
        <v>2301.841475949</v>
      </c>
      <c r="R80">
        <v>3058</v>
      </c>
      <c r="S80">
        <v>3058</v>
      </c>
      <c r="T80" s="123"/>
      <c r="V80" s="2">
        <f t="shared" ref="V80:V143" si="12">TEXT(J:J,"yyyymmdd")*1</f>
        <v>20210506</v>
      </c>
      <c r="W80" s="2">
        <f t="shared" ref="W80:W143" si="13">IF(AND(M:M&gt;1,R:R&gt;3000),1,0)-IF(AND(M:M&gt;1,R:R&gt;3000,G:G=4126),1,0)-IF(AND(M:M&gt;1,R:R&gt;3000,G:G=4127),1,0)+IF(X:X&gt;=3000,1,0)</f>
        <v>1</v>
      </c>
      <c r="X80" s="2">
        <f>(SUMIF(F:F,IF(H:H="福禄20两全",F:F,0),险种!R:R)-SUMIFS(R:R,F:F,F:F,M:M,"&lt;=1"))*_xlfn.IFS(G:G=4126,1,OR(G:G&gt;4126,G:G&lt;4126),0)</f>
        <v>0</v>
      </c>
      <c r="Y80" s="2">
        <f t="shared" si="10"/>
        <v>1</v>
      </c>
      <c r="Z80" s="2">
        <f t="shared" si="11"/>
        <v>0</v>
      </c>
      <c r="AA80" s="2">
        <f t="shared" si="7"/>
        <v>3</v>
      </c>
    </row>
    <row r="81" spans="1:27">
      <c r="A81" t="s">
        <v>42</v>
      </c>
      <c r="B81" t="s">
        <v>62</v>
      </c>
      <c r="C81" t="s">
        <v>86</v>
      </c>
      <c r="D81" t="s">
        <v>87</v>
      </c>
      <c r="E81">
        <v>214639732</v>
      </c>
      <c r="F81" s="125">
        <v>7945082672001</v>
      </c>
      <c r="G81">
        <v>4114</v>
      </c>
      <c r="H81" t="s">
        <v>35</v>
      </c>
      <c r="I81" t="s">
        <v>32</v>
      </c>
      <c r="J81" s="123">
        <v>44322.7894444444</v>
      </c>
      <c r="K81" s="123"/>
      <c r="L81" t="s">
        <v>41</v>
      </c>
      <c r="M81">
        <v>1</v>
      </c>
      <c r="N81" t="s">
        <v>41</v>
      </c>
      <c r="O81">
        <v>18</v>
      </c>
      <c r="P81">
        <v>100000</v>
      </c>
      <c r="Q81">
        <v>-4.952088138</v>
      </c>
      <c r="R81">
        <v>180</v>
      </c>
      <c r="S81">
        <v>180</v>
      </c>
      <c r="T81" s="123"/>
      <c r="V81" s="2">
        <f t="shared" si="12"/>
        <v>20210506</v>
      </c>
      <c r="W81" s="2">
        <f t="shared" si="13"/>
        <v>0</v>
      </c>
      <c r="X81" s="2">
        <f>(SUMIF(F:F,IF(H:H="福禄20两全",F:F,0),险种!R:R)-SUMIFS(R:R,F:F,F:F,M:M,"&lt;=1"))*_xlfn.IFS(G:G=4126,1,OR(G:G&gt;4126,G:G&lt;4126),0)</f>
        <v>0</v>
      </c>
      <c r="Y81" s="2">
        <f t="shared" si="10"/>
        <v>0</v>
      </c>
      <c r="Z81" s="2">
        <f t="shared" si="11"/>
        <v>0</v>
      </c>
      <c r="AA81" s="2">
        <f t="shared" si="7"/>
        <v>0</v>
      </c>
    </row>
    <row r="82" spans="1:27">
      <c r="A82" t="s">
        <v>27</v>
      </c>
      <c r="B82" t="s">
        <v>52</v>
      </c>
      <c r="C82" t="s">
        <v>53</v>
      </c>
      <c r="D82" t="s">
        <v>54</v>
      </c>
      <c r="E82">
        <v>531925062</v>
      </c>
      <c r="F82" s="125">
        <v>6156571989001</v>
      </c>
      <c r="G82">
        <v>4122</v>
      </c>
      <c r="H82" t="s">
        <v>61</v>
      </c>
      <c r="I82" t="s">
        <v>32</v>
      </c>
      <c r="J82" s="123">
        <v>44322.7434143519</v>
      </c>
      <c r="K82" s="123"/>
      <c r="L82" t="s">
        <v>41</v>
      </c>
      <c r="M82">
        <v>1</v>
      </c>
      <c r="N82" t="s">
        <v>41</v>
      </c>
      <c r="O82">
        <v>65.6</v>
      </c>
      <c r="P82">
        <v>4054000</v>
      </c>
      <c r="Q82">
        <v>28.688353275</v>
      </c>
      <c r="R82">
        <v>328</v>
      </c>
      <c r="S82">
        <v>328</v>
      </c>
      <c r="T82" s="123"/>
      <c r="V82" s="2">
        <f t="shared" si="12"/>
        <v>20210506</v>
      </c>
      <c r="W82" s="2">
        <f t="shared" si="13"/>
        <v>0</v>
      </c>
      <c r="X82" s="2">
        <f>(SUMIF(F:F,IF(H:H="福禄20两全",F:F,0),险种!R:R)-SUMIFS(R:R,F:F,F:F,M:M,"&lt;=1"))*_xlfn.IFS(G:G=4126,1,OR(G:G&gt;4126,G:G&lt;4126),0)</f>
        <v>0</v>
      </c>
      <c r="Y82" s="2">
        <f t="shared" si="10"/>
        <v>0</v>
      </c>
      <c r="Z82" s="2">
        <f t="shared" si="11"/>
        <v>0</v>
      </c>
      <c r="AA82" s="2">
        <f t="shared" si="7"/>
        <v>0</v>
      </c>
    </row>
    <row r="83" spans="1:27">
      <c r="A83" t="s">
        <v>48</v>
      </c>
      <c r="B83" t="s">
        <v>49</v>
      </c>
      <c r="C83" t="s">
        <v>50</v>
      </c>
      <c r="D83" t="s">
        <v>91</v>
      </c>
      <c r="E83">
        <v>157576102</v>
      </c>
      <c r="F83" s="125">
        <v>6156132152001</v>
      </c>
      <c r="G83">
        <v>4124</v>
      </c>
      <c r="H83" t="s">
        <v>40</v>
      </c>
      <c r="I83" t="s">
        <v>32</v>
      </c>
      <c r="J83" s="123">
        <v>44322.6896064815</v>
      </c>
      <c r="K83" s="123"/>
      <c r="L83" t="s">
        <v>41</v>
      </c>
      <c r="M83">
        <v>1</v>
      </c>
      <c r="N83" t="s">
        <v>41</v>
      </c>
      <c r="O83">
        <v>117</v>
      </c>
      <c r="P83">
        <v>0</v>
      </c>
      <c r="Q83">
        <v>18.884695605</v>
      </c>
      <c r="R83">
        <v>1170</v>
      </c>
      <c r="S83">
        <v>1170</v>
      </c>
      <c r="T83" s="123">
        <v>44322.6951041667</v>
      </c>
      <c r="V83" s="2">
        <f t="shared" si="12"/>
        <v>20210506</v>
      </c>
      <c r="W83" s="2">
        <f t="shared" si="13"/>
        <v>0</v>
      </c>
      <c r="X83" s="2">
        <f>(SUMIF(F:F,IF(H:H="福禄20两全",F:F,0),险种!R:R)-SUMIFS(R:R,F:F,F:F,M:M,"&lt;=1"))*_xlfn.IFS(G:G=4126,1,OR(G:G&gt;4126,G:G&lt;4126),0)</f>
        <v>0</v>
      </c>
      <c r="Y83" s="2">
        <f t="shared" si="10"/>
        <v>0</v>
      </c>
      <c r="Z83" s="2">
        <f t="shared" si="11"/>
        <v>0</v>
      </c>
      <c r="AA83" s="2">
        <f t="shared" si="7"/>
        <v>0</v>
      </c>
    </row>
    <row r="84" spans="1:27">
      <c r="A84" t="s">
        <v>48</v>
      </c>
      <c r="B84" t="s">
        <v>49</v>
      </c>
      <c r="C84" t="s">
        <v>50</v>
      </c>
      <c r="D84" t="s">
        <v>91</v>
      </c>
      <c r="E84">
        <v>157576102</v>
      </c>
      <c r="F84" s="125">
        <v>6155944408001</v>
      </c>
      <c r="G84">
        <v>4122</v>
      </c>
      <c r="H84" t="s">
        <v>61</v>
      </c>
      <c r="I84" t="s">
        <v>32</v>
      </c>
      <c r="J84" s="1">
        <v>44322.6688888889</v>
      </c>
      <c r="K84" s="123"/>
      <c r="L84" t="s">
        <v>41</v>
      </c>
      <c r="M84">
        <v>1</v>
      </c>
      <c r="N84" t="s">
        <v>41</v>
      </c>
      <c r="O84">
        <v>88.8</v>
      </c>
      <c r="P84">
        <v>4054000</v>
      </c>
      <c r="Q84">
        <v>38.83423353</v>
      </c>
      <c r="R84">
        <v>444</v>
      </c>
      <c r="S84">
        <v>444</v>
      </c>
      <c r="T84" s="123"/>
      <c r="V84" s="2">
        <f t="shared" si="12"/>
        <v>20210506</v>
      </c>
      <c r="W84" s="2">
        <f t="shared" si="13"/>
        <v>0</v>
      </c>
      <c r="X84" s="2">
        <f>(SUMIF(F:F,IF(H:H="福禄20两全",F:F,0),险种!R:R)-SUMIFS(R:R,F:F,F:F,M:M,"&lt;=1"))*_xlfn.IFS(G:G=4126,1,OR(G:G&gt;4126,G:G&lt;4126),0)</f>
        <v>0</v>
      </c>
      <c r="Y84" s="2">
        <f t="shared" si="10"/>
        <v>0</v>
      </c>
      <c r="Z84" s="2">
        <f t="shared" si="11"/>
        <v>0</v>
      </c>
      <c r="AA84" s="2">
        <f t="shared" si="7"/>
        <v>0</v>
      </c>
    </row>
    <row r="85" spans="1:27">
      <c r="A85" t="s">
        <v>48</v>
      </c>
      <c r="B85" t="s">
        <v>49</v>
      </c>
      <c r="C85" t="s">
        <v>50</v>
      </c>
      <c r="D85" t="s">
        <v>91</v>
      </c>
      <c r="E85">
        <v>157576102</v>
      </c>
      <c r="F85" s="125">
        <v>6155945157001</v>
      </c>
      <c r="G85">
        <v>4123</v>
      </c>
      <c r="H85" t="s">
        <v>36</v>
      </c>
      <c r="I85" t="s">
        <v>32</v>
      </c>
      <c r="J85" s="1">
        <v>44322.6684606482</v>
      </c>
      <c r="K85" s="123"/>
      <c r="L85" t="s">
        <v>41</v>
      </c>
      <c r="M85">
        <v>1</v>
      </c>
      <c r="N85" t="s">
        <v>41</v>
      </c>
      <c r="O85">
        <v>119.5</v>
      </c>
      <c r="P85">
        <v>520000</v>
      </c>
      <c r="Q85">
        <v>-91.301577664</v>
      </c>
      <c r="R85">
        <v>1195</v>
      </c>
      <c r="S85">
        <v>1195</v>
      </c>
      <c r="T85" s="123">
        <v>44323.4233101852</v>
      </c>
      <c r="V85" s="2">
        <f t="shared" si="12"/>
        <v>20210506</v>
      </c>
      <c r="W85" s="2">
        <f t="shared" si="13"/>
        <v>0</v>
      </c>
      <c r="X85" s="2">
        <f>(SUMIF(F:F,IF(H:H="福禄20两全",F:F,0),险种!R:R)-SUMIFS(R:R,F:F,F:F,M:M,"&lt;=1"))*_xlfn.IFS(G:G=4126,1,OR(G:G&gt;4126,G:G&lt;4126),0)</f>
        <v>0</v>
      </c>
      <c r="Y85" s="2">
        <f t="shared" si="10"/>
        <v>0</v>
      </c>
      <c r="Z85" s="2">
        <f t="shared" si="11"/>
        <v>0</v>
      </c>
      <c r="AA85" s="2">
        <f t="shared" si="7"/>
        <v>0</v>
      </c>
    </row>
    <row r="86" spans="1:27">
      <c r="A86" t="s">
        <v>48</v>
      </c>
      <c r="B86" t="s">
        <v>49</v>
      </c>
      <c r="C86" t="s">
        <v>50</v>
      </c>
      <c r="D86" t="s">
        <v>91</v>
      </c>
      <c r="E86">
        <v>157576102</v>
      </c>
      <c r="F86" s="125">
        <v>6155875214001</v>
      </c>
      <c r="G86">
        <v>4138</v>
      </c>
      <c r="H86" t="s">
        <v>88</v>
      </c>
      <c r="I86" t="s">
        <v>32</v>
      </c>
      <c r="J86" s="1">
        <v>44322.6611689815</v>
      </c>
      <c r="K86" s="123"/>
      <c r="L86" t="s">
        <v>41</v>
      </c>
      <c r="M86">
        <v>1</v>
      </c>
      <c r="N86" t="s">
        <v>41</v>
      </c>
      <c r="P86">
        <v>600000</v>
      </c>
      <c r="Q86">
        <v>-452.234042133</v>
      </c>
      <c r="R86">
        <v>2004</v>
      </c>
      <c r="S86">
        <v>2004</v>
      </c>
      <c r="T86" s="123"/>
      <c r="V86" s="2">
        <f t="shared" si="12"/>
        <v>20210506</v>
      </c>
      <c r="W86" s="2">
        <f t="shared" si="13"/>
        <v>0</v>
      </c>
      <c r="X86" s="2">
        <f>(SUMIF(F:F,IF(H:H="福禄20两全",F:F,0),险种!R:R)-SUMIFS(R:R,F:F,F:F,M:M,"&lt;=1"))*_xlfn.IFS(G:G=4126,1,OR(G:G&gt;4126,G:G&lt;4126),0)</f>
        <v>0</v>
      </c>
      <c r="Y86" s="2">
        <f t="shared" si="10"/>
        <v>0</v>
      </c>
      <c r="Z86" s="2">
        <f t="shared" si="11"/>
        <v>0</v>
      </c>
      <c r="AA86" s="2">
        <f t="shared" si="7"/>
        <v>0</v>
      </c>
    </row>
    <row r="87" spans="1:27">
      <c r="A87" t="s">
        <v>27</v>
      </c>
      <c r="B87" t="s">
        <v>52</v>
      </c>
      <c r="C87" t="s">
        <v>53</v>
      </c>
      <c r="D87" t="s">
        <v>54</v>
      </c>
      <c r="E87">
        <v>531925062</v>
      </c>
      <c r="F87" s="125">
        <v>6155314550001</v>
      </c>
      <c r="G87">
        <v>4124</v>
      </c>
      <c r="H87" t="s">
        <v>40</v>
      </c>
      <c r="I87" t="s">
        <v>32</v>
      </c>
      <c r="J87" s="1">
        <v>44322.6223032407</v>
      </c>
      <c r="K87" s="123"/>
      <c r="L87" t="s">
        <v>41</v>
      </c>
      <c r="M87">
        <v>1</v>
      </c>
      <c r="N87" t="s">
        <v>41</v>
      </c>
      <c r="O87">
        <v>117</v>
      </c>
      <c r="P87">
        <v>0</v>
      </c>
      <c r="Q87">
        <v>18.884695605</v>
      </c>
      <c r="R87">
        <v>1170</v>
      </c>
      <c r="S87">
        <v>1170</v>
      </c>
      <c r="T87" s="123"/>
      <c r="V87" s="2">
        <f t="shared" si="12"/>
        <v>20210506</v>
      </c>
      <c r="W87" s="2">
        <f t="shared" si="13"/>
        <v>0</v>
      </c>
      <c r="X87" s="2">
        <f>(SUMIF(F:F,IF(H:H="福禄20两全",F:F,0),险种!R:R)-SUMIFS(R:R,F:F,F:F,M:M,"&lt;=1"))*_xlfn.IFS(G:G=4126,1,OR(G:G&gt;4126,G:G&lt;4126),0)</f>
        <v>0</v>
      </c>
      <c r="Y87" s="2">
        <f t="shared" si="10"/>
        <v>0</v>
      </c>
      <c r="Z87" s="2">
        <f t="shared" si="11"/>
        <v>0</v>
      </c>
      <c r="AA87" s="2">
        <f t="shared" si="7"/>
        <v>0</v>
      </c>
    </row>
    <row r="88" spans="1:27">
      <c r="A88" t="s">
        <v>48</v>
      </c>
      <c r="B88" t="s">
        <v>49</v>
      </c>
      <c r="C88" t="s">
        <v>98</v>
      </c>
      <c r="D88" t="s">
        <v>104</v>
      </c>
      <c r="E88">
        <v>5449941392</v>
      </c>
      <c r="F88" s="125">
        <v>7939863109001</v>
      </c>
      <c r="G88">
        <v>4115</v>
      </c>
      <c r="H88" t="s">
        <v>65</v>
      </c>
      <c r="I88" t="s">
        <v>32</v>
      </c>
      <c r="J88" s="1">
        <v>44322.6202777778</v>
      </c>
      <c r="K88" s="123">
        <v>44322.892662037</v>
      </c>
      <c r="L88" t="s">
        <v>55</v>
      </c>
      <c r="M88">
        <v>20</v>
      </c>
      <c r="N88" t="s">
        <v>56</v>
      </c>
      <c r="O88">
        <v>1500</v>
      </c>
      <c r="P88">
        <v>972.5</v>
      </c>
      <c r="Q88">
        <v>5584.325642359</v>
      </c>
      <c r="R88">
        <v>6000</v>
      </c>
      <c r="S88">
        <v>6000</v>
      </c>
      <c r="T88" s="123">
        <v>44322.892650463</v>
      </c>
      <c r="U88" t="s">
        <v>57</v>
      </c>
      <c r="V88" s="2">
        <f t="shared" si="12"/>
        <v>20210506</v>
      </c>
      <c r="W88" s="2">
        <f t="shared" si="13"/>
        <v>1</v>
      </c>
      <c r="X88" s="2">
        <f>(SUMIF(F:F,IF(H:H="福禄20两全",F:F,0),险种!R:R)-SUMIFS(R:R,F:F,F:F,M:M,"&lt;=1"))*_xlfn.IFS(G:G=4126,1,OR(G:G&gt;4126,G:G&lt;4126),0)</f>
        <v>0</v>
      </c>
      <c r="Y88" s="2">
        <f t="shared" si="10"/>
        <v>1</v>
      </c>
      <c r="Z88" s="2">
        <f t="shared" si="11"/>
        <v>0</v>
      </c>
      <c r="AA88" s="2">
        <f t="shared" si="7"/>
        <v>6</v>
      </c>
    </row>
    <row r="89" spans="1:27">
      <c r="A89" t="s">
        <v>48</v>
      </c>
      <c r="B89" t="s">
        <v>49</v>
      </c>
      <c r="C89" t="s">
        <v>98</v>
      </c>
      <c r="D89" t="s">
        <v>104</v>
      </c>
      <c r="E89">
        <v>5449941392</v>
      </c>
      <c r="F89" s="125">
        <v>7939863109001</v>
      </c>
      <c r="G89">
        <v>1267</v>
      </c>
      <c r="H89" t="s">
        <v>105</v>
      </c>
      <c r="I89" t="s">
        <v>32</v>
      </c>
      <c r="J89" s="1">
        <v>44322.6202777778</v>
      </c>
      <c r="K89" s="123">
        <v>44322.892662037</v>
      </c>
      <c r="L89" t="s">
        <v>55</v>
      </c>
      <c r="M89">
        <v>0</v>
      </c>
      <c r="N89" t="s">
        <v>56</v>
      </c>
      <c r="O89">
        <v>0</v>
      </c>
      <c r="P89">
        <v>0</v>
      </c>
      <c r="Q89">
        <v>-0.220642832</v>
      </c>
      <c r="R89">
        <v>0</v>
      </c>
      <c r="S89">
        <v>10</v>
      </c>
      <c r="T89" s="123">
        <v>44322.892650463</v>
      </c>
      <c r="U89" t="s">
        <v>57</v>
      </c>
      <c r="V89" s="2">
        <f t="shared" si="12"/>
        <v>20210506</v>
      </c>
      <c r="W89" s="2">
        <f t="shared" si="13"/>
        <v>0</v>
      </c>
      <c r="X89" s="2">
        <f>(SUMIF(F:F,IF(H:H="福禄20两全",F:F,0),险种!R:R)-SUMIFS(R:R,F:F,F:F,M:M,"&lt;=1"))*_xlfn.IFS(G:G=4126,1,OR(G:G&gt;4126,G:G&lt;4126),0)</f>
        <v>0</v>
      </c>
      <c r="Y89" s="2">
        <f t="shared" si="10"/>
        <v>0</v>
      </c>
      <c r="Z89" s="2">
        <f t="shared" si="11"/>
        <v>0</v>
      </c>
      <c r="AA89" s="2">
        <f t="shared" si="7"/>
        <v>0</v>
      </c>
    </row>
    <row r="90" spans="1:27">
      <c r="A90" t="s">
        <v>27</v>
      </c>
      <c r="B90" t="s">
        <v>52</v>
      </c>
      <c r="C90" t="s">
        <v>53</v>
      </c>
      <c r="D90" t="s">
        <v>54</v>
      </c>
      <c r="E90">
        <v>531925062</v>
      </c>
      <c r="F90" s="125">
        <v>6155355938001</v>
      </c>
      <c r="G90">
        <v>4124</v>
      </c>
      <c r="H90" t="s">
        <v>40</v>
      </c>
      <c r="I90" t="s">
        <v>32</v>
      </c>
      <c r="J90" s="1">
        <v>44322.6013078704</v>
      </c>
      <c r="K90" s="123"/>
      <c r="L90" t="s">
        <v>41</v>
      </c>
      <c r="M90">
        <v>1</v>
      </c>
      <c r="N90" t="s">
        <v>41</v>
      </c>
      <c r="O90">
        <v>117</v>
      </c>
      <c r="P90">
        <v>0</v>
      </c>
      <c r="Q90">
        <v>18.884695605</v>
      </c>
      <c r="R90">
        <v>1170</v>
      </c>
      <c r="S90">
        <v>1170</v>
      </c>
      <c r="T90" s="123"/>
      <c r="V90" s="2">
        <f t="shared" si="12"/>
        <v>20210506</v>
      </c>
      <c r="W90" s="2">
        <f t="shared" si="13"/>
        <v>0</v>
      </c>
      <c r="X90" s="2">
        <f>(SUMIF(F:F,IF(H:H="福禄20两全",F:F,0),险种!R:R)-SUMIFS(R:R,F:F,F:F,M:M,"&lt;=1"))*_xlfn.IFS(G:G=4126,1,OR(G:G&gt;4126,G:G&lt;4126),0)</f>
        <v>0</v>
      </c>
      <c r="Y90" s="2">
        <f t="shared" si="10"/>
        <v>0</v>
      </c>
      <c r="Z90" s="2">
        <f t="shared" si="11"/>
        <v>0</v>
      </c>
      <c r="AA90" s="2">
        <f t="shared" si="7"/>
        <v>0</v>
      </c>
    </row>
    <row r="91" spans="1:27">
      <c r="A91" t="s">
        <v>27</v>
      </c>
      <c r="B91" t="s">
        <v>52</v>
      </c>
      <c r="C91" t="s">
        <v>53</v>
      </c>
      <c r="D91" t="s">
        <v>54</v>
      </c>
      <c r="E91">
        <v>531925062</v>
      </c>
      <c r="F91" s="125">
        <v>6155355938001</v>
      </c>
      <c r="G91">
        <v>4128</v>
      </c>
      <c r="H91" t="s">
        <v>46</v>
      </c>
      <c r="I91" t="s">
        <v>32</v>
      </c>
      <c r="J91" s="1">
        <v>44322.6013078704</v>
      </c>
      <c r="K91" s="123"/>
      <c r="L91" t="s">
        <v>41</v>
      </c>
      <c r="M91">
        <v>1</v>
      </c>
      <c r="N91" t="s">
        <v>41</v>
      </c>
      <c r="O91">
        <v>7.61</v>
      </c>
      <c r="P91">
        <v>2000000</v>
      </c>
      <c r="Q91">
        <v>2.638254983</v>
      </c>
      <c r="R91">
        <v>76.1</v>
      </c>
      <c r="S91">
        <v>76.1</v>
      </c>
      <c r="T91" s="123"/>
      <c r="V91" s="2">
        <f t="shared" si="12"/>
        <v>20210506</v>
      </c>
      <c r="W91" s="2">
        <f t="shared" si="13"/>
        <v>0</v>
      </c>
      <c r="X91" s="2">
        <f>(SUMIF(F:F,IF(H:H="福禄20两全",F:F,0),险种!R:R)-SUMIFS(R:R,F:F,F:F,M:M,"&lt;=1"))*_xlfn.IFS(G:G=4126,1,OR(G:G&gt;4126,G:G&lt;4126),0)</f>
        <v>0</v>
      </c>
      <c r="Y91" s="2">
        <f t="shared" si="10"/>
        <v>0</v>
      </c>
      <c r="Z91" s="2">
        <f t="shared" si="11"/>
        <v>0</v>
      </c>
      <c r="AA91" s="2">
        <f t="shared" si="7"/>
        <v>0</v>
      </c>
    </row>
    <row r="92" spans="1:27">
      <c r="A92" t="s">
        <v>27</v>
      </c>
      <c r="B92" t="s">
        <v>52</v>
      </c>
      <c r="C92" t="s">
        <v>53</v>
      </c>
      <c r="D92" t="s">
        <v>54</v>
      </c>
      <c r="E92">
        <v>531925062</v>
      </c>
      <c r="F92" s="125">
        <v>6155355938001</v>
      </c>
      <c r="G92">
        <v>4122</v>
      </c>
      <c r="H92" t="s">
        <v>61</v>
      </c>
      <c r="I92" t="s">
        <v>32</v>
      </c>
      <c r="J92" s="1">
        <v>44322.6013078704</v>
      </c>
      <c r="K92" s="123"/>
      <c r="L92" t="s">
        <v>41</v>
      </c>
      <c r="M92">
        <v>1</v>
      </c>
      <c r="N92" t="s">
        <v>41</v>
      </c>
      <c r="O92">
        <v>172.4</v>
      </c>
      <c r="P92">
        <v>4054000</v>
      </c>
      <c r="Q92">
        <v>75.39439152</v>
      </c>
      <c r="R92">
        <v>862</v>
      </c>
      <c r="S92">
        <v>862</v>
      </c>
      <c r="T92" s="123"/>
      <c r="V92" s="2">
        <f t="shared" si="12"/>
        <v>20210506</v>
      </c>
      <c r="W92" s="2">
        <f t="shared" si="13"/>
        <v>0</v>
      </c>
      <c r="X92" s="2">
        <f>(SUMIF(F:F,IF(H:H="福禄20两全",F:F,0),险种!R:R)-SUMIFS(R:R,F:F,F:F,M:M,"&lt;=1"))*_xlfn.IFS(G:G=4126,1,OR(G:G&gt;4126,G:G&lt;4126),0)</f>
        <v>0</v>
      </c>
      <c r="Y92" s="2">
        <f t="shared" si="10"/>
        <v>0</v>
      </c>
      <c r="Z92" s="2">
        <f t="shared" si="11"/>
        <v>0</v>
      </c>
      <c r="AA92" s="2">
        <f t="shared" si="7"/>
        <v>0</v>
      </c>
    </row>
    <row r="93" spans="1:27">
      <c r="A93" t="s">
        <v>27</v>
      </c>
      <c r="B93" t="s">
        <v>52</v>
      </c>
      <c r="C93" t="s">
        <v>53</v>
      </c>
      <c r="D93" t="s">
        <v>54</v>
      </c>
      <c r="E93">
        <v>531925062</v>
      </c>
      <c r="F93" s="125">
        <v>6154452651001</v>
      </c>
      <c r="G93">
        <v>4122</v>
      </c>
      <c r="H93" t="s">
        <v>61</v>
      </c>
      <c r="I93" t="s">
        <v>32</v>
      </c>
      <c r="J93" s="1">
        <v>44322.4804976852</v>
      </c>
      <c r="K93" s="123"/>
      <c r="L93" t="s">
        <v>41</v>
      </c>
      <c r="M93">
        <v>1</v>
      </c>
      <c r="N93" t="s">
        <v>41</v>
      </c>
      <c r="O93">
        <v>65.6</v>
      </c>
      <c r="P93">
        <v>4054000</v>
      </c>
      <c r="Q93">
        <v>28.688353275</v>
      </c>
      <c r="R93">
        <v>328</v>
      </c>
      <c r="S93">
        <v>328</v>
      </c>
      <c r="T93" s="123">
        <v>44322.4808564815</v>
      </c>
      <c r="V93" s="2">
        <f t="shared" si="12"/>
        <v>20210506</v>
      </c>
      <c r="W93" s="2">
        <f t="shared" si="13"/>
        <v>0</v>
      </c>
      <c r="X93" s="2">
        <f>(SUMIF(F:F,IF(H:H="福禄20两全",F:F,0),险种!R:R)-SUMIFS(R:R,F:F,F:F,M:M,"&lt;=1"))*_xlfn.IFS(G:G=4126,1,OR(G:G&gt;4126,G:G&lt;4126),0)</f>
        <v>0</v>
      </c>
      <c r="Y93" s="2">
        <f t="shared" si="10"/>
        <v>0</v>
      </c>
      <c r="Z93" s="2">
        <f t="shared" si="11"/>
        <v>0</v>
      </c>
      <c r="AA93" s="2">
        <f t="shared" si="7"/>
        <v>0</v>
      </c>
    </row>
    <row r="94" spans="1:27">
      <c r="A94" t="s">
        <v>27</v>
      </c>
      <c r="B94" t="s">
        <v>52</v>
      </c>
      <c r="C94" t="s">
        <v>53</v>
      </c>
      <c r="D94" t="s">
        <v>54</v>
      </c>
      <c r="E94">
        <v>531925062</v>
      </c>
      <c r="F94" s="125">
        <v>6154394344001</v>
      </c>
      <c r="G94">
        <v>4122</v>
      </c>
      <c r="H94" t="s">
        <v>61</v>
      </c>
      <c r="I94" t="s">
        <v>32</v>
      </c>
      <c r="J94" s="1">
        <v>44322.4738425926</v>
      </c>
      <c r="K94" s="123"/>
      <c r="L94" t="s">
        <v>41</v>
      </c>
      <c r="M94">
        <v>1</v>
      </c>
      <c r="N94" t="s">
        <v>41</v>
      </c>
      <c r="O94">
        <v>65.6</v>
      </c>
      <c r="P94">
        <v>4054000</v>
      </c>
      <c r="Q94">
        <v>28.688353275</v>
      </c>
      <c r="R94">
        <v>328</v>
      </c>
      <c r="S94">
        <v>328</v>
      </c>
      <c r="T94" s="123">
        <v>44322.4742361111</v>
      </c>
      <c r="V94" s="2">
        <f t="shared" si="12"/>
        <v>20210506</v>
      </c>
      <c r="W94" s="2">
        <f t="shared" si="13"/>
        <v>0</v>
      </c>
      <c r="X94" s="2">
        <f>(SUMIF(F:F,IF(H:H="福禄20两全",F:F,0),险种!R:R)-SUMIFS(R:R,F:F,F:F,M:M,"&lt;=1"))*_xlfn.IFS(G:G=4126,1,OR(G:G&gt;4126,G:G&lt;4126),0)</f>
        <v>0</v>
      </c>
      <c r="Y94" s="2">
        <f t="shared" si="10"/>
        <v>0</v>
      </c>
      <c r="Z94" s="2">
        <f t="shared" si="11"/>
        <v>0</v>
      </c>
      <c r="AA94" s="2">
        <f t="shared" si="7"/>
        <v>0</v>
      </c>
    </row>
    <row r="95" spans="1:27">
      <c r="A95" t="s">
        <v>27</v>
      </c>
      <c r="B95" t="s">
        <v>52</v>
      </c>
      <c r="C95" t="s">
        <v>53</v>
      </c>
      <c r="D95" t="s">
        <v>54</v>
      </c>
      <c r="E95">
        <v>531925062</v>
      </c>
      <c r="F95" s="125">
        <v>6153224633001</v>
      </c>
      <c r="G95">
        <v>4122</v>
      </c>
      <c r="H95" t="s">
        <v>61</v>
      </c>
      <c r="I95" t="s">
        <v>32</v>
      </c>
      <c r="J95" s="123">
        <v>44322.4004050926</v>
      </c>
      <c r="K95" s="123"/>
      <c r="L95" t="s">
        <v>41</v>
      </c>
      <c r="M95">
        <v>1</v>
      </c>
      <c r="N95" t="s">
        <v>41</v>
      </c>
      <c r="O95">
        <v>214</v>
      </c>
      <c r="P95">
        <v>4054000</v>
      </c>
      <c r="Q95">
        <v>93.587004841</v>
      </c>
      <c r="R95">
        <v>1070</v>
      </c>
      <c r="S95">
        <v>1070</v>
      </c>
      <c r="T95" s="123">
        <v>44322.4052083333</v>
      </c>
      <c r="V95" s="2">
        <f t="shared" si="12"/>
        <v>20210506</v>
      </c>
      <c r="W95" s="2">
        <f t="shared" si="13"/>
        <v>0</v>
      </c>
      <c r="X95" s="2">
        <f>(SUMIF(F:F,IF(H:H="福禄20两全",F:F,0),险种!R:R)-SUMIFS(R:R,F:F,F:F,M:M,"&lt;=1"))*_xlfn.IFS(G:G=4126,1,OR(G:G&gt;4126,G:G&lt;4126),0)</f>
        <v>0</v>
      </c>
      <c r="Y95" s="2">
        <f t="shared" si="10"/>
        <v>0</v>
      </c>
      <c r="Z95" s="2">
        <f t="shared" si="11"/>
        <v>0</v>
      </c>
      <c r="AA95" s="2">
        <f t="shared" si="7"/>
        <v>0</v>
      </c>
    </row>
    <row r="96" spans="1:27">
      <c r="A96" t="s">
        <v>27</v>
      </c>
      <c r="B96" t="s">
        <v>94</v>
      </c>
      <c r="C96" t="s">
        <v>95</v>
      </c>
      <c r="D96" t="s">
        <v>96</v>
      </c>
      <c r="E96">
        <v>480193632</v>
      </c>
      <c r="F96" s="125">
        <v>6152641232001</v>
      </c>
      <c r="G96">
        <v>4123</v>
      </c>
      <c r="H96" t="s">
        <v>36</v>
      </c>
      <c r="I96" t="s">
        <v>32</v>
      </c>
      <c r="J96" s="123">
        <v>44322.3640277778</v>
      </c>
      <c r="K96" s="123">
        <v>44322.3666319444</v>
      </c>
      <c r="L96" t="s">
        <v>55</v>
      </c>
      <c r="M96">
        <v>1</v>
      </c>
      <c r="N96" t="s">
        <v>56</v>
      </c>
      <c r="O96">
        <v>176.6</v>
      </c>
      <c r="P96">
        <v>1040000</v>
      </c>
      <c r="Q96">
        <v>-134.927686251</v>
      </c>
      <c r="R96">
        <v>1766</v>
      </c>
      <c r="S96">
        <v>1766</v>
      </c>
      <c r="T96" s="123">
        <v>44322.3666319444</v>
      </c>
      <c r="U96" t="s">
        <v>57</v>
      </c>
      <c r="V96" s="2">
        <f t="shared" si="12"/>
        <v>20210506</v>
      </c>
      <c r="W96" s="2">
        <f t="shared" si="13"/>
        <v>0</v>
      </c>
      <c r="X96" s="2">
        <f>(SUMIF(F:F,IF(H:H="福禄20两全",F:F,0),险种!R:R)-SUMIFS(R:R,F:F,F:F,M:M,"&lt;=1"))*_xlfn.IFS(G:G=4126,1,OR(G:G&gt;4126,G:G&lt;4126),0)</f>
        <v>0</v>
      </c>
      <c r="Y96" s="2">
        <f t="shared" si="10"/>
        <v>0</v>
      </c>
      <c r="Z96" s="2">
        <f t="shared" si="11"/>
        <v>0</v>
      </c>
      <c r="AA96" s="2">
        <f t="shared" si="7"/>
        <v>0</v>
      </c>
    </row>
    <row r="97" spans="1:27">
      <c r="A97" t="s">
        <v>27</v>
      </c>
      <c r="B97" t="s">
        <v>100</v>
      </c>
      <c r="C97" t="s">
        <v>101</v>
      </c>
      <c r="D97" t="s">
        <v>106</v>
      </c>
      <c r="E97">
        <v>6550456242</v>
      </c>
      <c r="F97" s="125">
        <v>7944732402001</v>
      </c>
      <c r="G97">
        <v>4112</v>
      </c>
      <c r="H97" t="s">
        <v>69</v>
      </c>
      <c r="I97" t="s">
        <v>103</v>
      </c>
      <c r="J97" s="123">
        <v>44321.0041898148</v>
      </c>
      <c r="K97" s="123"/>
      <c r="L97" t="s">
        <v>80</v>
      </c>
      <c r="M97">
        <v>20</v>
      </c>
      <c r="N97" t="s">
        <v>81</v>
      </c>
      <c r="O97">
        <v>2074.8</v>
      </c>
      <c r="P97">
        <v>0</v>
      </c>
      <c r="Q97">
        <v>0</v>
      </c>
      <c r="R97">
        <v>0</v>
      </c>
      <c r="S97">
        <v>0</v>
      </c>
      <c r="T97" s="123"/>
      <c r="V97" s="2">
        <f t="shared" si="12"/>
        <v>20210505</v>
      </c>
      <c r="W97" s="2">
        <f t="shared" si="13"/>
        <v>0</v>
      </c>
      <c r="X97" s="2">
        <f>(SUMIF(F:F,IF(H:H="福禄20两全",F:F,0),险种!R:R)-SUMIFS(R:R,F:F,F:F,M:M,"&lt;=1"))*_xlfn.IFS(G:G=4126,1,OR(G:G&gt;4126,G:G&lt;4126),0)</f>
        <v>0</v>
      </c>
      <c r="Y97" s="2">
        <f t="shared" si="10"/>
        <v>0</v>
      </c>
      <c r="Z97" s="2">
        <f t="shared" si="11"/>
        <v>0</v>
      </c>
      <c r="AA97" s="2">
        <f t="shared" si="7"/>
        <v>0</v>
      </c>
    </row>
    <row r="98" spans="1:27">
      <c r="A98" t="s">
        <v>42</v>
      </c>
      <c r="B98" t="s">
        <v>62</v>
      </c>
      <c r="C98" t="s">
        <v>72</v>
      </c>
      <c r="D98" t="s">
        <v>73</v>
      </c>
      <c r="E98">
        <v>6487584872</v>
      </c>
      <c r="F98" s="125">
        <v>7944681207001</v>
      </c>
      <c r="G98">
        <v>4112</v>
      </c>
      <c r="H98" t="s">
        <v>69</v>
      </c>
      <c r="I98" t="s">
        <v>32</v>
      </c>
      <c r="J98" s="123">
        <v>44320.6918287037</v>
      </c>
      <c r="K98" s="123"/>
      <c r="L98" t="s">
        <v>80</v>
      </c>
      <c r="M98">
        <v>20</v>
      </c>
      <c r="N98" t="s">
        <v>81</v>
      </c>
      <c r="O98">
        <v>2424</v>
      </c>
      <c r="P98">
        <v>0</v>
      </c>
      <c r="Q98">
        <v>0</v>
      </c>
      <c r="R98">
        <v>0</v>
      </c>
      <c r="S98">
        <v>0</v>
      </c>
      <c r="T98" s="123">
        <v>44320.6923611111</v>
      </c>
      <c r="V98" s="2">
        <f t="shared" si="12"/>
        <v>20210504</v>
      </c>
      <c r="W98" s="2">
        <f t="shared" si="13"/>
        <v>0</v>
      </c>
      <c r="X98" s="2">
        <f>(SUMIF(F:F,IF(H:H="福禄20两全",F:F,0),险种!R:R)-SUMIFS(R:R,F:F,F:F,M:M,"&lt;=1"))*_xlfn.IFS(G:G=4126,1,OR(G:G&gt;4126,G:G&lt;4126),0)</f>
        <v>0</v>
      </c>
      <c r="Y98" s="2">
        <f t="shared" si="10"/>
        <v>0</v>
      </c>
      <c r="Z98" s="2">
        <f t="shared" si="11"/>
        <v>0</v>
      </c>
      <c r="AA98" s="2">
        <f t="shared" si="7"/>
        <v>0</v>
      </c>
    </row>
    <row r="99" spans="1:27">
      <c r="A99" t="s">
        <v>42</v>
      </c>
      <c r="B99" t="s">
        <v>62</v>
      </c>
      <c r="C99" t="s">
        <v>72</v>
      </c>
      <c r="D99" t="s">
        <v>73</v>
      </c>
      <c r="E99">
        <v>6487584872</v>
      </c>
      <c r="F99" s="125">
        <v>7944681207001</v>
      </c>
      <c r="G99">
        <v>4114</v>
      </c>
      <c r="H99" t="s">
        <v>35</v>
      </c>
      <c r="I99" t="s">
        <v>32</v>
      </c>
      <c r="J99" s="123">
        <v>44320.6918287037</v>
      </c>
      <c r="K99" s="123"/>
      <c r="L99" t="s">
        <v>80</v>
      </c>
      <c r="M99">
        <v>1</v>
      </c>
      <c r="N99" t="s">
        <v>81</v>
      </c>
      <c r="O99">
        <v>20</v>
      </c>
      <c r="P99">
        <v>0</v>
      </c>
      <c r="Q99">
        <v>0</v>
      </c>
      <c r="R99">
        <v>0</v>
      </c>
      <c r="S99">
        <v>0</v>
      </c>
      <c r="T99" s="123">
        <v>44320.6923611111</v>
      </c>
      <c r="V99" s="2">
        <f t="shared" si="12"/>
        <v>20210504</v>
      </c>
      <c r="W99" s="2">
        <f t="shared" si="13"/>
        <v>0</v>
      </c>
      <c r="X99" s="2">
        <f>(SUMIF(F:F,IF(H:H="福禄20两全",F:F,0),险种!R:R)-SUMIFS(R:R,F:F,F:F,M:M,"&lt;=1"))*_xlfn.IFS(G:G=4126,1,OR(G:G&gt;4126,G:G&lt;4126),0)</f>
        <v>0</v>
      </c>
      <c r="Y99" s="2">
        <f t="shared" si="10"/>
        <v>0</v>
      </c>
      <c r="Z99" s="2">
        <f t="shared" si="11"/>
        <v>0</v>
      </c>
      <c r="AA99" s="2">
        <f t="shared" ref="AA99:AA162" si="14">ROUNDDOWN(IF(AND(R:R&gt;=1000,M:M&gt;1),R:R,0)/1000,0)*IF(OR(G:G=4126,G:G=4127),0,1)+ROUNDDOWN(X:X/1000,)</f>
        <v>0</v>
      </c>
    </row>
    <row r="100" spans="1:27">
      <c r="A100" t="s">
        <v>42</v>
      </c>
      <c r="B100" t="s">
        <v>62</v>
      </c>
      <c r="C100" t="s">
        <v>72</v>
      </c>
      <c r="D100" t="s">
        <v>73</v>
      </c>
      <c r="E100">
        <v>6487584872</v>
      </c>
      <c r="F100" s="125">
        <v>7944681207001</v>
      </c>
      <c r="G100">
        <v>4122</v>
      </c>
      <c r="H100" t="s">
        <v>61</v>
      </c>
      <c r="I100" t="s">
        <v>32</v>
      </c>
      <c r="J100" s="123">
        <v>44320.6918287037</v>
      </c>
      <c r="K100" s="123"/>
      <c r="L100" t="s">
        <v>80</v>
      </c>
      <c r="M100">
        <v>1</v>
      </c>
      <c r="N100" t="s">
        <v>81</v>
      </c>
      <c r="O100">
        <v>38.6</v>
      </c>
      <c r="P100">
        <v>0</v>
      </c>
      <c r="Q100">
        <v>0</v>
      </c>
      <c r="R100">
        <v>0</v>
      </c>
      <c r="S100">
        <v>0</v>
      </c>
      <c r="T100" s="123">
        <v>44320.6923611111</v>
      </c>
      <c r="V100" s="2">
        <f t="shared" si="12"/>
        <v>20210504</v>
      </c>
      <c r="W100" s="2">
        <f t="shared" si="13"/>
        <v>0</v>
      </c>
      <c r="X100" s="2">
        <f>(SUMIF(F:F,IF(H:H="福禄20两全",F:F,0),险种!R:R)-SUMIFS(R:R,F:F,F:F,M:M,"&lt;=1"))*_xlfn.IFS(G:G=4126,1,OR(G:G&gt;4126,G:G&lt;4126),0)</f>
        <v>0</v>
      </c>
      <c r="Y100" s="2">
        <f t="shared" si="10"/>
        <v>0</v>
      </c>
      <c r="Z100" s="2">
        <f t="shared" si="11"/>
        <v>0</v>
      </c>
      <c r="AA100" s="2">
        <f t="shared" si="14"/>
        <v>0</v>
      </c>
    </row>
    <row r="101" spans="1:27">
      <c r="A101" t="s">
        <v>27</v>
      </c>
      <c r="B101" t="s">
        <v>100</v>
      </c>
      <c r="C101" t="s">
        <v>101</v>
      </c>
      <c r="D101" t="s">
        <v>107</v>
      </c>
      <c r="E101">
        <v>484039162</v>
      </c>
      <c r="F101" s="125">
        <v>9486306517001</v>
      </c>
      <c r="G101">
        <v>4128</v>
      </c>
      <c r="H101" t="s">
        <v>46</v>
      </c>
      <c r="I101" t="s">
        <v>32</v>
      </c>
      <c r="J101" s="1">
        <v>44319</v>
      </c>
      <c r="K101" s="123">
        <v>44319.8869328704</v>
      </c>
      <c r="L101" t="s">
        <v>55</v>
      </c>
      <c r="M101">
        <v>1</v>
      </c>
      <c r="N101" t="s">
        <v>56</v>
      </c>
      <c r="O101">
        <v>14.94</v>
      </c>
      <c r="P101">
        <v>1000000</v>
      </c>
      <c r="Q101">
        <v>5.179438832</v>
      </c>
      <c r="R101">
        <v>149.4</v>
      </c>
      <c r="S101">
        <v>149.4</v>
      </c>
      <c r="T101" s="123">
        <v>44319.8869212963</v>
      </c>
      <c r="U101" t="s">
        <v>57</v>
      </c>
      <c r="V101" s="2">
        <f t="shared" si="12"/>
        <v>20210503</v>
      </c>
      <c r="W101" s="2">
        <f t="shared" si="13"/>
        <v>0</v>
      </c>
      <c r="X101" s="2">
        <f>(SUMIF(F:F,IF(H:H="福禄20两全",F:F,0),险种!R:R)-SUMIFS(R:R,F:F,F:F,M:M,"&lt;=1"))*_xlfn.IFS(G:G=4126,1,OR(G:G&gt;4126,G:G&lt;4126),0)</f>
        <v>0</v>
      </c>
      <c r="Y101" s="2">
        <f t="shared" si="10"/>
        <v>0</v>
      </c>
      <c r="Z101" s="2">
        <f t="shared" si="11"/>
        <v>0</v>
      </c>
      <c r="AA101" s="2">
        <f t="shared" si="14"/>
        <v>0</v>
      </c>
    </row>
    <row r="102" spans="1:27">
      <c r="A102" t="s">
        <v>42</v>
      </c>
      <c r="B102" t="s">
        <v>62</v>
      </c>
      <c r="C102" t="s">
        <v>108</v>
      </c>
      <c r="D102" t="s">
        <v>109</v>
      </c>
      <c r="E102">
        <v>5503363952</v>
      </c>
      <c r="F102" s="125">
        <v>9486233976001</v>
      </c>
      <c r="G102">
        <v>4122</v>
      </c>
      <c r="H102" t="s">
        <v>61</v>
      </c>
      <c r="I102" t="s">
        <v>32</v>
      </c>
      <c r="J102" s="1">
        <v>44319</v>
      </c>
      <c r="K102" s="123">
        <v>44319.510625</v>
      </c>
      <c r="L102" t="s">
        <v>55</v>
      </c>
      <c r="M102">
        <v>1</v>
      </c>
      <c r="N102" t="s">
        <v>56</v>
      </c>
      <c r="O102">
        <v>31.4</v>
      </c>
      <c r="P102">
        <v>4054000</v>
      </c>
      <c r="Q102">
        <v>13.731925415</v>
      </c>
      <c r="R102">
        <v>157</v>
      </c>
      <c r="S102">
        <v>157</v>
      </c>
      <c r="T102" s="123">
        <v>44319.5106134259</v>
      </c>
      <c r="U102" t="s">
        <v>57</v>
      </c>
      <c r="V102" s="2">
        <f t="shared" si="12"/>
        <v>20210503</v>
      </c>
      <c r="W102" s="2">
        <f t="shared" si="13"/>
        <v>0</v>
      </c>
      <c r="X102" s="2">
        <f>(SUMIF(F:F,IF(H:H="福禄20两全",F:F,0),险种!R:R)-SUMIFS(R:R,F:F,F:F,M:M,"&lt;=1"))*_xlfn.IFS(G:G=4126,1,OR(G:G&gt;4126,G:G&lt;4126),0)</f>
        <v>0</v>
      </c>
      <c r="Y102" s="2">
        <f t="shared" si="10"/>
        <v>0</v>
      </c>
      <c r="Z102" s="2">
        <f t="shared" si="11"/>
        <v>0</v>
      </c>
      <c r="AA102" s="2">
        <f t="shared" si="14"/>
        <v>0</v>
      </c>
    </row>
    <row r="103" spans="1:27">
      <c r="A103" t="s">
        <v>27</v>
      </c>
      <c r="B103" t="s">
        <v>37</v>
      </c>
      <c r="C103" t="s">
        <v>110</v>
      </c>
      <c r="D103" t="s">
        <v>111</v>
      </c>
      <c r="E103">
        <v>477030872</v>
      </c>
      <c r="F103" s="125">
        <v>9486169209001</v>
      </c>
      <c r="G103">
        <v>4122</v>
      </c>
      <c r="H103" t="s">
        <v>61</v>
      </c>
      <c r="I103" t="s">
        <v>32</v>
      </c>
      <c r="J103" s="1">
        <v>44318</v>
      </c>
      <c r="K103" s="123">
        <v>44318.9600347222</v>
      </c>
      <c r="L103" t="s">
        <v>55</v>
      </c>
      <c r="M103">
        <v>1</v>
      </c>
      <c r="N103" t="s">
        <v>56</v>
      </c>
      <c r="O103">
        <v>63.8</v>
      </c>
      <c r="P103">
        <v>4054000</v>
      </c>
      <c r="Q103">
        <v>27.901172703</v>
      </c>
      <c r="R103">
        <v>319</v>
      </c>
      <c r="S103">
        <v>319</v>
      </c>
      <c r="T103" s="123">
        <v>44318.9600231481</v>
      </c>
      <c r="U103" t="s">
        <v>57</v>
      </c>
      <c r="V103" s="2">
        <f t="shared" si="12"/>
        <v>20210502</v>
      </c>
      <c r="W103" s="2">
        <f t="shared" si="13"/>
        <v>0</v>
      </c>
      <c r="X103" s="2">
        <f>(SUMIF(F:F,IF(H:H="福禄20两全",F:F,0),险种!R:R)-SUMIFS(R:R,F:F,F:F,M:M,"&lt;=1"))*_xlfn.IFS(G:G=4126,1,OR(G:G&gt;4126,G:G&lt;4126),0)</f>
        <v>0</v>
      </c>
      <c r="Y103" s="2">
        <f t="shared" si="10"/>
        <v>0</v>
      </c>
      <c r="Z103" s="2">
        <f t="shared" si="11"/>
        <v>0</v>
      </c>
      <c r="AA103" s="2">
        <f t="shared" si="14"/>
        <v>0</v>
      </c>
    </row>
    <row r="104" spans="10:27">
      <c r="J104" s="1"/>
      <c r="K104" s="123"/>
      <c r="T104" s="123"/>
      <c r="V104" s="2">
        <f t="shared" si="12"/>
        <v>19000100</v>
      </c>
      <c r="W104" s="2">
        <f t="shared" si="13"/>
        <v>0</v>
      </c>
      <c r="X104" s="2">
        <f>(SUMIF(F:F,IF(H:H="福禄20两全",F:F,0),险种!R:R)-SUMIFS(R:R,F:F,F:F,M:M,"&lt;=1"))*_xlfn.IFS(G:G=4126,1,OR(G:G&gt;4126,G:G&lt;4126),0)</f>
        <v>0</v>
      </c>
      <c r="Y104" s="2">
        <f t="shared" si="10"/>
        <v>0</v>
      </c>
      <c r="Z104" s="2">
        <f t="shared" si="11"/>
        <v>0</v>
      </c>
      <c r="AA104" s="2">
        <f t="shared" si="14"/>
        <v>0</v>
      </c>
    </row>
    <row r="105" spans="10:27">
      <c r="J105" s="123"/>
      <c r="K105" s="123"/>
      <c r="T105" s="123"/>
      <c r="V105" s="2">
        <f t="shared" si="12"/>
        <v>19000100</v>
      </c>
      <c r="W105" s="2">
        <f t="shared" si="13"/>
        <v>0</v>
      </c>
      <c r="X105" s="2">
        <f>(SUMIF(F:F,IF(H:H="福禄20两全",F:F,0),险种!R:R)-SUMIFS(R:R,F:F,F:F,M:M,"&lt;=1"))*_xlfn.IFS(G:G=4126,1,OR(G:G&gt;4126,G:G&lt;4126),0)</f>
        <v>0</v>
      </c>
      <c r="Y105" s="2">
        <f t="shared" si="10"/>
        <v>0</v>
      </c>
      <c r="Z105" s="2">
        <f t="shared" si="11"/>
        <v>0</v>
      </c>
      <c r="AA105" s="2">
        <f t="shared" si="14"/>
        <v>0</v>
      </c>
    </row>
    <row r="106" spans="10:27">
      <c r="J106" s="123"/>
      <c r="K106" s="123"/>
      <c r="T106" s="123"/>
      <c r="V106" s="2">
        <f t="shared" si="12"/>
        <v>19000100</v>
      </c>
      <c r="W106" s="2">
        <f t="shared" si="13"/>
        <v>0</v>
      </c>
      <c r="X106" s="2">
        <f>(SUMIF(F:F,IF(H:H="福禄20两全",F:F,0),险种!R:R)-SUMIFS(R:R,F:F,F:F,M:M,"&lt;=1"))*_xlfn.IFS(G:G=4126,1,OR(G:G&gt;4126,G:G&lt;4126),0)</f>
        <v>0</v>
      </c>
      <c r="Y106" s="2">
        <f t="shared" si="10"/>
        <v>0</v>
      </c>
      <c r="Z106" s="2">
        <f t="shared" si="11"/>
        <v>0</v>
      </c>
      <c r="AA106" s="2">
        <f t="shared" si="14"/>
        <v>0</v>
      </c>
    </row>
    <row r="107" spans="10:27">
      <c r="J107" s="123"/>
      <c r="K107" s="123"/>
      <c r="T107" s="123"/>
      <c r="V107" s="2">
        <f t="shared" si="12"/>
        <v>19000100</v>
      </c>
      <c r="W107" s="2">
        <f t="shared" si="13"/>
        <v>0</v>
      </c>
      <c r="X107" s="2">
        <f>(SUMIF(F:F,IF(H:H="福禄20两全",F:F,0),险种!R:R)-SUMIFS(R:R,F:F,F:F,M:M,"&lt;=1"))*_xlfn.IFS(G:G=4126,1,OR(G:G&gt;4126,G:G&lt;4126),0)</f>
        <v>0</v>
      </c>
      <c r="Y107" s="2">
        <f t="shared" si="10"/>
        <v>0</v>
      </c>
      <c r="Z107" s="2">
        <f t="shared" si="11"/>
        <v>0</v>
      </c>
      <c r="AA107" s="2">
        <f t="shared" si="14"/>
        <v>0</v>
      </c>
    </row>
    <row r="108" spans="10:27">
      <c r="J108" s="123"/>
      <c r="K108" s="123"/>
      <c r="T108" s="123"/>
      <c r="V108" s="2">
        <f t="shared" si="12"/>
        <v>19000100</v>
      </c>
      <c r="W108" s="2">
        <f t="shared" si="13"/>
        <v>0</v>
      </c>
      <c r="X108" s="2">
        <f>(SUMIF(F:F,IF(H:H="福禄20两全",F:F,0),险种!R:R)-SUMIFS(R:R,F:F,F:F,M:M,"&lt;=1"))*_xlfn.IFS(G:G=4126,1,OR(G:G&gt;4126,G:G&lt;4126),0)</f>
        <v>0</v>
      </c>
      <c r="Y108" s="2">
        <f t="shared" si="10"/>
        <v>0</v>
      </c>
      <c r="Z108" s="2">
        <f t="shared" si="11"/>
        <v>0</v>
      </c>
      <c r="AA108" s="2">
        <f t="shared" si="14"/>
        <v>0</v>
      </c>
    </row>
    <row r="109" spans="10:27">
      <c r="J109" s="123"/>
      <c r="K109" s="123"/>
      <c r="T109" s="123"/>
      <c r="V109" s="2">
        <f t="shared" si="12"/>
        <v>19000100</v>
      </c>
      <c r="W109" s="2">
        <f t="shared" si="13"/>
        <v>0</v>
      </c>
      <c r="X109" s="2">
        <f>(SUMIF(F:F,IF(H:H="福禄20两全",F:F,0),险种!R:R)-SUMIFS(R:R,F:F,F:F,M:M,"&lt;=1"))*_xlfn.IFS(G:G=4126,1,OR(G:G&gt;4126,G:G&lt;4126),0)</f>
        <v>0</v>
      </c>
      <c r="Y109" s="2">
        <f t="shared" si="10"/>
        <v>0</v>
      </c>
      <c r="Z109" s="2">
        <f t="shared" si="11"/>
        <v>0</v>
      </c>
      <c r="AA109" s="2">
        <f t="shared" si="14"/>
        <v>0</v>
      </c>
    </row>
    <row r="110" spans="10:27">
      <c r="J110" s="123"/>
      <c r="K110" s="123"/>
      <c r="T110" s="123"/>
      <c r="V110" s="2">
        <f t="shared" si="12"/>
        <v>19000100</v>
      </c>
      <c r="W110" s="2">
        <f t="shared" si="13"/>
        <v>0</v>
      </c>
      <c r="X110" s="2">
        <f>(SUMIF(F:F,IF(H:H="福禄20两全",F:F,0),险种!R:R)-SUMIFS(R:R,F:F,F:F,M:M,"&lt;=1"))*_xlfn.IFS(G:G=4126,1,OR(G:G&gt;4126,G:G&lt;4126),0)</f>
        <v>0</v>
      </c>
      <c r="Y110" s="2">
        <f t="shared" si="10"/>
        <v>0</v>
      </c>
      <c r="Z110" s="2">
        <f t="shared" si="11"/>
        <v>0</v>
      </c>
      <c r="AA110" s="2">
        <f t="shared" si="14"/>
        <v>0</v>
      </c>
    </row>
    <row r="111" spans="10:27">
      <c r="J111" s="123"/>
      <c r="K111" s="123"/>
      <c r="T111" s="123"/>
      <c r="V111" s="2">
        <f t="shared" si="12"/>
        <v>19000100</v>
      </c>
      <c r="W111" s="2">
        <f t="shared" si="13"/>
        <v>0</v>
      </c>
      <c r="X111" s="2">
        <f>(SUMIF(F:F,IF(H:H="福禄20两全",F:F,0),险种!R:R)-SUMIFS(R:R,F:F,F:F,M:M,"&lt;=1"))*_xlfn.IFS(G:G=4126,1,OR(G:G&gt;4126,G:G&lt;4126),0)</f>
        <v>0</v>
      </c>
      <c r="Y111" s="2">
        <f t="shared" si="10"/>
        <v>0</v>
      </c>
      <c r="Z111" s="2">
        <f t="shared" si="11"/>
        <v>0</v>
      </c>
      <c r="AA111" s="2">
        <f t="shared" si="14"/>
        <v>0</v>
      </c>
    </row>
    <row r="112" spans="10:27">
      <c r="J112" s="123"/>
      <c r="V112" s="2">
        <f t="shared" si="12"/>
        <v>19000100</v>
      </c>
      <c r="W112" s="2">
        <f t="shared" si="13"/>
        <v>0</v>
      </c>
      <c r="X112" s="2">
        <f>(SUMIF(F:F,IF(H:H="福禄20两全",F:F,0),险种!R:R)-SUMIFS(R:R,F:F,F:F,M:M,"&lt;=1"))*_xlfn.IFS(G:G=4126,1,OR(G:G&gt;4126,G:G&lt;4126),0)</f>
        <v>0</v>
      </c>
      <c r="Y112" s="2">
        <f t="shared" si="10"/>
        <v>0</v>
      </c>
      <c r="Z112" s="2">
        <f t="shared" si="11"/>
        <v>0</v>
      </c>
      <c r="AA112" s="2">
        <f t="shared" si="14"/>
        <v>0</v>
      </c>
    </row>
    <row r="113" spans="10:27">
      <c r="J113" s="123"/>
      <c r="K113" s="123"/>
      <c r="T113" s="123"/>
      <c r="V113" s="2">
        <f t="shared" si="12"/>
        <v>19000100</v>
      </c>
      <c r="W113" s="2">
        <f t="shared" si="13"/>
        <v>0</v>
      </c>
      <c r="X113" s="2">
        <f>(SUMIF(F:F,IF(H:H="福禄20两全",F:F,0),险种!R:R)-SUMIFS(R:R,F:F,F:F,M:M,"&lt;=1"))*_xlfn.IFS(G:G=4126,1,OR(G:G&gt;4126,G:G&lt;4126),0)</f>
        <v>0</v>
      </c>
      <c r="Y113" s="2">
        <f t="shared" si="10"/>
        <v>0</v>
      </c>
      <c r="Z113" s="2">
        <f t="shared" si="11"/>
        <v>0</v>
      </c>
      <c r="AA113" s="2">
        <f t="shared" si="14"/>
        <v>0</v>
      </c>
    </row>
    <row r="114" spans="10:27">
      <c r="J114" s="123"/>
      <c r="K114" s="123"/>
      <c r="T114" s="123"/>
      <c r="V114" s="2">
        <f t="shared" si="12"/>
        <v>19000100</v>
      </c>
      <c r="W114" s="2">
        <f t="shared" si="13"/>
        <v>0</v>
      </c>
      <c r="X114" s="2">
        <f>(SUMIF(F:F,IF(H:H="福禄20两全",F:F,0),险种!R:R)-SUMIFS(R:R,F:F,F:F,M:M,"&lt;=1"))*_xlfn.IFS(G:G=4126,1,OR(G:G&gt;4126,G:G&lt;4126),0)</f>
        <v>0</v>
      </c>
      <c r="Y114" s="2">
        <f t="shared" si="10"/>
        <v>0</v>
      </c>
      <c r="Z114" s="2">
        <f t="shared" si="11"/>
        <v>0</v>
      </c>
      <c r="AA114" s="2">
        <f t="shared" si="14"/>
        <v>0</v>
      </c>
    </row>
    <row r="115" spans="10:27">
      <c r="J115" s="123"/>
      <c r="K115" s="123"/>
      <c r="T115" s="123"/>
      <c r="V115" s="2">
        <f t="shared" si="12"/>
        <v>19000100</v>
      </c>
      <c r="W115" s="2">
        <f t="shared" si="13"/>
        <v>0</v>
      </c>
      <c r="X115" s="2">
        <f>(SUMIF(F:F,IF(H:H="福禄20两全",F:F,0),险种!R:R)-SUMIFS(R:R,F:F,F:F,M:M,"&lt;=1"))*_xlfn.IFS(G:G=4126,1,OR(G:G&gt;4126,G:G&lt;4126),0)</f>
        <v>0</v>
      </c>
      <c r="Y115" s="2">
        <f t="shared" si="10"/>
        <v>0</v>
      </c>
      <c r="Z115" s="2">
        <f t="shared" si="11"/>
        <v>0</v>
      </c>
      <c r="AA115" s="2">
        <f t="shared" si="14"/>
        <v>0</v>
      </c>
    </row>
    <row r="116" spans="10:27">
      <c r="J116" s="123"/>
      <c r="K116" s="123"/>
      <c r="T116" s="123"/>
      <c r="V116" s="2">
        <f t="shared" si="12"/>
        <v>19000100</v>
      </c>
      <c r="W116" s="2">
        <f t="shared" si="13"/>
        <v>0</v>
      </c>
      <c r="X116" s="2">
        <f>(SUMIF(F:F,IF(H:H="福禄20两全",F:F,0),险种!R:R)-SUMIFS(R:R,F:F,F:F,M:M,"&lt;=1"))*_xlfn.IFS(G:G=4126,1,OR(G:G&gt;4126,G:G&lt;4126),0)</f>
        <v>0</v>
      </c>
      <c r="Y116" s="2">
        <f t="shared" si="10"/>
        <v>0</v>
      </c>
      <c r="Z116" s="2">
        <f t="shared" si="11"/>
        <v>0</v>
      </c>
      <c r="AA116" s="2">
        <f t="shared" si="14"/>
        <v>0</v>
      </c>
    </row>
    <row r="117" spans="10:27">
      <c r="J117" s="123"/>
      <c r="K117" s="123"/>
      <c r="T117" s="123"/>
      <c r="V117" s="2">
        <f t="shared" si="12"/>
        <v>19000100</v>
      </c>
      <c r="W117" s="2">
        <f t="shared" si="13"/>
        <v>0</v>
      </c>
      <c r="X117" s="2">
        <f>(SUMIF(F:F,IF(H:H="福禄20两全",F:F,0),险种!R:R)-SUMIFS(R:R,F:F,F:F,M:M,"&lt;=1"))*_xlfn.IFS(G:G=4126,1,OR(G:G&gt;4126,G:G&lt;4126),0)</f>
        <v>0</v>
      </c>
      <c r="Y117" s="2">
        <f t="shared" si="10"/>
        <v>0</v>
      </c>
      <c r="Z117" s="2">
        <f t="shared" si="11"/>
        <v>0</v>
      </c>
      <c r="AA117" s="2">
        <f t="shared" si="14"/>
        <v>0</v>
      </c>
    </row>
    <row r="118" spans="10:27">
      <c r="J118" s="123"/>
      <c r="K118" s="123"/>
      <c r="T118" s="123"/>
      <c r="V118" s="2">
        <f t="shared" si="12"/>
        <v>19000100</v>
      </c>
      <c r="W118" s="2">
        <f t="shared" si="13"/>
        <v>0</v>
      </c>
      <c r="X118" s="2">
        <f>(SUMIF(F:F,IF(H:H="福禄20两全",F:F,0),险种!R:R)-SUMIFS(R:R,F:F,F:F,M:M,"&lt;=1"))*_xlfn.IFS(G:G=4126,1,OR(G:G&gt;4126,G:G&lt;4126),0)</f>
        <v>0</v>
      </c>
      <c r="Y118" s="2">
        <f t="shared" si="10"/>
        <v>0</v>
      </c>
      <c r="Z118" s="2">
        <f t="shared" si="11"/>
        <v>0</v>
      </c>
      <c r="AA118" s="2">
        <f t="shared" si="14"/>
        <v>0</v>
      </c>
    </row>
    <row r="119" spans="10:27">
      <c r="J119" s="123"/>
      <c r="K119" s="123"/>
      <c r="T119" s="123"/>
      <c r="V119" s="2">
        <f t="shared" si="12"/>
        <v>19000100</v>
      </c>
      <c r="W119" s="2">
        <f t="shared" si="13"/>
        <v>0</v>
      </c>
      <c r="X119" s="2">
        <f>(SUMIF(F:F,IF(H:H="福禄20两全",F:F,0),险种!R:R)-SUMIFS(R:R,F:F,F:F,M:M,"&lt;=1"))*_xlfn.IFS(G:G=4126,1,OR(G:G&gt;4126,G:G&lt;4126),0)</f>
        <v>0</v>
      </c>
      <c r="Y119" s="2">
        <f t="shared" si="10"/>
        <v>0</v>
      </c>
      <c r="Z119" s="2">
        <f t="shared" si="11"/>
        <v>0</v>
      </c>
      <c r="AA119" s="2">
        <f t="shared" si="14"/>
        <v>0</v>
      </c>
    </row>
    <row r="120" spans="10:27">
      <c r="J120" s="123"/>
      <c r="K120" s="123"/>
      <c r="T120" s="123"/>
      <c r="V120" s="2">
        <f t="shared" si="12"/>
        <v>19000100</v>
      </c>
      <c r="W120" s="2">
        <f t="shared" si="13"/>
        <v>0</v>
      </c>
      <c r="X120" s="2">
        <f>(SUMIF(F:F,IF(H:H="福禄20两全",F:F,0),险种!R:R)-SUMIFS(R:R,F:F,F:F,M:M,"&lt;=1"))*_xlfn.IFS(G:G=4126,1,OR(G:G&gt;4126,G:G&lt;4126),0)</f>
        <v>0</v>
      </c>
      <c r="Y120" s="2">
        <f t="shared" si="10"/>
        <v>0</v>
      </c>
      <c r="Z120" s="2">
        <f t="shared" si="11"/>
        <v>0</v>
      </c>
      <c r="AA120" s="2">
        <f t="shared" si="14"/>
        <v>0</v>
      </c>
    </row>
    <row r="121" spans="10:27">
      <c r="J121" s="123"/>
      <c r="K121" s="123"/>
      <c r="T121" s="123"/>
      <c r="V121" s="2">
        <f t="shared" si="12"/>
        <v>19000100</v>
      </c>
      <c r="W121" s="2">
        <f t="shared" si="13"/>
        <v>0</v>
      </c>
      <c r="X121" s="2">
        <f>(SUMIF(F:F,IF(H:H="福禄20两全",F:F,0),险种!R:R)-SUMIFS(R:R,F:F,F:F,M:M,"&lt;=1"))*_xlfn.IFS(G:G=4126,1,OR(G:G&gt;4126,G:G&lt;4126),0)</f>
        <v>0</v>
      </c>
      <c r="Y121" s="2">
        <f t="shared" si="10"/>
        <v>0</v>
      </c>
      <c r="Z121" s="2">
        <f t="shared" si="11"/>
        <v>0</v>
      </c>
      <c r="AA121" s="2">
        <f t="shared" si="14"/>
        <v>0</v>
      </c>
    </row>
    <row r="122" spans="10:27">
      <c r="J122" s="123"/>
      <c r="K122" s="123"/>
      <c r="T122" s="123"/>
      <c r="V122" s="2">
        <f t="shared" si="12"/>
        <v>19000100</v>
      </c>
      <c r="W122" s="2">
        <f t="shared" si="13"/>
        <v>0</v>
      </c>
      <c r="X122" s="2">
        <f>(SUMIF(F:F,IF(H:H="福禄20两全",F:F,0),险种!R:R)-SUMIFS(R:R,F:F,F:F,M:M,"&lt;=1"))*_xlfn.IFS(G:G=4126,1,OR(G:G&gt;4126,G:G&lt;4126),0)</f>
        <v>0</v>
      </c>
      <c r="Y122" s="2">
        <f t="shared" si="10"/>
        <v>0</v>
      </c>
      <c r="Z122" s="2">
        <f t="shared" si="11"/>
        <v>0</v>
      </c>
      <c r="AA122" s="2">
        <f t="shared" si="14"/>
        <v>0</v>
      </c>
    </row>
    <row r="123" spans="10:27">
      <c r="J123" s="1"/>
      <c r="K123" s="123"/>
      <c r="T123" s="123"/>
      <c r="V123" s="2">
        <f t="shared" si="12"/>
        <v>19000100</v>
      </c>
      <c r="W123" s="2">
        <f t="shared" si="13"/>
        <v>0</v>
      </c>
      <c r="X123" s="2">
        <f>(SUMIF(F:F,IF(H:H="福禄20两全",F:F,0),险种!R:R)-SUMIFS(R:R,F:F,F:F,M:M,"&lt;=1"))*_xlfn.IFS(G:G=4126,1,OR(G:G&gt;4126,G:G&lt;4126),0)</f>
        <v>0</v>
      </c>
      <c r="Y123" s="2">
        <f t="shared" si="10"/>
        <v>0</v>
      </c>
      <c r="Z123" s="2">
        <f t="shared" si="11"/>
        <v>0</v>
      </c>
      <c r="AA123" s="2">
        <f t="shared" si="14"/>
        <v>0</v>
      </c>
    </row>
    <row r="124" spans="10:27">
      <c r="J124" s="123"/>
      <c r="T124" s="123"/>
      <c r="V124" s="2">
        <f t="shared" si="12"/>
        <v>19000100</v>
      </c>
      <c r="W124" s="2">
        <f t="shared" si="13"/>
        <v>0</v>
      </c>
      <c r="X124" s="2">
        <f>(SUMIF(F:F,IF(H:H="福禄20两全",F:F,0),险种!R:R)-SUMIFS(R:R,F:F,F:F,M:M,"&lt;=1"))*_xlfn.IFS(G:G=4126,1,OR(G:G&gt;4126,G:G&lt;4126),0)</f>
        <v>0</v>
      </c>
      <c r="Y124" s="2">
        <f t="shared" si="10"/>
        <v>0</v>
      </c>
      <c r="Z124" s="2">
        <f t="shared" si="11"/>
        <v>0</v>
      </c>
      <c r="AA124" s="2">
        <f t="shared" si="14"/>
        <v>0</v>
      </c>
    </row>
    <row r="125" spans="10:27">
      <c r="J125" s="123"/>
      <c r="T125" s="123"/>
      <c r="V125" s="2">
        <f t="shared" si="12"/>
        <v>19000100</v>
      </c>
      <c r="W125" s="2">
        <f t="shared" si="13"/>
        <v>0</v>
      </c>
      <c r="X125" s="2">
        <f>(SUMIF(F:F,IF(H:H="福禄20两全",F:F,0),险种!R:R)-SUMIFS(R:R,F:F,F:F,M:M,"&lt;=1"))*_xlfn.IFS(G:G=4126,1,OR(G:G&gt;4126,G:G&lt;4126),0)</f>
        <v>0</v>
      </c>
      <c r="Y125" s="2">
        <f t="shared" si="10"/>
        <v>0</v>
      </c>
      <c r="Z125" s="2">
        <f t="shared" si="11"/>
        <v>0</v>
      </c>
      <c r="AA125" s="2">
        <f t="shared" si="14"/>
        <v>0</v>
      </c>
    </row>
    <row r="126" spans="10:27">
      <c r="J126" s="123"/>
      <c r="T126" s="123"/>
      <c r="V126" s="2">
        <f t="shared" si="12"/>
        <v>19000100</v>
      </c>
      <c r="W126" s="2">
        <f t="shared" si="13"/>
        <v>0</v>
      </c>
      <c r="X126" s="2">
        <f>(SUMIF(F:F,IF(H:H="福禄20两全",F:F,0),险种!R:R)-SUMIFS(R:R,F:F,F:F,M:M,"&lt;=1"))*_xlfn.IFS(G:G=4126,1,OR(G:G&gt;4126,G:G&lt;4126),0)</f>
        <v>0</v>
      </c>
      <c r="Y126" s="2">
        <f t="shared" si="10"/>
        <v>0</v>
      </c>
      <c r="Z126" s="2">
        <f t="shared" si="11"/>
        <v>0</v>
      </c>
      <c r="AA126" s="2">
        <f t="shared" si="14"/>
        <v>0</v>
      </c>
    </row>
    <row r="127" spans="10:27">
      <c r="J127" s="123"/>
      <c r="K127" s="123"/>
      <c r="T127" s="123"/>
      <c r="V127" s="2">
        <f t="shared" si="12"/>
        <v>19000100</v>
      </c>
      <c r="W127" s="2">
        <f t="shared" si="13"/>
        <v>0</v>
      </c>
      <c r="X127" s="2">
        <f>(SUMIF(F:F,IF(H:H="福禄20两全",F:F,0),险种!R:R)-SUMIFS(R:R,F:F,F:F,M:M,"&lt;=1"))*_xlfn.IFS(G:G=4126,1,OR(G:G&gt;4126,G:G&lt;4126),0)</f>
        <v>0</v>
      </c>
      <c r="Y127" s="2">
        <f t="shared" si="10"/>
        <v>0</v>
      </c>
      <c r="Z127" s="2">
        <f t="shared" si="11"/>
        <v>0</v>
      </c>
      <c r="AA127" s="2">
        <f t="shared" si="14"/>
        <v>0</v>
      </c>
    </row>
    <row r="128" spans="10:27">
      <c r="J128" s="123"/>
      <c r="K128" s="123"/>
      <c r="T128" s="123"/>
      <c r="V128" s="2">
        <f t="shared" si="12"/>
        <v>19000100</v>
      </c>
      <c r="W128" s="2">
        <f t="shared" si="13"/>
        <v>0</v>
      </c>
      <c r="X128" s="2">
        <f>(SUMIF(F:F,IF(H:H="福禄20两全",F:F,0),险种!R:R)-SUMIFS(R:R,F:F,F:F,M:M,"&lt;=1"))*_xlfn.IFS(G:G=4126,1,OR(G:G&gt;4126,G:G&lt;4126),0)</f>
        <v>0</v>
      </c>
      <c r="Y128" s="2">
        <f t="shared" si="10"/>
        <v>0</v>
      </c>
      <c r="Z128" s="2">
        <f t="shared" si="11"/>
        <v>0</v>
      </c>
      <c r="AA128" s="2">
        <f t="shared" si="14"/>
        <v>0</v>
      </c>
    </row>
    <row r="129" spans="10:27">
      <c r="J129" s="123"/>
      <c r="K129" s="123"/>
      <c r="T129" s="123"/>
      <c r="V129" s="2">
        <f t="shared" si="12"/>
        <v>19000100</v>
      </c>
      <c r="W129" s="2">
        <f t="shared" si="13"/>
        <v>0</v>
      </c>
      <c r="X129" s="2">
        <f>(SUMIF(F:F,IF(H:H="福禄20两全",F:F,0),险种!R:R)-SUMIFS(R:R,F:F,F:F,M:M,"&lt;=1"))*_xlfn.IFS(G:G=4126,1,OR(G:G&gt;4126,G:G&lt;4126),0)</f>
        <v>0</v>
      </c>
      <c r="Y129" s="2">
        <f t="shared" si="10"/>
        <v>0</v>
      </c>
      <c r="Z129" s="2">
        <f t="shared" si="11"/>
        <v>0</v>
      </c>
      <c r="AA129" s="2">
        <f t="shared" si="14"/>
        <v>0</v>
      </c>
    </row>
    <row r="130" spans="10:27">
      <c r="J130" s="123"/>
      <c r="K130" s="123"/>
      <c r="T130" s="123"/>
      <c r="V130" s="2">
        <f t="shared" si="12"/>
        <v>19000100</v>
      </c>
      <c r="W130" s="2">
        <f t="shared" si="13"/>
        <v>0</v>
      </c>
      <c r="X130" s="2">
        <f>(SUMIF(F:F,IF(H:H="福禄20两全",F:F,0),险种!R:R)-SUMIFS(R:R,F:F,F:F,M:M,"&lt;=1"))*_xlfn.IFS(G:G=4126,1,OR(G:G&gt;4126,G:G&lt;4126),0)</f>
        <v>0</v>
      </c>
      <c r="Y130" s="2">
        <f t="shared" si="10"/>
        <v>0</v>
      </c>
      <c r="Z130" s="2">
        <f t="shared" si="11"/>
        <v>0</v>
      </c>
      <c r="AA130" s="2">
        <f t="shared" si="14"/>
        <v>0</v>
      </c>
    </row>
    <row r="131" spans="10:27">
      <c r="J131" s="123"/>
      <c r="K131" s="123"/>
      <c r="T131" s="123"/>
      <c r="V131" s="2">
        <f t="shared" si="12"/>
        <v>19000100</v>
      </c>
      <c r="W131" s="2">
        <f t="shared" si="13"/>
        <v>0</v>
      </c>
      <c r="X131" s="2">
        <f>(SUMIF(F:F,IF(H:H="福禄20两全",F:F,0),险种!R:R)-SUMIFS(R:R,F:F,F:F,M:M,"&lt;=1"))*_xlfn.IFS(G:G=4126,1,OR(G:G&gt;4126,G:G&lt;4126),0)</f>
        <v>0</v>
      </c>
      <c r="Y131" s="2">
        <f t="shared" ref="Y131:Y194" si="15">IF(AND(W:W=1,V:V&lt;=20210510),1,0)</f>
        <v>0</v>
      </c>
      <c r="Z131" s="2">
        <f t="shared" ref="Z131:Z194" si="16">IF(AND(W:W=1,V:V&lt;=20210520,V:V&gt;20210510),1,0)</f>
        <v>0</v>
      </c>
      <c r="AA131" s="2">
        <f t="shared" si="14"/>
        <v>0</v>
      </c>
    </row>
    <row r="132" spans="10:27">
      <c r="J132" s="123"/>
      <c r="K132" s="123"/>
      <c r="T132" s="123"/>
      <c r="V132" s="2">
        <f t="shared" si="12"/>
        <v>19000100</v>
      </c>
      <c r="W132" s="2">
        <f t="shared" si="13"/>
        <v>0</v>
      </c>
      <c r="X132" s="2">
        <f>(SUMIF(F:F,IF(H:H="福禄20两全",F:F,0),险种!R:R)-SUMIFS(R:R,F:F,F:F,M:M,"&lt;=1"))*_xlfn.IFS(G:G=4126,1,OR(G:G&gt;4126,G:G&lt;4126),0)</f>
        <v>0</v>
      </c>
      <c r="Y132" s="2">
        <f t="shared" si="15"/>
        <v>0</v>
      </c>
      <c r="Z132" s="2">
        <f t="shared" si="16"/>
        <v>0</v>
      </c>
      <c r="AA132" s="2">
        <f t="shared" si="14"/>
        <v>0</v>
      </c>
    </row>
    <row r="133" spans="10:27">
      <c r="J133" s="123"/>
      <c r="K133" s="123"/>
      <c r="T133" s="123"/>
      <c r="V133" s="2">
        <f t="shared" si="12"/>
        <v>19000100</v>
      </c>
      <c r="W133" s="2">
        <f t="shared" si="13"/>
        <v>0</v>
      </c>
      <c r="X133" s="2">
        <f>(SUMIF(F:F,IF(H:H="福禄20两全",F:F,0),险种!R:R)-SUMIFS(R:R,F:F,F:F,M:M,"&lt;=1"))*_xlfn.IFS(G:G=4126,1,OR(G:G&gt;4126,G:G&lt;4126),0)</f>
        <v>0</v>
      </c>
      <c r="Y133" s="2">
        <f t="shared" si="15"/>
        <v>0</v>
      </c>
      <c r="Z133" s="2">
        <f t="shared" si="16"/>
        <v>0</v>
      </c>
      <c r="AA133" s="2">
        <f t="shared" si="14"/>
        <v>0</v>
      </c>
    </row>
    <row r="134" spans="10:27">
      <c r="J134" s="123"/>
      <c r="K134" s="123"/>
      <c r="T134" s="123"/>
      <c r="V134" s="2">
        <f t="shared" si="12"/>
        <v>19000100</v>
      </c>
      <c r="W134" s="2">
        <f t="shared" si="13"/>
        <v>0</v>
      </c>
      <c r="X134" s="2">
        <f>(SUMIF(F:F,IF(H:H="福禄20两全",F:F,0),险种!R:R)-SUMIFS(R:R,F:F,F:F,M:M,"&lt;=1"))*_xlfn.IFS(G:G=4126,1,OR(G:G&gt;4126,G:G&lt;4126),0)</f>
        <v>0</v>
      </c>
      <c r="Y134" s="2">
        <f t="shared" si="15"/>
        <v>0</v>
      </c>
      <c r="Z134" s="2">
        <f t="shared" si="16"/>
        <v>0</v>
      </c>
      <c r="AA134" s="2">
        <f t="shared" si="14"/>
        <v>0</v>
      </c>
    </row>
    <row r="135" spans="10:27">
      <c r="J135" s="123"/>
      <c r="K135" s="123"/>
      <c r="T135" s="123"/>
      <c r="V135" s="2">
        <f t="shared" si="12"/>
        <v>19000100</v>
      </c>
      <c r="W135" s="2">
        <f t="shared" si="13"/>
        <v>0</v>
      </c>
      <c r="X135" s="2">
        <f>(SUMIF(F:F,IF(H:H="福禄20两全",F:F,0),险种!R:R)-SUMIFS(R:R,F:F,F:F,M:M,"&lt;=1"))*_xlfn.IFS(G:G=4126,1,OR(G:G&gt;4126,G:G&lt;4126),0)</f>
        <v>0</v>
      </c>
      <c r="Y135" s="2">
        <f t="shared" si="15"/>
        <v>0</v>
      </c>
      <c r="Z135" s="2">
        <f t="shared" si="16"/>
        <v>0</v>
      </c>
      <c r="AA135" s="2">
        <f t="shared" si="14"/>
        <v>0</v>
      </c>
    </row>
    <row r="136" spans="10:27">
      <c r="J136" s="123"/>
      <c r="K136" s="123"/>
      <c r="T136" s="123"/>
      <c r="V136" s="2">
        <f t="shared" si="12"/>
        <v>19000100</v>
      </c>
      <c r="W136" s="2">
        <f t="shared" si="13"/>
        <v>0</v>
      </c>
      <c r="X136" s="2">
        <f>(SUMIF(F:F,IF(H:H="福禄20两全",F:F,0),险种!R:R)-SUMIFS(R:R,F:F,F:F,M:M,"&lt;=1"))*_xlfn.IFS(G:G=4126,1,OR(G:G&gt;4126,G:G&lt;4126),0)</f>
        <v>0</v>
      </c>
      <c r="Y136" s="2">
        <f t="shared" si="15"/>
        <v>0</v>
      </c>
      <c r="Z136" s="2">
        <f t="shared" si="16"/>
        <v>0</v>
      </c>
      <c r="AA136" s="2">
        <f t="shared" si="14"/>
        <v>0</v>
      </c>
    </row>
    <row r="137" spans="10:27">
      <c r="J137" s="123"/>
      <c r="K137" s="123"/>
      <c r="T137" s="123"/>
      <c r="V137" s="2">
        <f t="shared" si="12"/>
        <v>19000100</v>
      </c>
      <c r="W137" s="2">
        <f t="shared" si="13"/>
        <v>0</v>
      </c>
      <c r="X137" s="2">
        <f>(SUMIF(F:F,IF(H:H="福禄20两全",F:F,0),险种!R:R)-SUMIFS(R:R,F:F,F:F,M:M,"&lt;=1"))*_xlfn.IFS(G:G=4126,1,OR(G:G&gt;4126,G:G&lt;4126),0)</f>
        <v>0</v>
      </c>
      <c r="Y137" s="2">
        <f t="shared" si="15"/>
        <v>0</v>
      </c>
      <c r="Z137" s="2">
        <f t="shared" si="16"/>
        <v>0</v>
      </c>
      <c r="AA137" s="2">
        <f t="shared" si="14"/>
        <v>0</v>
      </c>
    </row>
    <row r="138" spans="10:27">
      <c r="J138" s="1"/>
      <c r="K138" s="123"/>
      <c r="T138" s="123"/>
      <c r="V138" s="2">
        <f t="shared" si="12"/>
        <v>19000100</v>
      </c>
      <c r="W138" s="2">
        <f t="shared" si="13"/>
        <v>0</v>
      </c>
      <c r="X138" s="2">
        <f>(SUMIF(F:F,IF(H:H="福禄20两全",F:F,0),险种!R:R)-SUMIFS(R:R,F:F,F:F,M:M,"&lt;=1"))*_xlfn.IFS(G:G=4126,1,OR(G:G&gt;4126,G:G&lt;4126),0)</f>
        <v>0</v>
      </c>
      <c r="Y138" s="2">
        <f t="shared" si="15"/>
        <v>0</v>
      </c>
      <c r="Z138" s="2">
        <f t="shared" si="16"/>
        <v>0</v>
      </c>
      <c r="AA138" s="2">
        <f t="shared" si="14"/>
        <v>0</v>
      </c>
    </row>
    <row r="139" spans="10:27">
      <c r="J139" s="1"/>
      <c r="K139" s="123"/>
      <c r="T139" s="123"/>
      <c r="V139" s="2">
        <f t="shared" si="12"/>
        <v>19000100</v>
      </c>
      <c r="W139" s="2">
        <f t="shared" si="13"/>
        <v>0</v>
      </c>
      <c r="X139" s="2">
        <f>(SUMIF(F:F,IF(H:H="福禄20两全",F:F,0),险种!R:R)-SUMIFS(R:R,F:F,F:F,M:M,"&lt;=1"))*_xlfn.IFS(G:G=4126,1,OR(G:G&gt;4126,G:G&lt;4126),0)</f>
        <v>0</v>
      </c>
      <c r="Y139" s="2">
        <f t="shared" si="15"/>
        <v>0</v>
      </c>
      <c r="Z139" s="2">
        <f t="shared" si="16"/>
        <v>0</v>
      </c>
      <c r="AA139" s="2">
        <f t="shared" si="14"/>
        <v>0</v>
      </c>
    </row>
    <row r="140" spans="10:27">
      <c r="J140" s="123"/>
      <c r="K140" s="123"/>
      <c r="T140" s="123"/>
      <c r="V140" s="2">
        <f t="shared" si="12"/>
        <v>19000100</v>
      </c>
      <c r="W140" s="2">
        <f t="shared" si="13"/>
        <v>0</v>
      </c>
      <c r="X140" s="2">
        <f>(SUMIF(F:F,IF(H:H="福禄20两全",F:F,0),险种!R:R)-SUMIFS(R:R,F:F,F:F,M:M,"&lt;=1"))*_xlfn.IFS(G:G=4126,1,OR(G:G&gt;4126,G:G&lt;4126),0)</f>
        <v>0</v>
      </c>
      <c r="Y140" s="2">
        <f t="shared" si="15"/>
        <v>0</v>
      </c>
      <c r="Z140" s="2">
        <f t="shared" si="16"/>
        <v>0</v>
      </c>
      <c r="AA140" s="2">
        <f t="shared" si="14"/>
        <v>0</v>
      </c>
    </row>
    <row r="141" spans="10:27">
      <c r="J141" s="123"/>
      <c r="K141" s="123"/>
      <c r="T141" s="123"/>
      <c r="V141" s="2">
        <f t="shared" si="12"/>
        <v>19000100</v>
      </c>
      <c r="W141" s="2">
        <f t="shared" si="13"/>
        <v>0</v>
      </c>
      <c r="X141" s="2">
        <f>(SUMIF(F:F,IF(H:H="福禄20两全",F:F,0),险种!R:R)-SUMIFS(R:R,F:F,F:F,M:M,"&lt;=1"))*_xlfn.IFS(G:G=4126,1,OR(G:G&gt;4126,G:G&lt;4126),0)</f>
        <v>0</v>
      </c>
      <c r="Y141" s="2">
        <f t="shared" si="15"/>
        <v>0</v>
      </c>
      <c r="Z141" s="2">
        <f t="shared" si="16"/>
        <v>0</v>
      </c>
      <c r="AA141" s="2">
        <f t="shared" si="14"/>
        <v>0</v>
      </c>
    </row>
    <row r="142" spans="10:27">
      <c r="J142" s="123"/>
      <c r="K142" s="123"/>
      <c r="T142" s="123"/>
      <c r="V142" s="2">
        <f t="shared" si="12"/>
        <v>19000100</v>
      </c>
      <c r="W142" s="2">
        <f t="shared" si="13"/>
        <v>0</v>
      </c>
      <c r="X142" s="2">
        <f>(SUMIF(F:F,IF(H:H="福禄20两全",F:F,0),险种!R:R)-SUMIFS(R:R,F:F,F:F,M:M,"&lt;=1"))*_xlfn.IFS(G:G=4126,1,OR(G:G&gt;4126,G:G&lt;4126),0)</f>
        <v>0</v>
      </c>
      <c r="Y142" s="2">
        <f t="shared" si="15"/>
        <v>0</v>
      </c>
      <c r="Z142" s="2">
        <f t="shared" si="16"/>
        <v>0</v>
      </c>
      <c r="AA142" s="2">
        <f t="shared" si="14"/>
        <v>0</v>
      </c>
    </row>
    <row r="143" spans="10:27">
      <c r="J143" s="123"/>
      <c r="K143" s="123"/>
      <c r="T143" s="123"/>
      <c r="V143" s="2">
        <f t="shared" si="12"/>
        <v>19000100</v>
      </c>
      <c r="W143" s="2">
        <f t="shared" si="13"/>
        <v>0</v>
      </c>
      <c r="X143" s="2">
        <f>(SUMIF(F:F,IF(H:H="福禄20两全",F:F,0),险种!R:R)-SUMIFS(R:R,F:F,F:F,M:M,"&lt;=1"))*_xlfn.IFS(G:G=4126,1,OR(G:G&gt;4126,G:G&lt;4126),0)</f>
        <v>0</v>
      </c>
      <c r="Y143" s="2">
        <f t="shared" si="15"/>
        <v>0</v>
      </c>
      <c r="Z143" s="2">
        <f t="shared" si="16"/>
        <v>0</v>
      </c>
      <c r="AA143" s="2">
        <f t="shared" si="14"/>
        <v>0</v>
      </c>
    </row>
    <row r="144" spans="10:27">
      <c r="J144" s="123"/>
      <c r="K144" s="123"/>
      <c r="T144" s="123"/>
      <c r="V144" s="2">
        <f t="shared" ref="V144:V207" si="17">TEXT(J:J,"yyyymmdd")*1</f>
        <v>19000100</v>
      </c>
      <c r="W144" s="2">
        <f t="shared" ref="W144:W207" si="18">IF(AND(M:M&gt;1,R:R&gt;3000),1,0)-IF(AND(M:M&gt;1,R:R&gt;3000,G:G=4126),1,0)-IF(AND(M:M&gt;1,R:R&gt;3000,G:G=4127),1,0)+IF(X:X&gt;=3000,1,0)</f>
        <v>0</v>
      </c>
      <c r="X144" s="2">
        <f>(SUMIF(F:F,IF(H:H="福禄20两全",F:F,0),险种!R:R)-SUMIFS(R:R,F:F,F:F,M:M,"&lt;=1"))*_xlfn.IFS(G:G=4126,1,OR(G:G&gt;4126,G:G&lt;4126),0)</f>
        <v>0</v>
      </c>
      <c r="Y144" s="2">
        <f t="shared" si="15"/>
        <v>0</v>
      </c>
      <c r="Z144" s="2">
        <f t="shared" si="16"/>
        <v>0</v>
      </c>
      <c r="AA144" s="2">
        <f t="shared" si="14"/>
        <v>0</v>
      </c>
    </row>
    <row r="145" spans="10:27">
      <c r="J145" s="123"/>
      <c r="K145" s="123"/>
      <c r="T145" s="123"/>
      <c r="V145" s="2">
        <f t="shared" si="17"/>
        <v>19000100</v>
      </c>
      <c r="W145" s="2">
        <f t="shared" si="18"/>
        <v>0</v>
      </c>
      <c r="X145" s="2">
        <f>(SUMIF(F:F,IF(H:H="福禄20两全",F:F,0),险种!R:R)-SUMIFS(R:R,F:F,F:F,M:M,"&lt;=1"))*_xlfn.IFS(G:G=4126,1,OR(G:G&gt;4126,G:G&lt;4126),0)</f>
        <v>0</v>
      </c>
      <c r="Y145" s="2">
        <f t="shared" si="15"/>
        <v>0</v>
      </c>
      <c r="Z145" s="2">
        <f t="shared" si="16"/>
        <v>0</v>
      </c>
      <c r="AA145" s="2">
        <f t="shared" si="14"/>
        <v>0</v>
      </c>
    </row>
    <row r="146" spans="10:27">
      <c r="J146" s="123"/>
      <c r="K146" s="123"/>
      <c r="T146" s="123"/>
      <c r="V146" s="2">
        <f t="shared" si="17"/>
        <v>19000100</v>
      </c>
      <c r="W146" s="2">
        <f t="shared" si="18"/>
        <v>0</v>
      </c>
      <c r="X146" s="2">
        <f>(SUMIF(F:F,IF(H:H="福禄20两全",F:F,0),险种!R:R)-SUMIFS(R:R,F:F,F:F,M:M,"&lt;=1"))*_xlfn.IFS(G:G=4126,1,OR(G:G&gt;4126,G:G&lt;4126),0)</f>
        <v>0</v>
      </c>
      <c r="Y146" s="2">
        <f t="shared" si="15"/>
        <v>0</v>
      </c>
      <c r="Z146" s="2">
        <f t="shared" si="16"/>
        <v>0</v>
      </c>
      <c r="AA146" s="2">
        <f t="shared" si="14"/>
        <v>0</v>
      </c>
    </row>
    <row r="147" spans="10:27">
      <c r="J147" s="123"/>
      <c r="K147" s="123"/>
      <c r="T147" s="123"/>
      <c r="V147" s="2">
        <f t="shared" si="17"/>
        <v>19000100</v>
      </c>
      <c r="W147" s="2">
        <f t="shared" si="18"/>
        <v>0</v>
      </c>
      <c r="X147" s="2">
        <f>(SUMIF(F:F,IF(H:H="福禄20两全",F:F,0),险种!R:R)-SUMIFS(R:R,F:F,F:F,M:M,"&lt;=1"))*_xlfn.IFS(G:G=4126,1,OR(G:G&gt;4126,G:G&lt;4126),0)</f>
        <v>0</v>
      </c>
      <c r="Y147" s="2">
        <f t="shared" si="15"/>
        <v>0</v>
      </c>
      <c r="Z147" s="2">
        <f t="shared" si="16"/>
        <v>0</v>
      </c>
      <c r="AA147" s="2">
        <f t="shared" si="14"/>
        <v>0</v>
      </c>
    </row>
    <row r="148" spans="10:27">
      <c r="J148" s="123"/>
      <c r="K148" s="123"/>
      <c r="T148" s="123"/>
      <c r="V148" s="2">
        <f t="shared" si="17"/>
        <v>19000100</v>
      </c>
      <c r="W148" s="2">
        <f t="shared" si="18"/>
        <v>0</v>
      </c>
      <c r="X148" s="2">
        <f>(SUMIF(F:F,IF(H:H="福禄20两全",F:F,0),险种!R:R)-SUMIFS(R:R,F:F,F:F,M:M,"&lt;=1"))*_xlfn.IFS(G:G=4126,1,OR(G:G&gt;4126,G:G&lt;4126),0)</f>
        <v>0</v>
      </c>
      <c r="Y148" s="2">
        <f t="shared" si="15"/>
        <v>0</v>
      </c>
      <c r="Z148" s="2">
        <f t="shared" si="16"/>
        <v>0</v>
      </c>
      <c r="AA148" s="2">
        <f t="shared" si="14"/>
        <v>0</v>
      </c>
    </row>
    <row r="149" spans="10:27">
      <c r="J149" s="123"/>
      <c r="V149" s="2">
        <f t="shared" si="17"/>
        <v>19000100</v>
      </c>
      <c r="W149" s="2">
        <f t="shared" si="18"/>
        <v>0</v>
      </c>
      <c r="X149" s="2">
        <f>(SUMIF(F:F,IF(H:H="福禄20两全",F:F,0),险种!R:R)-SUMIFS(R:R,F:F,F:F,M:M,"&lt;=1"))*_xlfn.IFS(G:G=4126,1,OR(G:G&gt;4126,G:G&lt;4126),0)</f>
        <v>0</v>
      </c>
      <c r="Y149" s="2">
        <f t="shared" si="15"/>
        <v>0</v>
      </c>
      <c r="Z149" s="2">
        <f t="shared" si="16"/>
        <v>0</v>
      </c>
      <c r="AA149" s="2">
        <f t="shared" si="14"/>
        <v>0</v>
      </c>
    </row>
    <row r="150" spans="10:27">
      <c r="J150" s="123"/>
      <c r="V150" s="2">
        <f t="shared" si="17"/>
        <v>19000100</v>
      </c>
      <c r="W150" s="2">
        <f t="shared" si="18"/>
        <v>0</v>
      </c>
      <c r="X150" s="2">
        <f>(SUMIF(F:F,IF(H:H="福禄20两全",F:F,0),险种!R:R)-SUMIFS(R:R,F:F,F:F,M:M,"&lt;=1"))*_xlfn.IFS(G:G=4126,1,OR(G:G&gt;4126,G:G&lt;4126),0)</f>
        <v>0</v>
      </c>
      <c r="Y150" s="2">
        <f t="shared" si="15"/>
        <v>0</v>
      </c>
      <c r="Z150" s="2">
        <f t="shared" si="16"/>
        <v>0</v>
      </c>
      <c r="AA150" s="2">
        <f t="shared" si="14"/>
        <v>0</v>
      </c>
    </row>
    <row r="151" spans="10:27">
      <c r="J151" s="123"/>
      <c r="V151" s="2">
        <f t="shared" si="17"/>
        <v>19000100</v>
      </c>
      <c r="W151" s="2">
        <f t="shared" si="18"/>
        <v>0</v>
      </c>
      <c r="X151" s="2">
        <f>(SUMIF(F:F,IF(H:H="福禄20两全",F:F,0),险种!R:R)-SUMIFS(R:R,F:F,F:F,M:M,"&lt;=1"))*_xlfn.IFS(G:G=4126,1,OR(G:G&gt;4126,G:G&lt;4126),0)</f>
        <v>0</v>
      </c>
      <c r="Y151" s="2">
        <f t="shared" si="15"/>
        <v>0</v>
      </c>
      <c r="Z151" s="2">
        <f t="shared" si="16"/>
        <v>0</v>
      </c>
      <c r="AA151" s="2">
        <f t="shared" si="14"/>
        <v>0</v>
      </c>
    </row>
    <row r="152" spans="10:27">
      <c r="J152" s="123"/>
      <c r="K152" s="123"/>
      <c r="T152" s="123"/>
      <c r="V152" s="2">
        <f t="shared" si="17"/>
        <v>19000100</v>
      </c>
      <c r="W152" s="2">
        <f t="shared" si="18"/>
        <v>0</v>
      </c>
      <c r="X152" s="2">
        <f>(SUMIF(F:F,IF(H:H="福禄20两全",F:F,0),险种!R:R)-SUMIFS(R:R,F:F,F:F,M:M,"&lt;=1"))*_xlfn.IFS(G:G=4126,1,OR(G:G&gt;4126,G:G&lt;4126),0)</f>
        <v>0</v>
      </c>
      <c r="Y152" s="2">
        <f t="shared" si="15"/>
        <v>0</v>
      </c>
      <c r="Z152" s="2">
        <f t="shared" si="16"/>
        <v>0</v>
      </c>
      <c r="AA152" s="2">
        <f t="shared" si="14"/>
        <v>0</v>
      </c>
    </row>
    <row r="153" spans="10:27">
      <c r="J153" s="123"/>
      <c r="K153" s="123"/>
      <c r="T153" s="123"/>
      <c r="V153" s="2">
        <f t="shared" si="17"/>
        <v>19000100</v>
      </c>
      <c r="W153" s="2">
        <f t="shared" si="18"/>
        <v>0</v>
      </c>
      <c r="X153" s="2">
        <f>(SUMIF(F:F,IF(H:H="福禄20两全",F:F,0),险种!R:R)-SUMIFS(R:R,F:F,F:F,M:M,"&lt;=1"))*_xlfn.IFS(G:G=4126,1,OR(G:G&gt;4126,G:G&lt;4126),0)</f>
        <v>0</v>
      </c>
      <c r="Y153" s="2">
        <f t="shared" si="15"/>
        <v>0</v>
      </c>
      <c r="Z153" s="2">
        <f t="shared" si="16"/>
        <v>0</v>
      </c>
      <c r="AA153" s="2">
        <f t="shared" si="14"/>
        <v>0</v>
      </c>
    </row>
    <row r="154" spans="10:27">
      <c r="J154" s="123"/>
      <c r="K154" s="123"/>
      <c r="T154" s="123"/>
      <c r="V154" s="2">
        <f t="shared" si="17"/>
        <v>19000100</v>
      </c>
      <c r="W154" s="2">
        <f t="shared" si="18"/>
        <v>0</v>
      </c>
      <c r="X154" s="2">
        <f>(SUMIF(F:F,IF(H:H="福禄20两全",F:F,0),险种!R:R)-SUMIFS(R:R,F:F,F:F,M:M,"&lt;=1"))*_xlfn.IFS(G:G=4126,1,OR(G:G&gt;4126,G:G&lt;4126),0)</f>
        <v>0</v>
      </c>
      <c r="Y154" s="2">
        <f t="shared" si="15"/>
        <v>0</v>
      </c>
      <c r="Z154" s="2">
        <f t="shared" si="16"/>
        <v>0</v>
      </c>
      <c r="AA154" s="2">
        <f t="shared" si="14"/>
        <v>0</v>
      </c>
    </row>
    <row r="155" spans="10:27">
      <c r="J155" s="123"/>
      <c r="K155" s="123"/>
      <c r="T155" s="123"/>
      <c r="V155" s="2">
        <f t="shared" si="17"/>
        <v>19000100</v>
      </c>
      <c r="W155" s="2">
        <f t="shared" si="18"/>
        <v>0</v>
      </c>
      <c r="X155" s="2">
        <f>(SUMIF(F:F,IF(H:H="福禄20两全",F:F,0),险种!R:R)-SUMIFS(R:R,F:F,F:F,M:M,"&lt;=1"))*_xlfn.IFS(G:G=4126,1,OR(G:G&gt;4126,G:G&lt;4126),0)</f>
        <v>0</v>
      </c>
      <c r="Y155" s="2">
        <f t="shared" si="15"/>
        <v>0</v>
      </c>
      <c r="Z155" s="2">
        <f t="shared" si="16"/>
        <v>0</v>
      </c>
      <c r="AA155" s="2">
        <f t="shared" si="14"/>
        <v>0</v>
      </c>
    </row>
    <row r="156" spans="10:27">
      <c r="J156" s="123"/>
      <c r="K156" s="123"/>
      <c r="T156" s="123"/>
      <c r="V156" s="2">
        <f t="shared" si="17"/>
        <v>19000100</v>
      </c>
      <c r="W156" s="2">
        <f t="shared" si="18"/>
        <v>0</v>
      </c>
      <c r="X156" s="2">
        <f>(SUMIF(F:F,IF(H:H="福禄20两全",F:F,0),险种!R:R)-SUMIFS(R:R,F:F,F:F,M:M,"&lt;=1"))*_xlfn.IFS(G:G=4126,1,OR(G:G&gt;4126,G:G&lt;4126),0)</f>
        <v>0</v>
      </c>
      <c r="Y156" s="2">
        <f t="shared" si="15"/>
        <v>0</v>
      </c>
      <c r="Z156" s="2">
        <f t="shared" si="16"/>
        <v>0</v>
      </c>
      <c r="AA156" s="2">
        <f t="shared" si="14"/>
        <v>0</v>
      </c>
    </row>
    <row r="157" spans="10:27">
      <c r="J157" s="123"/>
      <c r="K157" s="123"/>
      <c r="T157" s="123"/>
      <c r="V157" s="2">
        <f t="shared" si="17"/>
        <v>19000100</v>
      </c>
      <c r="W157" s="2">
        <f t="shared" si="18"/>
        <v>0</v>
      </c>
      <c r="X157" s="2">
        <f>(SUMIF(F:F,IF(H:H="福禄20两全",F:F,0),险种!R:R)-SUMIFS(R:R,F:F,F:F,M:M,"&lt;=1"))*_xlfn.IFS(G:G=4126,1,OR(G:G&gt;4126,G:G&lt;4126),0)</f>
        <v>0</v>
      </c>
      <c r="Y157" s="2">
        <f t="shared" si="15"/>
        <v>0</v>
      </c>
      <c r="Z157" s="2">
        <f t="shared" si="16"/>
        <v>0</v>
      </c>
      <c r="AA157" s="2">
        <f t="shared" si="14"/>
        <v>0</v>
      </c>
    </row>
    <row r="158" spans="10:27">
      <c r="J158" s="123"/>
      <c r="K158" s="123"/>
      <c r="T158" s="123"/>
      <c r="V158" s="2">
        <f t="shared" si="17"/>
        <v>19000100</v>
      </c>
      <c r="W158" s="2">
        <f t="shared" si="18"/>
        <v>0</v>
      </c>
      <c r="X158" s="2">
        <f>(SUMIF(F:F,IF(H:H="福禄20两全",F:F,0),险种!R:R)-SUMIFS(R:R,F:F,F:F,M:M,"&lt;=1"))*_xlfn.IFS(G:G=4126,1,OR(G:G&gt;4126,G:G&lt;4126),0)</f>
        <v>0</v>
      </c>
      <c r="Y158" s="2">
        <f t="shared" si="15"/>
        <v>0</v>
      </c>
      <c r="Z158" s="2">
        <f t="shared" si="16"/>
        <v>0</v>
      </c>
      <c r="AA158" s="2">
        <f t="shared" si="14"/>
        <v>0</v>
      </c>
    </row>
    <row r="159" spans="10:27">
      <c r="J159" s="123"/>
      <c r="K159" s="123"/>
      <c r="T159" s="123"/>
      <c r="V159" s="2">
        <f t="shared" si="17"/>
        <v>19000100</v>
      </c>
      <c r="W159" s="2">
        <f t="shared" si="18"/>
        <v>0</v>
      </c>
      <c r="X159" s="2">
        <f>(SUMIF(F:F,IF(H:H="福禄20两全",F:F,0),险种!R:R)-SUMIFS(R:R,F:F,F:F,M:M,"&lt;=1"))*_xlfn.IFS(G:G=4126,1,OR(G:G&gt;4126,G:G&lt;4126),0)</f>
        <v>0</v>
      </c>
      <c r="Y159" s="2">
        <f t="shared" si="15"/>
        <v>0</v>
      </c>
      <c r="Z159" s="2">
        <f t="shared" si="16"/>
        <v>0</v>
      </c>
      <c r="AA159" s="2">
        <f t="shared" si="14"/>
        <v>0</v>
      </c>
    </row>
    <row r="160" spans="10:27">
      <c r="J160" s="123"/>
      <c r="K160" s="123"/>
      <c r="T160" s="123"/>
      <c r="V160" s="2">
        <f t="shared" si="17"/>
        <v>19000100</v>
      </c>
      <c r="W160" s="2">
        <f t="shared" si="18"/>
        <v>0</v>
      </c>
      <c r="X160" s="2">
        <f>(SUMIF(F:F,IF(H:H="福禄20两全",F:F,0),险种!R:R)-SUMIFS(R:R,F:F,F:F,M:M,"&lt;=1"))*_xlfn.IFS(G:G=4126,1,OR(G:G&gt;4126,G:G&lt;4126),0)</f>
        <v>0</v>
      </c>
      <c r="Y160" s="2">
        <f t="shared" si="15"/>
        <v>0</v>
      </c>
      <c r="Z160" s="2">
        <f t="shared" si="16"/>
        <v>0</v>
      </c>
      <c r="AA160" s="2">
        <f t="shared" si="14"/>
        <v>0</v>
      </c>
    </row>
    <row r="161" spans="10:27">
      <c r="J161" s="123"/>
      <c r="K161" s="123"/>
      <c r="T161" s="123"/>
      <c r="V161" s="2">
        <f t="shared" si="17"/>
        <v>19000100</v>
      </c>
      <c r="W161" s="2">
        <f t="shared" si="18"/>
        <v>0</v>
      </c>
      <c r="X161" s="2">
        <f>(SUMIF(F:F,IF(H:H="福禄20两全",F:F,0),险种!R:R)-SUMIFS(R:R,F:F,F:F,M:M,"&lt;=1"))*_xlfn.IFS(G:G=4126,1,OR(G:G&gt;4126,G:G&lt;4126),0)</f>
        <v>0</v>
      </c>
      <c r="Y161" s="2">
        <f t="shared" si="15"/>
        <v>0</v>
      </c>
      <c r="Z161" s="2">
        <f t="shared" si="16"/>
        <v>0</v>
      </c>
      <c r="AA161" s="2">
        <f t="shared" si="14"/>
        <v>0</v>
      </c>
    </row>
    <row r="162" spans="10:27">
      <c r="J162" s="1"/>
      <c r="K162" s="123"/>
      <c r="T162" s="123"/>
      <c r="V162" s="2">
        <f t="shared" si="17"/>
        <v>19000100</v>
      </c>
      <c r="W162" s="2">
        <f t="shared" si="18"/>
        <v>0</v>
      </c>
      <c r="X162" s="2">
        <f>(SUMIF(F:F,IF(H:H="福禄20两全",F:F,0),险种!R:R)-SUMIFS(R:R,F:F,F:F,M:M,"&lt;=1"))*_xlfn.IFS(G:G=4126,1,OR(G:G&gt;4126,G:G&lt;4126),0)</f>
        <v>0</v>
      </c>
      <c r="Y162" s="2">
        <f t="shared" si="15"/>
        <v>0</v>
      </c>
      <c r="Z162" s="2">
        <f t="shared" si="16"/>
        <v>0</v>
      </c>
      <c r="AA162" s="2">
        <f t="shared" si="14"/>
        <v>0</v>
      </c>
    </row>
    <row r="163" spans="10:27">
      <c r="J163" s="123"/>
      <c r="K163" s="123"/>
      <c r="T163" s="123"/>
      <c r="V163" s="2">
        <f t="shared" si="17"/>
        <v>19000100</v>
      </c>
      <c r="W163" s="2">
        <f t="shared" si="18"/>
        <v>0</v>
      </c>
      <c r="X163" s="2">
        <f>(SUMIF(F:F,IF(H:H="福禄20两全",F:F,0),险种!R:R)-SUMIFS(R:R,F:F,F:F,M:M,"&lt;=1"))*_xlfn.IFS(G:G=4126,1,OR(G:G&gt;4126,G:G&lt;4126),0)</f>
        <v>0</v>
      </c>
      <c r="Y163" s="2">
        <f t="shared" si="15"/>
        <v>0</v>
      </c>
      <c r="Z163" s="2">
        <f t="shared" si="16"/>
        <v>0</v>
      </c>
      <c r="AA163" s="2">
        <f t="shared" ref="AA163:AA226" si="19">ROUNDDOWN(IF(AND(R:R&gt;=1000,M:M&gt;1),R:R,0)/1000,0)*IF(OR(G:G=4126,G:G=4127),0,1)+ROUNDDOWN(X:X/1000,)</f>
        <v>0</v>
      </c>
    </row>
    <row r="164" spans="10:27">
      <c r="J164" s="123"/>
      <c r="K164" s="123"/>
      <c r="T164" s="123"/>
      <c r="V164" s="2">
        <f t="shared" si="17"/>
        <v>19000100</v>
      </c>
      <c r="W164" s="2">
        <f t="shared" si="18"/>
        <v>0</v>
      </c>
      <c r="X164" s="2">
        <f>(SUMIF(F:F,IF(H:H="福禄20两全",F:F,0),险种!R:R)-SUMIFS(R:R,F:F,F:F,M:M,"&lt;=1"))*_xlfn.IFS(G:G=4126,1,OR(G:G&gt;4126,G:G&lt;4126),0)</f>
        <v>0</v>
      </c>
      <c r="Y164" s="2">
        <f t="shared" si="15"/>
        <v>0</v>
      </c>
      <c r="Z164" s="2">
        <f t="shared" si="16"/>
        <v>0</v>
      </c>
      <c r="AA164" s="2">
        <f t="shared" si="19"/>
        <v>0</v>
      </c>
    </row>
    <row r="165" spans="10:27">
      <c r="J165" s="123"/>
      <c r="K165" s="123"/>
      <c r="T165" s="123"/>
      <c r="V165" s="2">
        <f t="shared" si="17"/>
        <v>19000100</v>
      </c>
      <c r="W165" s="2">
        <f t="shared" si="18"/>
        <v>0</v>
      </c>
      <c r="X165" s="2">
        <f>(SUMIF(F:F,IF(H:H="福禄20两全",F:F,0),险种!R:R)-SUMIFS(R:R,F:F,F:F,M:M,"&lt;=1"))*_xlfn.IFS(G:G=4126,1,OR(G:G&gt;4126,G:G&lt;4126),0)</f>
        <v>0</v>
      </c>
      <c r="Y165" s="2">
        <f t="shared" si="15"/>
        <v>0</v>
      </c>
      <c r="Z165" s="2">
        <f t="shared" si="16"/>
        <v>0</v>
      </c>
      <c r="AA165" s="2">
        <f t="shared" si="19"/>
        <v>0</v>
      </c>
    </row>
    <row r="166" spans="10:27">
      <c r="J166" s="123"/>
      <c r="K166" s="123"/>
      <c r="T166" s="123"/>
      <c r="V166" s="2">
        <f t="shared" si="17"/>
        <v>19000100</v>
      </c>
      <c r="W166" s="2">
        <f t="shared" si="18"/>
        <v>0</v>
      </c>
      <c r="X166" s="2">
        <f>(SUMIF(F:F,IF(H:H="福禄20两全",F:F,0),险种!R:R)-SUMIFS(R:R,F:F,F:F,M:M,"&lt;=1"))*_xlfn.IFS(G:G=4126,1,OR(G:G&gt;4126,G:G&lt;4126),0)</f>
        <v>0</v>
      </c>
      <c r="Y166" s="2">
        <f t="shared" si="15"/>
        <v>0</v>
      </c>
      <c r="Z166" s="2">
        <f t="shared" si="16"/>
        <v>0</v>
      </c>
      <c r="AA166" s="2">
        <f t="shared" si="19"/>
        <v>0</v>
      </c>
    </row>
    <row r="167" spans="10:27">
      <c r="J167" s="123"/>
      <c r="K167" s="123"/>
      <c r="T167" s="123"/>
      <c r="V167" s="2">
        <f t="shared" si="17"/>
        <v>19000100</v>
      </c>
      <c r="W167" s="2">
        <f t="shared" si="18"/>
        <v>0</v>
      </c>
      <c r="X167" s="2">
        <f>(SUMIF(F:F,IF(H:H="福禄20两全",F:F,0),险种!R:R)-SUMIFS(R:R,F:F,F:F,M:M,"&lt;=1"))*_xlfn.IFS(G:G=4126,1,OR(G:G&gt;4126,G:G&lt;4126),0)</f>
        <v>0</v>
      </c>
      <c r="Y167" s="2">
        <f t="shared" si="15"/>
        <v>0</v>
      </c>
      <c r="Z167" s="2">
        <f t="shared" si="16"/>
        <v>0</v>
      </c>
      <c r="AA167" s="2">
        <f t="shared" si="19"/>
        <v>0</v>
      </c>
    </row>
    <row r="168" spans="10:27">
      <c r="J168" s="123"/>
      <c r="K168" s="123"/>
      <c r="T168" s="123"/>
      <c r="V168" s="2">
        <f t="shared" si="17"/>
        <v>19000100</v>
      </c>
      <c r="W168" s="2">
        <f t="shared" si="18"/>
        <v>0</v>
      </c>
      <c r="X168" s="2">
        <f>(SUMIF(F:F,IF(H:H="福禄20两全",F:F,0),险种!R:R)-SUMIFS(R:R,F:F,F:F,M:M,"&lt;=1"))*_xlfn.IFS(G:G=4126,1,OR(G:G&gt;4126,G:G&lt;4126),0)</f>
        <v>0</v>
      </c>
      <c r="Y168" s="2">
        <f t="shared" si="15"/>
        <v>0</v>
      </c>
      <c r="Z168" s="2">
        <f t="shared" si="16"/>
        <v>0</v>
      </c>
      <c r="AA168" s="2">
        <f t="shared" si="19"/>
        <v>0</v>
      </c>
    </row>
    <row r="169" spans="10:27">
      <c r="J169" s="123"/>
      <c r="K169" s="123"/>
      <c r="T169" s="123"/>
      <c r="V169" s="2">
        <f t="shared" si="17"/>
        <v>19000100</v>
      </c>
      <c r="W169" s="2">
        <f t="shared" si="18"/>
        <v>0</v>
      </c>
      <c r="X169" s="2">
        <f>(SUMIF(F:F,IF(H:H="福禄20两全",F:F,0),险种!R:R)-SUMIFS(R:R,F:F,F:F,M:M,"&lt;=1"))*_xlfn.IFS(G:G=4126,1,OR(G:G&gt;4126,G:G&lt;4126),0)</f>
        <v>0</v>
      </c>
      <c r="Y169" s="2">
        <f t="shared" si="15"/>
        <v>0</v>
      </c>
      <c r="Z169" s="2">
        <f t="shared" si="16"/>
        <v>0</v>
      </c>
      <c r="AA169" s="2">
        <f t="shared" si="19"/>
        <v>0</v>
      </c>
    </row>
    <row r="170" spans="10:27">
      <c r="J170" s="123"/>
      <c r="K170" s="123"/>
      <c r="T170" s="123"/>
      <c r="V170" s="2">
        <f t="shared" si="17"/>
        <v>19000100</v>
      </c>
      <c r="W170" s="2">
        <f t="shared" si="18"/>
        <v>0</v>
      </c>
      <c r="X170" s="2">
        <f>(SUMIF(F:F,IF(H:H="福禄20两全",F:F,0),险种!R:R)-SUMIFS(R:R,F:F,F:F,M:M,"&lt;=1"))*_xlfn.IFS(G:G=4126,1,OR(G:G&gt;4126,G:G&lt;4126),0)</f>
        <v>0</v>
      </c>
      <c r="Y170" s="2">
        <f t="shared" si="15"/>
        <v>0</v>
      </c>
      <c r="Z170" s="2">
        <f t="shared" si="16"/>
        <v>0</v>
      </c>
      <c r="AA170" s="2">
        <f t="shared" si="19"/>
        <v>0</v>
      </c>
    </row>
    <row r="171" spans="10:27">
      <c r="J171" s="123"/>
      <c r="K171" s="123"/>
      <c r="T171" s="123"/>
      <c r="V171" s="2">
        <f t="shared" si="17"/>
        <v>19000100</v>
      </c>
      <c r="W171" s="2">
        <f t="shared" si="18"/>
        <v>0</v>
      </c>
      <c r="X171" s="2">
        <f>(SUMIF(F:F,IF(H:H="福禄20两全",F:F,0),险种!R:R)-SUMIFS(R:R,F:F,F:F,M:M,"&lt;=1"))*_xlfn.IFS(G:G=4126,1,OR(G:G&gt;4126,G:G&lt;4126),0)</f>
        <v>0</v>
      </c>
      <c r="Y171" s="2">
        <f t="shared" si="15"/>
        <v>0</v>
      </c>
      <c r="Z171" s="2">
        <f t="shared" si="16"/>
        <v>0</v>
      </c>
      <c r="AA171" s="2">
        <f t="shared" si="19"/>
        <v>0</v>
      </c>
    </row>
    <row r="172" spans="10:27">
      <c r="J172" s="123"/>
      <c r="K172" s="123"/>
      <c r="T172" s="123"/>
      <c r="V172" s="2">
        <f t="shared" si="17"/>
        <v>19000100</v>
      </c>
      <c r="W172" s="2">
        <f t="shared" si="18"/>
        <v>0</v>
      </c>
      <c r="X172" s="2">
        <f>(SUMIF(F:F,IF(H:H="福禄20两全",F:F,0),险种!R:R)-SUMIFS(R:R,F:F,F:F,M:M,"&lt;=1"))*_xlfn.IFS(G:G=4126,1,OR(G:G&gt;4126,G:G&lt;4126),0)</f>
        <v>0</v>
      </c>
      <c r="Y172" s="2">
        <f t="shared" si="15"/>
        <v>0</v>
      </c>
      <c r="Z172" s="2">
        <f t="shared" si="16"/>
        <v>0</v>
      </c>
      <c r="AA172" s="2">
        <f t="shared" si="19"/>
        <v>0</v>
      </c>
    </row>
    <row r="173" spans="10:27">
      <c r="J173" s="123"/>
      <c r="V173" s="2">
        <f t="shared" si="17"/>
        <v>19000100</v>
      </c>
      <c r="W173" s="2">
        <f t="shared" si="18"/>
        <v>0</v>
      </c>
      <c r="X173" s="2">
        <f>(SUMIF(F:F,IF(H:H="福禄20两全",F:F,0),险种!R:R)-SUMIFS(R:R,F:F,F:F,M:M,"&lt;=1"))*_xlfn.IFS(G:G=4126,1,OR(G:G&gt;4126,G:G&lt;4126),0)</f>
        <v>0</v>
      </c>
      <c r="Y173" s="2">
        <f t="shared" si="15"/>
        <v>0</v>
      </c>
      <c r="Z173" s="2">
        <f t="shared" si="16"/>
        <v>0</v>
      </c>
      <c r="AA173" s="2">
        <f t="shared" si="19"/>
        <v>0</v>
      </c>
    </row>
    <row r="174" spans="10:27">
      <c r="J174" s="123"/>
      <c r="V174" s="2">
        <f t="shared" si="17"/>
        <v>19000100</v>
      </c>
      <c r="W174" s="2">
        <f t="shared" si="18"/>
        <v>0</v>
      </c>
      <c r="X174" s="2">
        <f>(SUMIF(F:F,IF(H:H="福禄20两全",F:F,0),险种!R:R)-SUMIFS(R:R,F:F,F:F,M:M,"&lt;=1"))*_xlfn.IFS(G:G=4126,1,OR(G:G&gt;4126,G:G&lt;4126),0)</f>
        <v>0</v>
      </c>
      <c r="Y174" s="2">
        <f t="shared" si="15"/>
        <v>0</v>
      </c>
      <c r="Z174" s="2">
        <f t="shared" si="16"/>
        <v>0</v>
      </c>
      <c r="AA174" s="2">
        <f t="shared" si="19"/>
        <v>0</v>
      </c>
    </row>
    <row r="175" spans="10:27">
      <c r="J175" s="123"/>
      <c r="V175" s="2">
        <f t="shared" si="17"/>
        <v>19000100</v>
      </c>
      <c r="W175" s="2">
        <f t="shared" si="18"/>
        <v>0</v>
      </c>
      <c r="X175" s="2">
        <f>(SUMIF(F:F,IF(H:H="福禄20两全",F:F,0),险种!R:R)-SUMIFS(R:R,F:F,F:F,M:M,"&lt;=1"))*_xlfn.IFS(G:G=4126,1,OR(G:G&gt;4126,G:G&lt;4126),0)</f>
        <v>0</v>
      </c>
      <c r="Y175" s="2">
        <f t="shared" si="15"/>
        <v>0</v>
      </c>
      <c r="Z175" s="2">
        <f t="shared" si="16"/>
        <v>0</v>
      </c>
      <c r="AA175" s="2">
        <f t="shared" si="19"/>
        <v>0</v>
      </c>
    </row>
    <row r="176" spans="10:27">
      <c r="J176" s="123"/>
      <c r="K176" s="123"/>
      <c r="T176" s="123"/>
      <c r="V176" s="2">
        <f t="shared" si="17"/>
        <v>19000100</v>
      </c>
      <c r="W176" s="2">
        <f t="shared" si="18"/>
        <v>0</v>
      </c>
      <c r="X176" s="2">
        <f>(SUMIF(F:F,IF(H:H="福禄20两全",F:F,0),险种!R:R)-SUMIFS(R:R,F:F,F:F,M:M,"&lt;=1"))*_xlfn.IFS(G:G=4126,1,OR(G:G&gt;4126,G:G&lt;4126),0)</f>
        <v>0</v>
      </c>
      <c r="Y176" s="2">
        <f t="shared" si="15"/>
        <v>0</v>
      </c>
      <c r="Z176" s="2">
        <f t="shared" si="16"/>
        <v>0</v>
      </c>
      <c r="AA176" s="2">
        <f t="shared" si="19"/>
        <v>0</v>
      </c>
    </row>
    <row r="177" spans="10:27">
      <c r="J177" s="123"/>
      <c r="K177" s="123"/>
      <c r="T177" s="123"/>
      <c r="V177" s="2">
        <f t="shared" si="17"/>
        <v>19000100</v>
      </c>
      <c r="W177" s="2">
        <f t="shared" si="18"/>
        <v>0</v>
      </c>
      <c r="X177" s="2">
        <f>(SUMIF(F:F,IF(H:H="福禄20两全",F:F,0),险种!R:R)-SUMIFS(R:R,F:F,F:F,M:M,"&lt;=1"))*_xlfn.IFS(G:G=4126,1,OR(G:G&gt;4126,G:G&lt;4126),0)</f>
        <v>0</v>
      </c>
      <c r="Y177" s="2">
        <f t="shared" si="15"/>
        <v>0</v>
      </c>
      <c r="Z177" s="2">
        <f t="shared" si="16"/>
        <v>0</v>
      </c>
      <c r="AA177" s="2">
        <f t="shared" si="19"/>
        <v>0</v>
      </c>
    </row>
    <row r="178" spans="10:27">
      <c r="J178" s="123"/>
      <c r="K178" s="123"/>
      <c r="T178" s="123"/>
      <c r="V178" s="2">
        <f t="shared" si="17"/>
        <v>19000100</v>
      </c>
      <c r="W178" s="2">
        <f t="shared" si="18"/>
        <v>0</v>
      </c>
      <c r="X178" s="2">
        <f>(SUMIF(F:F,IF(H:H="福禄20两全",F:F,0),险种!R:R)-SUMIFS(R:R,F:F,F:F,M:M,"&lt;=1"))*_xlfn.IFS(G:G=4126,1,OR(G:G&gt;4126,G:G&lt;4126),0)</f>
        <v>0</v>
      </c>
      <c r="Y178" s="2">
        <f t="shared" si="15"/>
        <v>0</v>
      </c>
      <c r="Z178" s="2">
        <f t="shared" si="16"/>
        <v>0</v>
      </c>
      <c r="AA178" s="2">
        <f t="shared" si="19"/>
        <v>0</v>
      </c>
    </row>
    <row r="179" spans="10:27">
      <c r="J179" s="123"/>
      <c r="V179" s="2">
        <f t="shared" si="17"/>
        <v>19000100</v>
      </c>
      <c r="W179" s="2">
        <f t="shared" si="18"/>
        <v>0</v>
      </c>
      <c r="X179" s="2">
        <f>(SUMIF(F:F,IF(H:H="福禄20两全",F:F,0),险种!R:R)-SUMIFS(R:R,F:F,F:F,M:M,"&lt;=1"))*_xlfn.IFS(G:G=4126,1,OR(G:G&gt;4126,G:G&lt;4126),0)</f>
        <v>0</v>
      </c>
      <c r="Y179" s="2">
        <f t="shared" si="15"/>
        <v>0</v>
      </c>
      <c r="Z179" s="2">
        <f t="shared" si="16"/>
        <v>0</v>
      </c>
      <c r="AA179" s="2">
        <f t="shared" si="19"/>
        <v>0</v>
      </c>
    </row>
    <row r="180" spans="10:27">
      <c r="J180" s="123"/>
      <c r="V180" s="2">
        <f t="shared" si="17"/>
        <v>19000100</v>
      </c>
      <c r="W180" s="2">
        <f t="shared" si="18"/>
        <v>0</v>
      </c>
      <c r="X180" s="2">
        <f>(SUMIF(F:F,IF(H:H="福禄20两全",F:F,0),险种!R:R)-SUMIFS(R:R,F:F,F:F,M:M,"&lt;=1"))*_xlfn.IFS(G:G=4126,1,OR(G:G&gt;4126,G:G&lt;4126),0)</f>
        <v>0</v>
      </c>
      <c r="Y180" s="2">
        <f t="shared" si="15"/>
        <v>0</v>
      </c>
      <c r="Z180" s="2">
        <f t="shared" si="16"/>
        <v>0</v>
      </c>
      <c r="AA180" s="2">
        <f t="shared" si="19"/>
        <v>0</v>
      </c>
    </row>
    <row r="181" spans="10:27">
      <c r="J181" s="123"/>
      <c r="V181" s="2">
        <f t="shared" si="17"/>
        <v>19000100</v>
      </c>
      <c r="W181" s="2">
        <f t="shared" si="18"/>
        <v>0</v>
      </c>
      <c r="X181" s="2">
        <f>(SUMIF(F:F,IF(H:H="福禄20两全",F:F,0),险种!R:R)-SUMIFS(R:R,F:F,F:F,M:M,"&lt;=1"))*_xlfn.IFS(G:G=4126,1,OR(G:G&gt;4126,G:G&lt;4126),0)</f>
        <v>0</v>
      </c>
      <c r="Y181" s="2">
        <f t="shared" si="15"/>
        <v>0</v>
      </c>
      <c r="Z181" s="2">
        <f t="shared" si="16"/>
        <v>0</v>
      </c>
      <c r="AA181" s="2">
        <f t="shared" si="19"/>
        <v>0</v>
      </c>
    </row>
    <row r="182" spans="10:27">
      <c r="J182" s="1"/>
      <c r="K182" s="123"/>
      <c r="T182" s="123"/>
      <c r="V182" s="2">
        <f t="shared" si="17"/>
        <v>19000100</v>
      </c>
      <c r="W182" s="2">
        <f t="shared" si="18"/>
        <v>0</v>
      </c>
      <c r="X182" s="2">
        <f>(SUMIF(F:F,IF(H:H="福禄20两全",F:F,0),险种!R:R)-SUMIFS(R:R,F:F,F:F,M:M,"&lt;=1"))*_xlfn.IFS(G:G=4126,1,OR(G:G&gt;4126,G:G&lt;4126),0)</f>
        <v>0</v>
      </c>
      <c r="Y182" s="2">
        <f t="shared" si="15"/>
        <v>0</v>
      </c>
      <c r="Z182" s="2">
        <f t="shared" si="16"/>
        <v>0</v>
      </c>
      <c r="AA182" s="2">
        <f t="shared" si="19"/>
        <v>0</v>
      </c>
    </row>
    <row r="183" spans="10:27">
      <c r="J183" s="123"/>
      <c r="V183" s="2">
        <f t="shared" si="17"/>
        <v>19000100</v>
      </c>
      <c r="W183" s="2">
        <f t="shared" si="18"/>
        <v>0</v>
      </c>
      <c r="X183" s="2">
        <f>(SUMIF(F:F,IF(H:H="福禄20两全",F:F,0),险种!R:R)-SUMIFS(R:R,F:F,F:F,M:M,"&lt;=1"))*_xlfn.IFS(G:G=4126,1,OR(G:G&gt;4126,G:G&lt;4126),0)</f>
        <v>0</v>
      </c>
      <c r="Y183" s="2">
        <f t="shared" si="15"/>
        <v>0</v>
      </c>
      <c r="Z183" s="2">
        <f t="shared" si="16"/>
        <v>0</v>
      </c>
      <c r="AA183" s="2">
        <f t="shared" si="19"/>
        <v>0</v>
      </c>
    </row>
    <row r="184" spans="10:27">
      <c r="J184" s="123"/>
      <c r="V184" s="2">
        <f t="shared" si="17"/>
        <v>19000100</v>
      </c>
      <c r="W184" s="2">
        <f t="shared" si="18"/>
        <v>0</v>
      </c>
      <c r="X184" s="2">
        <f>(SUMIF(F:F,IF(H:H="福禄20两全",F:F,0),险种!R:R)-SUMIFS(R:R,F:F,F:F,M:M,"&lt;=1"))*_xlfn.IFS(G:G=4126,1,OR(G:G&gt;4126,G:G&lt;4126),0)</f>
        <v>0</v>
      </c>
      <c r="Y184" s="2">
        <f t="shared" si="15"/>
        <v>0</v>
      </c>
      <c r="Z184" s="2">
        <f t="shared" si="16"/>
        <v>0</v>
      </c>
      <c r="AA184" s="2">
        <f t="shared" si="19"/>
        <v>0</v>
      </c>
    </row>
    <row r="185" spans="10:27">
      <c r="J185" s="123"/>
      <c r="K185" s="123"/>
      <c r="T185" s="123"/>
      <c r="V185" s="2">
        <f t="shared" si="17"/>
        <v>19000100</v>
      </c>
      <c r="W185" s="2">
        <f t="shared" si="18"/>
        <v>0</v>
      </c>
      <c r="X185" s="2">
        <f>(SUMIF(F:F,IF(H:H="福禄20两全",F:F,0),险种!R:R)-SUMIFS(R:R,F:F,F:F,M:M,"&lt;=1"))*_xlfn.IFS(G:G=4126,1,OR(G:G&gt;4126,G:G&lt;4126),0)</f>
        <v>0</v>
      </c>
      <c r="Y185" s="2">
        <f t="shared" si="15"/>
        <v>0</v>
      </c>
      <c r="Z185" s="2">
        <f t="shared" si="16"/>
        <v>0</v>
      </c>
      <c r="AA185" s="2">
        <f t="shared" si="19"/>
        <v>0</v>
      </c>
    </row>
    <row r="186" spans="10:27">
      <c r="J186" s="123"/>
      <c r="K186" s="123"/>
      <c r="T186" s="123"/>
      <c r="V186" s="2">
        <f t="shared" si="17"/>
        <v>19000100</v>
      </c>
      <c r="W186" s="2">
        <f t="shared" si="18"/>
        <v>0</v>
      </c>
      <c r="X186" s="2">
        <f>(SUMIF(F:F,IF(H:H="福禄20两全",F:F,0),险种!R:R)-SUMIFS(R:R,F:F,F:F,M:M,"&lt;=1"))*_xlfn.IFS(G:G=4126,1,OR(G:G&gt;4126,G:G&lt;4126),0)</f>
        <v>0</v>
      </c>
      <c r="Y186" s="2">
        <f t="shared" si="15"/>
        <v>0</v>
      </c>
      <c r="Z186" s="2">
        <f t="shared" si="16"/>
        <v>0</v>
      </c>
      <c r="AA186" s="2">
        <f t="shared" si="19"/>
        <v>0</v>
      </c>
    </row>
    <row r="187" spans="10:27">
      <c r="J187" s="123"/>
      <c r="K187" s="123"/>
      <c r="T187" s="123"/>
      <c r="V187" s="2">
        <f t="shared" si="17"/>
        <v>19000100</v>
      </c>
      <c r="W187" s="2">
        <f t="shared" si="18"/>
        <v>0</v>
      </c>
      <c r="X187" s="2">
        <f>(SUMIF(F:F,IF(H:H="福禄20两全",F:F,0),险种!R:R)-SUMIFS(R:R,F:F,F:F,M:M,"&lt;=1"))*_xlfn.IFS(G:G=4126,1,OR(G:G&gt;4126,G:G&lt;4126),0)</f>
        <v>0</v>
      </c>
      <c r="Y187" s="2">
        <f t="shared" si="15"/>
        <v>0</v>
      </c>
      <c r="Z187" s="2">
        <f t="shared" si="16"/>
        <v>0</v>
      </c>
      <c r="AA187" s="2">
        <f t="shared" si="19"/>
        <v>0</v>
      </c>
    </row>
    <row r="188" spans="10:27">
      <c r="J188" s="123"/>
      <c r="K188" s="123"/>
      <c r="T188" s="123"/>
      <c r="V188" s="2">
        <f t="shared" si="17"/>
        <v>19000100</v>
      </c>
      <c r="W188" s="2">
        <f t="shared" si="18"/>
        <v>0</v>
      </c>
      <c r="X188" s="2">
        <f>(SUMIF(F:F,IF(H:H="福禄20两全",F:F,0),险种!R:R)-SUMIFS(R:R,F:F,F:F,M:M,"&lt;=1"))*_xlfn.IFS(G:G=4126,1,OR(G:G&gt;4126,G:G&lt;4126),0)</f>
        <v>0</v>
      </c>
      <c r="Y188" s="2">
        <f t="shared" si="15"/>
        <v>0</v>
      </c>
      <c r="Z188" s="2">
        <f t="shared" si="16"/>
        <v>0</v>
      </c>
      <c r="AA188" s="2">
        <f t="shared" si="19"/>
        <v>0</v>
      </c>
    </row>
    <row r="189" spans="10:27">
      <c r="J189" s="123"/>
      <c r="V189" s="2">
        <f t="shared" si="17"/>
        <v>19000100</v>
      </c>
      <c r="W189" s="2">
        <f t="shared" si="18"/>
        <v>0</v>
      </c>
      <c r="X189" s="2">
        <f>(SUMIF(F:F,IF(H:H="福禄20两全",F:F,0),险种!R:R)-SUMIFS(R:R,F:F,F:F,M:M,"&lt;=1"))*_xlfn.IFS(G:G=4126,1,OR(G:G&gt;4126,G:G&lt;4126),0)</f>
        <v>0</v>
      </c>
      <c r="Y189" s="2">
        <f t="shared" si="15"/>
        <v>0</v>
      </c>
      <c r="Z189" s="2">
        <f t="shared" si="16"/>
        <v>0</v>
      </c>
      <c r="AA189" s="2">
        <f t="shared" si="19"/>
        <v>0</v>
      </c>
    </row>
    <row r="190" spans="10:27">
      <c r="J190" s="123"/>
      <c r="K190" s="123"/>
      <c r="T190" s="123"/>
      <c r="V190" s="2">
        <f t="shared" si="17"/>
        <v>19000100</v>
      </c>
      <c r="W190" s="2">
        <f t="shared" si="18"/>
        <v>0</v>
      </c>
      <c r="X190" s="2">
        <f>(SUMIF(F:F,IF(H:H="福禄20两全",F:F,0),险种!R:R)-SUMIFS(R:R,F:F,F:F,M:M,"&lt;=1"))*_xlfn.IFS(G:G=4126,1,OR(G:G&gt;4126,G:G&lt;4126),0)</f>
        <v>0</v>
      </c>
      <c r="Y190" s="2">
        <f t="shared" si="15"/>
        <v>0</v>
      </c>
      <c r="Z190" s="2">
        <f t="shared" si="16"/>
        <v>0</v>
      </c>
      <c r="AA190" s="2">
        <f t="shared" si="19"/>
        <v>0</v>
      </c>
    </row>
    <row r="191" spans="10:27">
      <c r="J191" s="123"/>
      <c r="K191" s="123"/>
      <c r="T191" s="123"/>
      <c r="V191" s="2">
        <f t="shared" si="17"/>
        <v>19000100</v>
      </c>
      <c r="W191" s="2">
        <f t="shared" si="18"/>
        <v>0</v>
      </c>
      <c r="X191" s="2">
        <f>(SUMIF(F:F,IF(H:H="福禄20两全",F:F,0),险种!R:R)-SUMIFS(R:R,F:F,F:F,M:M,"&lt;=1"))*_xlfn.IFS(G:G=4126,1,OR(G:G&gt;4126,G:G&lt;4126),0)</f>
        <v>0</v>
      </c>
      <c r="Y191" s="2">
        <f t="shared" si="15"/>
        <v>0</v>
      </c>
      <c r="Z191" s="2">
        <f t="shared" si="16"/>
        <v>0</v>
      </c>
      <c r="AA191" s="2">
        <f t="shared" si="19"/>
        <v>0</v>
      </c>
    </row>
    <row r="192" spans="10:27">
      <c r="J192" s="123"/>
      <c r="K192" s="123"/>
      <c r="T192" s="123"/>
      <c r="V192" s="2">
        <f t="shared" si="17"/>
        <v>19000100</v>
      </c>
      <c r="W192" s="2">
        <f t="shared" si="18"/>
        <v>0</v>
      </c>
      <c r="X192" s="2">
        <f>(SUMIF(F:F,IF(H:H="福禄20两全",F:F,0),险种!R:R)-SUMIFS(R:R,F:F,F:F,M:M,"&lt;=1"))*_xlfn.IFS(G:G=4126,1,OR(G:G&gt;4126,G:G&lt;4126),0)</f>
        <v>0</v>
      </c>
      <c r="Y192" s="2">
        <f t="shared" si="15"/>
        <v>0</v>
      </c>
      <c r="Z192" s="2">
        <f t="shared" si="16"/>
        <v>0</v>
      </c>
      <c r="AA192" s="2">
        <f t="shared" si="19"/>
        <v>0</v>
      </c>
    </row>
    <row r="193" spans="10:27">
      <c r="J193" s="123"/>
      <c r="V193" s="2">
        <f t="shared" si="17"/>
        <v>19000100</v>
      </c>
      <c r="W193" s="2">
        <f t="shared" si="18"/>
        <v>0</v>
      </c>
      <c r="X193" s="2">
        <f>(SUMIF(F:F,IF(H:H="福禄20两全",F:F,0),险种!R:R)-SUMIFS(R:R,F:F,F:F,M:M,"&lt;=1"))*_xlfn.IFS(G:G=4126,1,OR(G:G&gt;4126,G:G&lt;4126),0)</f>
        <v>0</v>
      </c>
      <c r="Y193" s="2">
        <f t="shared" si="15"/>
        <v>0</v>
      </c>
      <c r="Z193" s="2">
        <f t="shared" si="16"/>
        <v>0</v>
      </c>
      <c r="AA193" s="2">
        <f t="shared" si="19"/>
        <v>0</v>
      </c>
    </row>
    <row r="194" spans="10:27">
      <c r="J194" s="123"/>
      <c r="V194" s="2">
        <f t="shared" si="17"/>
        <v>19000100</v>
      </c>
      <c r="W194" s="2">
        <f t="shared" si="18"/>
        <v>0</v>
      </c>
      <c r="X194" s="2">
        <f>(SUMIF(F:F,IF(H:H="福禄20两全",F:F,0),险种!R:R)-SUMIFS(R:R,F:F,F:F,M:M,"&lt;=1"))*_xlfn.IFS(G:G=4126,1,OR(G:G&gt;4126,G:G&lt;4126),0)</f>
        <v>0</v>
      </c>
      <c r="Y194" s="2">
        <f t="shared" si="15"/>
        <v>0</v>
      </c>
      <c r="Z194" s="2">
        <f t="shared" si="16"/>
        <v>0</v>
      </c>
      <c r="AA194" s="2">
        <f t="shared" si="19"/>
        <v>0</v>
      </c>
    </row>
    <row r="195" spans="10:27">
      <c r="J195" s="123"/>
      <c r="V195" s="2">
        <f t="shared" si="17"/>
        <v>19000100</v>
      </c>
      <c r="W195" s="2">
        <f t="shared" si="18"/>
        <v>0</v>
      </c>
      <c r="X195" s="2">
        <f>(SUMIF(F:F,IF(H:H="福禄20两全",F:F,0),险种!R:R)-SUMIFS(R:R,F:F,F:F,M:M,"&lt;=1"))*_xlfn.IFS(G:G=4126,1,OR(G:G&gt;4126,G:G&lt;4126),0)</f>
        <v>0</v>
      </c>
      <c r="Y195" s="2">
        <f t="shared" ref="Y195:Y258" si="20">IF(AND(W:W=1,V:V&lt;=20210510),1,0)</f>
        <v>0</v>
      </c>
      <c r="Z195" s="2">
        <f t="shared" ref="Z195:Z258" si="21">IF(AND(W:W=1,V:V&lt;=20210520,V:V&gt;20210510),1,0)</f>
        <v>0</v>
      </c>
      <c r="AA195" s="2">
        <f t="shared" si="19"/>
        <v>0</v>
      </c>
    </row>
    <row r="196" spans="10:27">
      <c r="J196" s="123"/>
      <c r="V196" s="2">
        <f t="shared" si="17"/>
        <v>19000100</v>
      </c>
      <c r="W196" s="2">
        <f t="shared" si="18"/>
        <v>0</v>
      </c>
      <c r="X196" s="2">
        <f>(SUMIF(F:F,IF(H:H="福禄20两全",F:F,0),险种!R:R)-SUMIFS(R:R,F:F,F:F,M:M,"&lt;=1"))*_xlfn.IFS(G:G=4126,1,OR(G:G&gt;4126,G:G&lt;4126),0)</f>
        <v>0</v>
      </c>
      <c r="Y196" s="2">
        <f t="shared" si="20"/>
        <v>0</v>
      </c>
      <c r="Z196" s="2">
        <f t="shared" si="21"/>
        <v>0</v>
      </c>
      <c r="AA196" s="2">
        <f t="shared" si="19"/>
        <v>0</v>
      </c>
    </row>
    <row r="197" spans="10:27">
      <c r="J197" s="123"/>
      <c r="V197" s="2">
        <f t="shared" si="17"/>
        <v>19000100</v>
      </c>
      <c r="W197" s="2">
        <f t="shared" si="18"/>
        <v>0</v>
      </c>
      <c r="X197" s="2">
        <f>(SUMIF(F:F,IF(H:H="福禄20两全",F:F,0),险种!R:R)-SUMIFS(R:R,F:F,F:F,M:M,"&lt;=1"))*_xlfn.IFS(G:G=4126,1,OR(G:G&gt;4126,G:G&lt;4126),0)</f>
        <v>0</v>
      </c>
      <c r="Y197" s="2">
        <f t="shared" si="20"/>
        <v>0</v>
      </c>
      <c r="Z197" s="2">
        <f t="shared" si="21"/>
        <v>0</v>
      </c>
      <c r="AA197" s="2">
        <f t="shared" si="19"/>
        <v>0</v>
      </c>
    </row>
    <row r="198" spans="10:27">
      <c r="J198" s="123"/>
      <c r="V198" s="2">
        <f t="shared" si="17"/>
        <v>19000100</v>
      </c>
      <c r="W198" s="2">
        <f t="shared" si="18"/>
        <v>0</v>
      </c>
      <c r="X198" s="2">
        <f>(SUMIF(F:F,IF(H:H="福禄20两全",F:F,0),险种!R:R)-SUMIFS(R:R,F:F,F:F,M:M,"&lt;=1"))*_xlfn.IFS(G:G=4126,1,OR(G:G&gt;4126,G:G&lt;4126),0)</f>
        <v>0</v>
      </c>
      <c r="Y198" s="2">
        <f t="shared" si="20"/>
        <v>0</v>
      </c>
      <c r="Z198" s="2">
        <f t="shared" si="21"/>
        <v>0</v>
      </c>
      <c r="AA198" s="2">
        <f t="shared" si="19"/>
        <v>0</v>
      </c>
    </row>
    <row r="199" spans="10:27">
      <c r="J199" s="123"/>
      <c r="V199" s="2">
        <f t="shared" si="17"/>
        <v>19000100</v>
      </c>
      <c r="W199" s="2">
        <f t="shared" si="18"/>
        <v>0</v>
      </c>
      <c r="X199" s="2">
        <f>(SUMIF(F:F,IF(H:H="福禄20两全",F:F,0),险种!R:R)-SUMIFS(R:R,F:F,F:F,M:M,"&lt;=1"))*_xlfn.IFS(G:G=4126,1,OR(G:G&gt;4126,G:G&lt;4126),0)</f>
        <v>0</v>
      </c>
      <c r="Y199" s="2">
        <f t="shared" si="20"/>
        <v>0</v>
      </c>
      <c r="Z199" s="2">
        <f t="shared" si="21"/>
        <v>0</v>
      </c>
      <c r="AA199" s="2">
        <f t="shared" si="19"/>
        <v>0</v>
      </c>
    </row>
    <row r="200" spans="10:27">
      <c r="J200" s="123"/>
      <c r="V200" s="2">
        <f t="shared" si="17"/>
        <v>19000100</v>
      </c>
      <c r="W200" s="2">
        <f t="shared" si="18"/>
        <v>0</v>
      </c>
      <c r="X200" s="2">
        <f>(SUMIF(F:F,IF(H:H="福禄20两全",F:F,0),险种!R:R)-SUMIFS(R:R,F:F,F:F,M:M,"&lt;=1"))*_xlfn.IFS(G:G=4126,1,OR(G:G&gt;4126,G:G&lt;4126),0)</f>
        <v>0</v>
      </c>
      <c r="Y200" s="2">
        <f t="shared" si="20"/>
        <v>0</v>
      </c>
      <c r="Z200" s="2">
        <f t="shared" si="21"/>
        <v>0</v>
      </c>
      <c r="AA200" s="2">
        <f t="shared" si="19"/>
        <v>0</v>
      </c>
    </row>
    <row r="201" spans="10:27">
      <c r="J201" s="123"/>
      <c r="V201" s="2">
        <f t="shared" si="17"/>
        <v>19000100</v>
      </c>
      <c r="W201" s="2">
        <f t="shared" si="18"/>
        <v>0</v>
      </c>
      <c r="X201" s="2">
        <f>(SUMIF(F:F,IF(H:H="福禄20两全",F:F,0),险种!R:R)-SUMIFS(R:R,F:F,F:F,M:M,"&lt;=1"))*_xlfn.IFS(G:G=4126,1,OR(G:G&gt;4126,G:G&lt;4126),0)</f>
        <v>0</v>
      </c>
      <c r="Y201" s="2">
        <f t="shared" si="20"/>
        <v>0</v>
      </c>
      <c r="Z201" s="2">
        <f t="shared" si="21"/>
        <v>0</v>
      </c>
      <c r="AA201" s="2">
        <f t="shared" si="19"/>
        <v>0</v>
      </c>
    </row>
    <row r="202" spans="10:27">
      <c r="J202" s="123"/>
      <c r="V202" s="2">
        <f t="shared" si="17"/>
        <v>19000100</v>
      </c>
      <c r="W202" s="2">
        <f t="shared" si="18"/>
        <v>0</v>
      </c>
      <c r="X202" s="2">
        <f>(SUMIF(F:F,IF(H:H="福禄20两全",F:F,0),险种!R:R)-SUMIFS(R:R,F:F,F:F,M:M,"&lt;=1"))*_xlfn.IFS(G:G=4126,1,OR(G:G&gt;4126,G:G&lt;4126),0)</f>
        <v>0</v>
      </c>
      <c r="Y202" s="2">
        <f t="shared" si="20"/>
        <v>0</v>
      </c>
      <c r="Z202" s="2">
        <f t="shared" si="21"/>
        <v>0</v>
      </c>
      <c r="AA202" s="2">
        <f t="shared" si="19"/>
        <v>0</v>
      </c>
    </row>
    <row r="203" spans="10:27">
      <c r="J203" s="123"/>
      <c r="V203" s="2">
        <f t="shared" si="17"/>
        <v>19000100</v>
      </c>
      <c r="W203" s="2">
        <f t="shared" si="18"/>
        <v>0</v>
      </c>
      <c r="X203" s="2">
        <f>(SUMIF(F:F,IF(H:H="福禄20两全",F:F,0),险种!R:R)-SUMIFS(R:R,F:F,F:F,M:M,"&lt;=1"))*_xlfn.IFS(G:G=4126,1,OR(G:G&gt;4126,G:G&lt;4126),0)</f>
        <v>0</v>
      </c>
      <c r="Y203" s="2">
        <f t="shared" si="20"/>
        <v>0</v>
      </c>
      <c r="Z203" s="2">
        <f t="shared" si="21"/>
        <v>0</v>
      </c>
      <c r="AA203" s="2">
        <f t="shared" si="19"/>
        <v>0</v>
      </c>
    </row>
    <row r="204" spans="10:27">
      <c r="J204" s="123"/>
      <c r="V204" s="2">
        <f t="shared" si="17"/>
        <v>19000100</v>
      </c>
      <c r="W204" s="2">
        <f t="shared" si="18"/>
        <v>0</v>
      </c>
      <c r="X204" s="2">
        <f>(SUMIF(F:F,IF(H:H="福禄20两全",F:F,0),险种!R:R)-SUMIFS(R:R,F:F,F:F,M:M,"&lt;=1"))*_xlfn.IFS(G:G=4126,1,OR(G:G&gt;4126,G:G&lt;4126),0)</f>
        <v>0</v>
      </c>
      <c r="Y204" s="2">
        <f t="shared" si="20"/>
        <v>0</v>
      </c>
      <c r="Z204" s="2">
        <f t="shared" si="21"/>
        <v>0</v>
      </c>
      <c r="AA204" s="2">
        <f t="shared" si="19"/>
        <v>0</v>
      </c>
    </row>
    <row r="205" spans="10:27">
      <c r="J205" s="123"/>
      <c r="V205" s="2">
        <f t="shared" si="17"/>
        <v>19000100</v>
      </c>
      <c r="W205" s="2">
        <f t="shared" si="18"/>
        <v>0</v>
      </c>
      <c r="X205" s="2">
        <f>(SUMIF(F:F,IF(H:H="福禄20两全",F:F,0),险种!R:R)-SUMIFS(R:R,F:F,F:F,M:M,"&lt;=1"))*_xlfn.IFS(G:G=4126,1,OR(G:G&gt;4126,G:G&lt;4126),0)</f>
        <v>0</v>
      </c>
      <c r="Y205" s="2">
        <f t="shared" si="20"/>
        <v>0</v>
      </c>
      <c r="Z205" s="2">
        <f t="shared" si="21"/>
        <v>0</v>
      </c>
      <c r="AA205" s="2">
        <f t="shared" si="19"/>
        <v>0</v>
      </c>
    </row>
    <row r="206" spans="10:27">
      <c r="J206" s="123"/>
      <c r="V206" s="2">
        <f t="shared" si="17"/>
        <v>19000100</v>
      </c>
      <c r="W206" s="2">
        <f t="shared" si="18"/>
        <v>0</v>
      </c>
      <c r="X206" s="2">
        <f>(SUMIF(F:F,IF(H:H="福禄20两全",F:F,0),险种!R:R)-SUMIFS(R:R,F:F,F:F,M:M,"&lt;=1"))*_xlfn.IFS(G:G=4126,1,OR(G:G&gt;4126,G:G&lt;4126),0)</f>
        <v>0</v>
      </c>
      <c r="Y206" s="2">
        <f t="shared" si="20"/>
        <v>0</v>
      </c>
      <c r="Z206" s="2">
        <f t="shared" si="21"/>
        <v>0</v>
      </c>
      <c r="AA206" s="2">
        <f t="shared" si="19"/>
        <v>0</v>
      </c>
    </row>
    <row r="207" spans="10:27">
      <c r="J207" s="123"/>
      <c r="K207" s="123"/>
      <c r="T207" s="123"/>
      <c r="V207" s="2">
        <f t="shared" si="17"/>
        <v>19000100</v>
      </c>
      <c r="W207" s="2">
        <f t="shared" si="18"/>
        <v>0</v>
      </c>
      <c r="X207" s="2">
        <f>(SUMIF(F:F,IF(H:H="福禄20两全",F:F,0),险种!R:R)-SUMIFS(R:R,F:F,F:F,M:M,"&lt;=1"))*_xlfn.IFS(G:G=4126,1,OR(G:G&gt;4126,G:G&lt;4126),0)</f>
        <v>0</v>
      </c>
      <c r="Y207" s="2">
        <f t="shared" si="20"/>
        <v>0</v>
      </c>
      <c r="Z207" s="2">
        <f t="shared" si="21"/>
        <v>0</v>
      </c>
      <c r="AA207" s="2">
        <f t="shared" si="19"/>
        <v>0</v>
      </c>
    </row>
    <row r="208" spans="10:27">
      <c r="J208" s="123"/>
      <c r="T208" s="123"/>
      <c r="V208" s="2">
        <f t="shared" ref="V208:V271" si="22">TEXT(J:J,"yyyymmdd")*1</f>
        <v>19000100</v>
      </c>
      <c r="W208" s="2">
        <f t="shared" ref="W208:W271" si="23">IF(AND(M:M&gt;1,R:R&gt;3000),1,0)-IF(AND(M:M&gt;1,R:R&gt;3000,G:G=4126),1,0)-IF(AND(M:M&gt;1,R:R&gt;3000,G:G=4127),1,0)+IF(X:X&gt;=3000,1,0)</f>
        <v>0</v>
      </c>
      <c r="X208" s="2">
        <f>(SUMIF(F:F,IF(H:H="福禄20两全",F:F,0),险种!R:R)-SUMIFS(R:R,F:F,F:F,M:M,"&lt;=1"))*_xlfn.IFS(G:G=4126,1,OR(G:G&gt;4126,G:G&lt;4126),0)</f>
        <v>0</v>
      </c>
      <c r="Y208" s="2">
        <f t="shared" si="20"/>
        <v>0</v>
      </c>
      <c r="Z208" s="2">
        <f t="shared" si="21"/>
        <v>0</v>
      </c>
      <c r="AA208" s="2">
        <f t="shared" si="19"/>
        <v>0</v>
      </c>
    </row>
    <row r="209" spans="10:27">
      <c r="J209" s="123"/>
      <c r="T209" s="123"/>
      <c r="V209" s="2">
        <f t="shared" si="22"/>
        <v>19000100</v>
      </c>
      <c r="W209" s="2">
        <f t="shared" si="23"/>
        <v>0</v>
      </c>
      <c r="X209" s="2">
        <f>(SUMIF(F:F,IF(H:H="福禄20两全",F:F,0),险种!R:R)-SUMIFS(R:R,F:F,F:F,M:M,"&lt;=1"))*_xlfn.IFS(G:G=4126,1,OR(G:G&gt;4126,G:G&lt;4126),0)</f>
        <v>0</v>
      </c>
      <c r="Y209" s="2">
        <f t="shared" si="20"/>
        <v>0</v>
      </c>
      <c r="Z209" s="2">
        <f t="shared" si="21"/>
        <v>0</v>
      </c>
      <c r="AA209" s="2">
        <f t="shared" si="19"/>
        <v>0</v>
      </c>
    </row>
    <row r="210" spans="10:27">
      <c r="J210" s="123"/>
      <c r="T210" s="123"/>
      <c r="V210" s="2">
        <f t="shared" si="22"/>
        <v>19000100</v>
      </c>
      <c r="W210" s="2">
        <f t="shared" si="23"/>
        <v>0</v>
      </c>
      <c r="X210" s="2">
        <f>(SUMIF(F:F,IF(H:H="福禄20两全",F:F,0),险种!R:R)-SUMIFS(R:R,F:F,F:F,M:M,"&lt;=1"))*_xlfn.IFS(G:G=4126,1,OR(G:G&gt;4126,G:G&lt;4126),0)</f>
        <v>0</v>
      </c>
      <c r="Y210" s="2">
        <f t="shared" si="20"/>
        <v>0</v>
      </c>
      <c r="Z210" s="2">
        <f t="shared" si="21"/>
        <v>0</v>
      </c>
      <c r="AA210" s="2">
        <f t="shared" si="19"/>
        <v>0</v>
      </c>
    </row>
    <row r="211" spans="10:27">
      <c r="J211" s="123"/>
      <c r="T211" s="123"/>
      <c r="V211" s="2">
        <f t="shared" si="22"/>
        <v>19000100</v>
      </c>
      <c r="W211" s="2">
        <f t="shared" si="23"/>
        <v>0</v>
      </c>
      <c r="X211" s="2">
        <f>(SUMIF(F:F,IF(H:H="福禄20两全",F:F,0),险种!R:R)-SUMIFS(R:R,F:F,F:F,M:M,"&lt;=1"))*_xlfn.IFS(G:G=4126,1,OR(G:G&gt;4126,G:G&lt;4126),0)</f>
        <v>0</v>
      </c>
      <c r="Y211" s="2">
        <f t="shared" si="20"/>
        <v>0</v>
      </c>
      <c r="Z211" s="2">
        <f t="shared" si="21"/>
        <v>0</v>
      </c>
      <c r="AA211" s="2">
        <f t="shared" si="19"/>
        <v>0</v>
      </c>
    </row>
    <row r="212" spans="10:27">
      <c r="J212" s="123"/>
      <c r="V212" s="2">
        <f t="shared" si="22"/>
        <v>19000100</v>
      </c>
      <c r="W212" s="2">
        <f t="shared" si="23"/>
        <v>0</v>
      </c>
      <c r="X212" s="2">
        <f>(SUMIF(F:F,IF(H:H="福禄20两全",F:F,0),险种!R:R)-SUMIFS(R:R,F:F,F:F,M:M,"&lt;=1"))*_xlfn.IFS(G:G=4126,1,OR(G:G&gt;4126,G:G&lt;4126),0)</f>
        <v>0</v>
      </c>
      <c r="Y212" s="2">
        <f t="shared" si="20"/>
        <v>0</v>
      </c>
      <c r="Z212" s="2">
        <f t="shared" si="21"/>
        <v>0</v>
      </c>
      <c r="AA212" s="2">
        <f t="shared" si="19"/>
        <v>0</v>
      </c>
    </row>
    <row r="213" spans="10:27">
      <c r="J213" s="123"/>
      <c r="V213" s="2">
        <f t="shared" si="22"/>
        <v>19000100</v>
      </c>
      <c r="W213" s="2">
        <f t="shared" si="23"/>
        <v>0</v>
      </c>
      <c r="X213" s="2">
        <f>(SUMIF(F:F,IF(H:H="福禄20两全",F:F,0),险种!R:R)-SUMIFS(R:R,F:F,F:F,M:M,"&lt;=1"))*_xlfn.IFS(G:G=4126,1,OR(G:G&gt;4126,G:G&lt;4126),0)</f>
        <v>0</v>
      </c>
      <c r="Y213" s="2">
        <f t="shared" si="20"/>
        <v>0</v>
      </c>
      <c r="Z213" s="2">
        <f t="shared" si="21"/>
        <v>0</v>
      </c>
      <c r="AA213" s="2">
        <f t="shared" si="19"/>
        <v>0</v>
      </c>
    </row>
    <row r="214" spans="10:27">
      <c r="J214" s="123"/>
      <c r="V214" s="2">
        <f t="shared" si="22"/>
        <v>19000100</v>
      </c>
      <c r="W214" s="2">
        <f t="shared" si="23"/>
        <v>0</v>
      </c>
      <c r="X214" s="2">
        <f>(SUMIF(F:F,IF(H:H="福禄20两全",F:F,0),险种!R:R)-SUMIFS(R:R,F:F,F:F,M:M,"&lt;=1"))*_xlfn.IFS(G:G=4126,1,OR(G:G&gt;4126,G:G&lt;4126),0)</f>
        <v>0</v>
      </c>
      <c r="Y214" s="2">
        <f t="shared" si="20"/>
        <v>0</v>
      </c>
      <c r="Z214" s="2">
        <f t="shared" si="21"/>
        <v>0</v>
      </c>
      <c r="AA214" s="2">
        <f t="shared" si="19"/>
        <v>0</v>
      </c>
    </row>
    <row r="215" spans="10:27">
      <c r="J215" s="123"/>
      <c r="V215" s="2">
        <f t="shared" si="22"/>
        <v>19000100</v>
      </c>
      <c r="W215" s="2">
        <f t="shared" si="23"/>
        <v>0</v>
      </c>
      <c r="X215" s="2">
        <f>(SUMIF(F:F,IF(H:H="福禄20两全",F:F,0),险种!R:R)-SUMIFS(R:R,F:F,F:F,M:M,"&lt;=1"))*_xlfn.IFS(G:G=4126,1,OR(G:G&gt;4126,G:G&lt;4126),0)</f>
        <v>0</v>
      </c>
      <c r="Y215" s="2">
        <f t="shared" si="20"/>
        <v>0</v>
      </c>
      <c r="Z215" s="2">
        <f t="shared" si="21"/>
        <v>0</v>
      </c>
      <c r="AA215" s="2">
        <f t="shared" si="19"/>
        <v>0</v>
      </c>
    </row>
    <row r="216" spans="10:27">
      <c r="J216" s="123"/>
      <c r="V216" s="2">
        <f t="shared" si="22"/>
        <v>19000100</v>
      </c>
      <c r="W216" s="2">
        <f t="shared" si="23"/>
        <v>0</v>
      </c>
      <c r="X216" s="2">
        <f>(SUMIF(F:F,IF(H:H="福禄20两全",F:F,0),险种!R:R)-SUMIFS(R:R,F:F,F:F,M:M,"&lt;=1"))*_xlfn.IFS(G:G=4126,1,OR(G:G&gt;4126,G:G&lt;4126),0)</f>
        <v>0</v>
      </c>
      <c r="Y216" s="2">
        <f t="shared" si="20"/>
        <v>0</v>
      </c>
      <c r="Z216" s="2">
        <f t="shared" si="21"/>
        <v>0</v>
      </c>
      <c r="AA216" s="2">
        <f t="shared" si="19"/>
        <v>0</v>
      </c>
    </row>
    <row r="217" spans="10:27">
      <c r="J217" s="123"/>
      <c r="V217" s="2">
        <f t="shared" si="22"/>
        <v>19000100</v>
      </c>
      <c r="W217" s="2">
        <f t="shared" si="23"/>
        <v>0</v>
      </c>
      <c r="X217" s="2">
        <f>(SUMIF(F:F,IF(H:H="福禄20两全",F:F,0),险种!R:R)-SUMIFS(R:R,F:F,F:F,M:M,"&lt;=1"))*_xlfn.IFS(G:G=4126,1,OR(G:G&gt;4126,G:G&lt;4126),0)</f>
        <v>0</v>
      </c>
      <c r="Y217" s="2">
        <f t="shared" si="20"/>
        <v>0</v>
      </c>
      <c r="Z217" s="2">
        <f t="shared" si="21"/>
        <v>0</v>
      </c>
      <c r="AA217" s="2">
        <f t="shared" si="19"/>
        <v>0</v>
      </c>
    </row>
    <row r="218" spans="10:27">
      <c r="J218" s="123"/>
      <c r="V218" s="2">
        <f t="shared" si="22"/>
        <v>19000100</v>
      </c>
      <c r="W218" s="2">
        <f t="shared" si="23"/>
        <v>0</v>
      </c>
      <c r="X218" s="2">
        <f>(SUMIF(F:F,IF(H:H="福禄20两全",F:F,0),险种!R:R)-SUMIFS(R:R,F:F,F:F,M:M,"&lt;=1"))*_xlfn.IFS(G:G=4126,1,OR(G:G&gt;4126,G:G&lt;4126),0)</f>
        <v>0</v>
      </c>
      <c r="Y218" s="2">
        <f t="shared" si="20"/>
        <v>0</v>
      </c>
      <c r="Z218" s="2">
        <f t="shared" si="21"/>
        <v>0</v>
      </c>
      <c r="AA218" s="2">
        <f t="shared" si="19"/>
        <v>0</v>
      </c>
    </row>
    <row r="219" spans="10:27">
      <c r="J219" s="123"/>
      <c r="K219" s="123"/>
      <c r="T219" s="123"/>
      <c r="V219" s="2">
        <f t="shared" si="22"/>
        <v>19000100</v>
      </c>
      <c r="W219" s="2">
        <f t="shared" si="23"/>
        <v>0</v>
      </c>
      <c r="X219" s="2">
        <f>(SUMIF(F:F,IF(H:H="福禄20两全",F:F,0),险种!R:R)-SUMIFS(R:R,F:F,F:F,M:M,"&lt;=1"))*_xlfn.IFS(G:G=4126,1,OR(G:G&gt;4126,G:G&lt;4126),0)</f>
        <v>0</v>
      </c>
      <c r="Y219" s="2">
        <f t="shared" si="20"/>
        <v>0</v>
      </c>
      <c r="Z219" s="2">
        <f t="shared" si="21"/>
        <v>0</v>
      </c>
      <c r="AA219" s="2">
        <f t="shared" si="19"/>
        <v>0</v>
      </c>
    </row>
    <row r="220" spans="10:27">
      <c r="J220" s="123"/>
      <c r="K220" s="123"/>
      <c r="T220" s="123"/>
      <c r="V220" s="2">
        <f t="shared" si="22"/>
        <v>19000100</v>
      </c>
      <c r="W220" s="2">
        <f t="shared" si="23"/>
        <v>0</v>
      </c>
      <c r="X220" s="2">
        <f>(SUMIF(F:F,IF(H:H="福禄20两全",F:F,0),险种!R:R)-SUMIFS(R:R,F:F,F:F,M:M,"&lt;=1"))*_xlfn.IFS(G:G=4126,1,OR(G:G&gt;4126,G:G&lt;4126),0)</f>
        <v>0</v>
      </c>
      <c r="Y220" s="2">
        <f t="shared" si="20"/>
        <v>0</v>
      </c>
      <c r="Z220" s="2">
        <f t="shared" si="21"/>
        <v>0</v>
      </c>
      <c r="AA220" s="2">
        <f t="shared" si="19"/>
        <v>0</v>
      </c>
    </row>
    <row r="221" spans="10:27">
      <c r="J221" s="123"/>
      <c r="K221" s="123"/>
      <c r="T221" s="123"/>
      <c r="V221" s="2">
        <f t="shared" si="22"/>
        <v>19000100</v>
      </c>
      <c r="W221" s="2">
        <f t="shared" si="23"/>
        <v>0</v>
      </c>
      <c r="X221" s="2">
        <f>(SUMIF(F:F,IF(H:H="福禄20两全",F:F,0),险种!R:R)-SUMIFS(R:R,F:F,F:F,M:M,"&lt;=1"))*_xlfn.IFS(G:G=4126,1,OR(G:G&gt;4126,G:G&lt;4126),0)</f>
        <v>0</v>
      </c>
      <c r="Y221" s="2">
        <f t="shared" si="20"/>
        <v>0</v>
      </c>
      <c r="Z221" s="2">
        <f t="shared" si="21"/>
        <v>0</v>
      </c>
      <c r="AA221" s="2">
        <f t="shared" si="19"/>
        <v>0</v>
      </c>
    </row>
    <row r="222" spans="10:27">
      <c r="J222" s="123"/>
      <c r="K222" s="123"/>
      <c r="T222" s="123"/>
      <c r="V222" s="2">
        <f t="shared" si="22"/>
        <v>19000100</v>
      </c>
      <c r="W222" s="2">
        <f t="shared" si="23"/>
        <v>0</v>
      </c>
      <c r="X222" s="2">
        <f>(SUMIF(F:F,IF(H:H="福禄20两全",F:F,0),险种!R:R)-SUMIFS(R:R,F:F,F:F,M:M,"&lt;=1"))*_xlfn.IFS(G:G=4126,1,OR(G:G&gt;4126,G:G&lt;4126),0)</f>
        <v>0</v>
      </c>
      <c r="Y222" s="2">
        <f t="shared" si="20"/>
        <v>0</v>
      </c>
      <c r="Z222" s="2">
        <f t="shared" si="21"/>
        <v>0</v>
      </c>
      <c r="AA222" s="2">
        <f t="shared" si="19"/>
        <v>0</v>
      </c>
    </row>
    <row r="223" spans="10:27">
      <c r="J223" s="123"/>
      <c r="K223" s="123"/>
      <c r="T223" s="123"/>
      <c r="V223" s="2">
        <f t="shared" si="22"/>
        <v>19000100</v>
      </c>
      <c r="W223" s="2">
        <f t="shared" si="23"/>
        <v>0</v>
      </c>
      <c r="X223" s="2">
        <f>(SUMIF(F:F,IF(H:H="福禄20两全",F:F,0),险种!R:R)-SUMIFS(R:R,F:F,F:F,M:M,"&lt;=1"))*_xlfn.IFS(G:G=4126,1,OR(G:G&gt;4126,G:G&lt;4126),0)</f>
        <v>0</v>
      </c>
      <c r="Y223" s="2">
        <f t="shared" si="20"/>
        <v>0</v>
      </c>
      <c r="Z223" s="2">
        <f t="shared" si="21"/>
        <v>0</v>
      </c>
      <c r="AA223" s="2">
        <f t="shared" si="19"/>
        <v>0</v>
      </c>
    </row>
    <row r="224" spans="10:27">
      <c r="J224" s="123"/>
      <c r="V224" s="2">
        <f t="shared" si="22"/>
        <v>19000100</v>
      </c>
      <c r="W224" s="2">
        <f t="shared" si="23"/>
        <v>0</v>
      </c>
      <c r="X224" s="2">
        <f>(SUMIF(F:F,IF(H:H="福禄20两全",F:F,0),险种!R:R)-SUMIFS(R:R,F:F,F:F,M:M,"&lt;=1"))*_xlfn.IFS(G:G=4126,1,OR(G:G&gt;4126,G:G&lt;4126),0)</f>
        <v>0</v>
      </c>
      <c r="Y224" s="2">
        <f t="shared" si="20"/>
        <v>0</v>
      </c>
      <c r="Z224" s="2">
        <f t="shared" si="21"/>
        <v>0</v>
      </c>
      <c r="AA224" s="2">
        <f t="shared" si="19"/>
        <v>0</v>
      </c>
    </row>
    <row r="225" spans="10:27">
      <c r="J225" s="123"/>
      <c r="V225" s="2">
        <f t="shared" si="22"/>
        <v>19000100</v>
      </c>
      <c r="W225" s="2">
        <f t="shared" si="23"/>
        <v>0</v>
      </c>
      <c r="X225" s="2">
        <f>(SUMIF(F:F,IF(H:H="福禄20两全",F:F,0),险种!R:R)-SUMIFS(R:R,F:F,F:F,M:M,"&lt;=1"))*_xlfn.IFS(G:G=4126,1,OR(G:G&gt;4126,G:G&lt;4126),0)</f>
        <v>0</v>
      </c>
      <c r="Y225" s="2">
        <f t="shared" si="20"/>
        <v>0</v>
      </c>
      <c r="Z225" s="2">
        <f t="shared" si="21"/>
        <v>0</v>
      </c>
      <c r="AA225" s="2">
        <f t="shared" si="19"/>
        <v>0</v>
      </c>
    </row>
    <row r="226" spans="10:27">
      <c r="J226" s="123"/>
      <c r="V226" s="2">
        <f t="shared" si="22"/>
        <v>19000100</v>
      </c>
      <c r="W226" s="2">
        <f t="shared" si="23"/>
        <v>0</v>
      </c>
      <c r="X226" s="2">
        <f>(SUMIF(F:F,IF(H:H="福禄20两全",F:F,0),险种!R:R)-SUMIFS(R:R,F:F,F:F,M:M,"&lt;=1"))*_xlfn.IFS(G:G=4126,1,OR(G:G&gt;4126,G:G&lt;4126),0)</f>
        <v>0</v>
      </c>
      <c r="Y226" s="2">
        <f t="shared" si="20"/>
        <v>0</v>
      </c>
      <c r="Z226" s="2">
        <f t="shared" si="21"/>
        <v>0</v>
      </c>
      <c r="AA226" s="2">
        <f t="shared" si="19"/>
        <v>0</v>
      </c>
    </row>
    <row r="227" spans="10:27">
      <c r="J227" s="123"/>
      <c r="V227" s="2">
        <f t="shared" si="22"/>
        <v>19000100</v>
      </c>
      <c r="W227" s="2">
        <f t="shared" si="23"/>
        <v>0</v>
      </c>
      <c r="X227" s="2">
        <f>(SUMIF(F:F,IF(H:H="福禄20两全",F:F,0),险种!R:R)-SUMIFS(R:R,F:F,F:F,M:M,"&lt;=1"))*_xlfn.IFS(G:G=4126,1,OR(G:G&gt;4126,G:G&lt;4126),0)</f>
        <v>0</v>
      </c>
      <c r="Y227" s="2">
        <f t="shared" si="20"/>
        <v>0</v>
      </c>
      <c r="Z227" s="2">
        <f t="shared" si="21"/>
        <v>0</v>
      </c>
      <c r="AA227" s="2">
        <f t="shared" ref="AA227:AA290" si="24">ROUNDDOWN(IF(AND(R:R&gt;=1000,M:M&gt;1),R:R,0)/1000,0)*IF(OR(G:G=4126,G:G=4127),0,1)+ROUNDDOWN(X:X/1000,)</f>
        <v>0</v>
      </c>
    </row>
    <row r="228" spans="10:27">
      <c r="J228" s="123"/>
      <c r="K228" s="123"/>
      <c r="T228" s="123"/>
      <c r="V228" s="2">
        <f t="shared" si="22"/>
        <v>19000100</v>
      </c>
      <c r="W228" s="2">
        <f t="shared" si="23"/>
        <v>0</v>
      </c>
      <c r="X228" s="2">
        <f>(SUMIF(F:F,IF(H:H="福禄20两全",F:F,0),险种!R:R)-SUMIFS(R:R,F:F,F:F,M:M,"&lt;=1"))*_xlfn.IFS(G:G=4126,1,OR(G:G&gt;4126,G:G&lt;4126),0)</f>
        <v>0</v>
      </c>
      <c r="Y228" s="2">
        <f t="shared" si="20"/>
        <v>0</v>
      </c>
      <c r="Z228" s="2">
        <f t="shared" si="21"/>
        <v>0</v>
      </c>
      <c r="AA228" s="2">
        <f t="shared" si="24"/>
        <v>0</v>
      </c>
    </row>
    <row r="229" spans="10:27">
      <c r="J229" s="123"/>
      <c r="K229" s="123"/>
      <c r="T229" s="123"/>
      <c r="V229" s="2">
        <f t="shared" si="22"/>
        <v>19000100</v>
      </c>
      <c r="W229" s="2">
        <f t="shared" si="23"/>
        <v>0</v>
      </c>
      <c r="X229" s="2">
        <f>(SUMIF(F:F,IF(H:H="福禄20两全",F:F,0),险种!R:R)-SUMIFS(R:R,F:F,F:F,M:M,"&lt;=1"))*_xlfn.IFS(G:G=4126,1,OR(G:G&gt;4126,G:G&lt;4126),0)</f>
        <v>0</v>
      </c>
      <c r="Y229" s="2">
        <f t="shared" si="20"/>
        <v>0</v>
      </c>
      <c r="Z229" s="2">
        <f t="shared" si="21"/>
        <v>0</v>
      </c>
      <c r="AA229" s="2">
        <f t="shared" si="24"/>
        <v>0</v>
      </c>
    </row>
    <row r="230" spans="10:27">
      <c r="J230" s="123"/>
      <c r="K230" s="123"/>
      <c r="T230" s="123"/>
      <c r="V230" s="2">
        <f t="shared" si="22"/>
        <v>19000100</v>
      </c>
      <c r="W230" s="2">
        <f t="shared" si="23"/>
        <v>0</v>
      </c>
      <c r="X230" s="2">
        <f>(SUMIF(F:F,IF(H:H="福禄20两全",F:F,0),险种!R:R)-SUMIFS(R:R,F:F,F:F,M:M,"&lt;=1"))*_xlfn.IFS(G:G=4126,1,OR(G:G&gt;4126,G:G&lt;4126),0)</f>
        <v>0</v>
      </c>
      <c r="Y230" s="2">
        <f t="shared" si="20"/>
        <v>0</v>
      </c>
      <c r="Z230" s="2">
        <f t="shared" si="21"/>
        <v>0</v>
      </c>
      <c r="AA230" s="2">
        <f t="shared" si="24"/>
        <v>0</v>
      </c>
    </row>
    <row r="231" spans="10:27">
      <c r="J231" s="123"/>
      <c r="K231" s="123"/>
      <c r="T231" s="123"/>
      <c r="V231" s="2">
        <f t="shared" si="22"/>
        <v>19000100</v>
      </c>
      <c r="W231" s="2">
        <f t="shared" si="23"/>
        <v>0</v>
      </c>
      <c r="X231" s="2">
        <f>(SUMIF(F:F,IF(H:H="福禄20两全",F:F,0),险种!R:R)-SUMIFS(R:R,F:F,F:F,M:M,"&lt;=1"))*_xlfn.IFS(G:G=4126,1,OR(G:G&gt;4126,G:G&lt;4126),0)</f>
        <v>0</v>
      </c>
      <c r="Y231" s="2">
        <f t="shared" si="20"/>
        <v>0</v>
      </c>
      <c r="Z231" s="2">
        <f t="shared" si="21"/>
        <v>0</v>
      </c>
      <c r="AA231" s="2">
        <f t="shared" si="24"/>
        <v>0</v>
      </c>
    </row>
    <row r="232" spans="10:27">
      <c r="J232" s="123"/>
      <c r="K232" s="123"/>
      <c r="T232" s="123"/>
      <c r="V232" s="2">
        <f t="shared" si="22"/>
        <v>19000100</v>
      </c>
      <c r="W232" s="2">
        <f t="shared" si="23"/>
        <v>0</v>
      </c>
      <c r="X232" s="2">
        <f>(SUMIF(F:F,IF(H:H="福禄20两全",F:F,0),险种!R:R)-SUMIFS(R:R,F:F,F:F,M:M,"&lt;=1"))*_xlfn.IFS(G:G=4126,1,OR(G:G&gt;4126,G:G&lt;4126),0)</f>
        <v>0</v>
      </c>
      <c r="Y232" s="2">
        <f t="shared" si="20"/>
        <v>0</v>
      </c>
      <c r="Z232" s="2">
        <f t="shared" si="21"/>
        <v>0</v>
      </c>
      <c r="AA232" s="2">
        <f t="shared" si="24"/>
        <v>0</v>
      </c>
    </row>
    <row r="233" spans="10:27">
      <c r="J233" s="123"/>
      <c r="K233" s="123"/>
      <c r="T233" s="123"/>
      <c r="V233" s="2">
        <f t="shared" si="22"/>
        <v>19000100</v>
      </c>
      <c r="W233" s="2">
        <f t="shared" si="23"/>
        <v>0</v>
      </c>
      <c r="X233" s="2">
        <f>(SUMIF(F:F,IF(H:H="福禄20两全",F:F,0),险种!R:R)-SUMIFS(R:R,F:F,F:F,M:M,"&lt;=1"))*_xlfn.IFS(G:G=4126,1,OR(G:G&gt;4126,G:G&lt;4126),0)</f>
        <v>0</v>
      </c>
      <c r="Y233" s="2">
        <f t="shared" si="20"/>
        <v>0</v>
      </c>
      <c r="Z233" s="2">
        <f t="shared" si="21"/>
        <v>0</v>
      </c>
      <c r="AA233" s="2">
        <f t="shared" si="24"/>
        <v>0</v>
      </c>
    </row>
    <row r="234" spans="10:27">
      <c r="J234" s="123"/>
      <c r="K234" s="123"/>
      <c r="T234" s="123"/>
      <c r="V234" s="2">
        <f t="shared" si="22"/>
        <v>19000100</v>
      </c>
      <c r="W234" s="2">
        <f t="shared" si="23"/>
        <v>0</v>
      </c>
      <c r="X234" s="2">
        <f>(SUMIF(F:F,IF(H:H="福禄20两全",F:F,0),险种!R:R)-SUMIFS(R:R,F:F,F:F,M:M,"&lt;=1"))*_xlfn.IFS(G:G=4126,1,OR(G:G&gt;4126,G:G&lt;4126),0)</f>
        <v>0</v>
      </c>
      <c r="Y234" s="2">
        <f t="shared" si="20"/>
        <v>0</v>
      </c>
      <c r="Z234" s="2">
        <f t="shared" si="21"/>
        <v>0</v>
      </c>
      <c r="AA234" s="2">
        <f t="shared" si="24"/>
        <v>0</v>
      </c>
    </row>
    <row r="235" spans="10:27">
      <c r="J235" s="123"/>
      <c r="K235" s="123"/>
      <c r="T235" s="123"/>
      <c r="V235" s="2">
        <f t="shared" si="22"/>
        <v>19000100</v>
      </c>
      <c r="W235" s="2">
        <f t="shared" si="23"/>
        <v>0</v>
      </c>
      <c r="X235" s="2">
        <f>(SUMIF(F:F,IF(H:H="福禄20两全",F:F,0),险种!R:R)-SUMIFS(R:R,F:F,F:F,M:M,"&lt;=1"))*_xlfn.IFS(G:G=4126,1,OR(G:G&gt;4126,G:G&lt;4126),0)</f>
        <v>0</v>
      </c>
      <c r="Y235" s="2">
        <f t="shared" si="20"/>
        <v>0</v>
      </c>
      <c r="Z235" s="2">
        <f t="shared" si="21"/>
        <v>0</v>
      </c>
      <c r="AA235" s="2">
        <f t="shared" si="24"/>
        <v>0</v>
      </c>
    </row>
    <row r="236" spans="10:27">
      <c r="J236" s="123"/>
      <c r="K236" s="123"/>
      <c r="T236" s="123"/>
      <c r="V236" s="2">
        <f t="shared" si="22"/>
        <v>19000100</v>
      </c>
      <c r="W236" s="2">
        <f t="shared" si="23"/>
        <v>0</v>
      </c>
      <c r="X236" s="2">
        <f>(SUMIF(F:F,IF(H:H="福禄20两全",F:F,0),险种!R:R)-SUMIFS(R:R,F:F,F:F,M:M,"&lt;=1"))*_xlfn.IFS(G:G=4126,1,OR(G:G&gt;4126,G:G&lt;4126),0)</f>
        <v>0</v>
      </c>
      <c r="Y236" s="2">
        <f t="shared" si="20"/>
        <v>0</v>
      </c>
      <c r="Z236" s="2">
        <f t="shared" si="21"/>
        <v>0</v>
      </c>
      <c r="AA236" s="2">
        <f t="shared" si="24"/>
        <v>0</v>
      </c>
    </row>
    <row r="237" spans="10:27">
      <c r="J237" s="123"/>
      <c r="K237" s="123"/>
      <c r="T237" s="123"/>
      <c r="V237" s="2">
        <f t="shared" si="22"/>
        <v>19000100</v>
      </c>
      <c r="W237" s="2">
        <f t="shared" si="23"/>
        <v>0</v>
      </c>
      <c r="X237" s="2">
        <f>(SUMIF(F:F,IF(H:H="福禄20两全",F:F,0),险种!R:R)-SUMIFS(R:R,F:F,F:F,M:M,"&lt;=1"))*_xlfn.IFS(G:G=4126,1,OR(G:G&gt;4126,G:G&lt;4126),0)</f>
        <v>0</v>
      </c>
      <c r="Y237" s="2">
        <f t="shared" si="20"/>
        <v>0</v>
      </c>
      <c r="Z237" s="2">
        <f t="shared" si="21"/>
        <v>0</v>
      </c>
      <c r="AA237" s="2">
        <f t="shared" si="24"/>
        <v>0</v>
      </c>
    </row>
    <row r="238" spans="10:27">
      <c r="J238" s="123"/>
      <c r="K238" s="123"/>
      <c r="T238" s="123"/>
      <c r="V238" s="2">
        <f t="shared" si="22"/>
        <v>19000100</v>
      </c>
      <c r="W238" s="2">
        <f t="shared" si="23"/>
        <v>0</v>
      </c>
      <c r="X238" s="2">
        <f>(SUMIF(F:F,IF(H:H="福禄20两全",F:F,0),险种!R:R)-SUMIFS(R:R,F:F,F:F,M:M,"&lt;=1"))*_xlfn.IFS(G:G=4126,1,OR(G:G&gt;4126,G:G&lt;4126),0)</f>
        <v>0</v>
      </c>
      <c r="Y238" s="2">
        <f t="shared" si="20"/>
        <v>0</v>
      </c>
      <c r="Z238" s="2">
        <f t="shared" si="21"/>
        <v>0</v>
      </c>
      <c r="AA238" s="2">
        <f t="shared" si="24"/>
        <v>0</v>
      </c>
    </row>
    <row r="239" spans="10:27">
      <c r="J239" s="123"/>
      <c r="K239" s="123"/>
      <c r="T239" s="123"/>
      <c r="V239" s="2">
        <f t="shared" si="22"/>
        <v>19000100</v>
      </c>
      <c r="W239" s="2">
        <f t="shared" si="23"/>
        <v>0</v>
      </c>
      <c r="X239" s="2">
        <f>(SUMIF(F:F,IF(H:H="福禄20两全",F:F,0),险种!R:R)-SUMIFS(R:R,F:F,F:F,M:M,"&lt;=1"))*_xlfn.IFS(G:G=4126,1,OR(G:G&gt;4126,G:G&lt;4126),0)</f>
        <v>0</v>
      </c>
      <c r="Y239" s="2">
        <f t="shared" si="20"/>
        <v>0</v>
      </c>
      <c r="Z239" s="2">
        <f t="shared" si="21"/>
        <v>0</v>
      </c>
      <c r="AA239" s="2">
        <f t="shared" si="24"/>
        <v>0</v>
      </c>
    </row>
    <row r="240" spans="10:27">
      <c r="J240" s="123"/>
      <c r="T240" s="123"/>
      <c r="V240" s="2">
        <f t="shared" si="22"/>
        <v>19000100</v>
      </c>
      <c r="W240" s="2">
        <f t="shared" si="23"/>
        <v>0</v>
      </c>
      <c r="X240" s="2">
        <f>(SUMIF(F:F,IF(H:H="福禄20两全",F:F,0),险种!R:R)-SUMIFS(R:R,F:F,F:F,M:M,"&lt;=1"))*_xlfn.IFS(G:G=4126,1,OR(G:G&gt;4126,G:G&lt;4126),0)</f>
        <v>0</v>
      </c>
      <c r="Y240" s="2">
        <f t="shared" si="20"/>
        <v>0</v>
      </c>
      <c r="Z240" s="2">
        <f t="shared" si="21"/>
        <v>0</v>
      </c>
      <c r="AA240" s="2">
        <f t="shared" si="24"/>
        <v>0</v>
      </c>
    </row>
    <row r="241" spans="10:27">
      <c r="J241" s="123"/>
      <c r="T241" s="123"/>
      <c r="V241" s="2">
        <f t="shared" si="22"/>
        <v>19000100</v>
      </c>
      <c r="W241" s="2">
        <f t="shared" si="23"/>
        <v>0</v>
      </c>
      <c r="X241" s="2">
        <f>(SUMIF(F:F,IF(H:H="福禄20两全",F:F,0),险种!R:R)-SUMIFS(R:R,F:F,F:F,M:M,"&lt;=1"))*_xlfn.IFS(G:G=4126,1,OR(G:G&gt;4126,G:G&lt;4126),0)</f>
        <v>0</v>
      </c>
      <c r="Y241" s="2">
        <f t="shared" si="20"/>
        <v>0</v>
      </c>
      <c r="Z241" s="2">
        <f t="shared" si="21"/>
        <v>0</v>
      </c>
      <c r="AA241" s="2">
        <f t="shared" si="24"/>
        <v>0</v>
      </c>
    </row>
    <row r="242" spans="10:27">
      <c r="J242" s="123"/>
      <c r="K242" s="123"/>
      <c r="T242" s="123"/>
      <c r="V242" s="2">
        <f t="shared" si="22"/>
        <v>19000100</v>
      </c>
      <c r="W242" s="2">
        <f t="shared" si="23"/>
        <v>0</v>
      </c>
      <c r="X242" s="2">
        <f>(SUMIF(F:F,IF(H:H="福禄20两全",F:F,0),险种!R:R)-SUMIFS(R:R,F:F,F:F,M:M,"&lt;=1"))*_xlfn.IFS(G:G=4126,1,OR(G:G&gt;4126,G:G&lt;4126),0)</f>
        <v>0</v>
      </c>
      <c r="Y242" s="2">
        <f t="shared" si="20"/>
        <v>0</v>
      </c>
      <c r="Z242" s="2">
        <f t="shared" si="21"/>
        <v>0</v>
      </c>
      <c r="AA242" s="2">
        <f t="shared" si="24"/>
        <v>0</v>
      </c>
    </row>
    <row r="243" spans="10:27">
      <c r="J243" s="123"/>
      <c r="K243" s="123"/>
      <c r="T243" s="123"/>
      <c r="V243" s="2">
        <f t="shared" si="22"/>
        <v>19000100</v>
      </c>
      <c r="W243" s="2">
        <f t="shared" si="23"/>
        <v>0</v>
      </c>
      <c r="X243" s="2">
        <f>(SUMIF(F:F,IF(H:H="福禄20两全",F:F,0),险种!R:R)-SUMIFS(R:R,F:F,F:F,M:M,"&lt;=1"))*_xlfn.IFS(G:G=4126,1,OR(G:G&gt;4126,G:G&lt;4126),0)</f>
        <v>0</v>
      </c>
      <c r="Y243" s="2">
        <f t="shared" si="20"/>
        <v>0</v>
      </c>
      <c r="Z243" s="2">
        <f t="shared" si="21"/>
        <v>0</v>
      </c>
      <c r="AA243" s="2">
        <f t="shared" si="24"/>
        <v>0</v>
      </c>
    </row>
    <row r="244" spans="10:27">
      <c r="J244" s="123"/>
      <c r="K244" s="123"/>
      <c r="T244" s="123"/>
      <c r="V244" s="2">
        <f t="shared" si="22"/>
        <v>19000100</v>
      </c>
      <c r="W244" s="2">
        <f t="shared" si="23"/>
        <v>0</v>
      </c>
      <c r="X244" s="2">
        <f>(SUMIF(F:F,IF(H:H="福禄20两全",F:F,0),险种!R:R)-SUMIFS(R:R,F:F,F:F,M:M,"&lt;=1"))*_xlfn.IFS(G:G=4126,1,OR(G:G&gt;4126,G:G&lt;4126),0)</f>
        <v>0</v>
      </c>
      <c r="Y244" s="2">
        <f t="shared" si="20"/>
        <v>0</v>
      </c>
      <c r="Z244" s="2">
        <f t="shared" si="21"/>
        <v>0</v>
      </c>
      <c r="AA244" s="2">
        <f t="shared" si="24"/>
        <v>0</v>
      </c>
    </row>
    <row r="245" spans="10:27">
      <c r="J245" s="123"/>
      <c r="K245" s="123"/>
      <c r="T245" s="123"/>
      <c r="V245" s="2">
        <f t="shared" si="22"/>
        <v>19000100</v>
      </c>
      <c r="W245" s="2">
        <f t="shared" si="23"/>
        <v>0</v>
      </c>
      <c r="X245" s="2">
        <f>(SUMIF(F:F,IF(H:H="福禄20两全",F:F,0),险种!R:R)-SUMIFS(R:R,F:F,F:F,M:M,"&lt;=1"))*_xlfn.IFS(G:G=4126,1,OR(G:G&gt;4126,G:G&lt;4126),0)</f>
        <v>0</v>
      </c>
      <c r="Y245" s="2">
        <f t="shared" si="20"/>
        <v>0</v>
      </c>
      <c r="Z245" s="2">
        <f t="shared" si="21"/>
        <v>0</v>
      </c>
      <c r="AA245" s="2">
        <f t="shared" si="24"/>
        <v>0</v>
      </c>
    </row>
    <row r="246" spans="10:27">
      <c r="J246" s="123"/>
      <c r="K246" s="123"/>
      <c r="T246" s="123"/>
      <c r="V246" s="2">
        <f t="shared" si="22"/>
        <v>19000100</v>
      </c>
      <c r="W246" s="2">
        <f t="shared" si="23"/>
        <v>0</v>
      </c>
      <c r="X246" s="2">
        <f>(SUMIF(F:F,IF(H:H="福禄20两全",F:F,0),险种!R:R)-SUMIFS(R:R,F:F,F:F,M:M,"&lt;=1"))*_xlfn.IFS(G:G=4126,1,OR(G:G&gt;4126,G:G&lt;4126),0)</f>
        <v>0</v>
      </c>
      <c r="Y246" s="2">
        <f t="shared" si="20"/>
        <v>0</v>
      </c>
      <c r="Z246" s="2">
        <f t="shared" si="21"/>
        <v>0</v>
      </c>
      <c r="AA246" s="2">
        <f t="shared" si="24"/>
        <v>0</v>
      </c>
    </row>
    <row r="247" spans="10:27">
      <c r="J247" s="123"/>
      <c r="K247" s="123"/>
      <c r="T247" s="123"/>
      <c r="V247" s="2">
        <f t="shared" si="22"/>
        <v>19000100</v>
      </c>
      <c r="W247" s="2">
        <f t="shared" si="23"/>
        <v>0</v>
      </c>
      <c r="X247" s="2">
        <f>(SUMIF(F:F,IF(H:H="福禄20两全",F:F,0),险种!R:R)-SUMIFS(R:R,F:F,F:F,M:M,"&lt;=1"))*_xlfn.IFS(G:G=4126,1,OR(G:G&gt;4126,G:G&lt;4126),0)</f>
        <v>0</v>
      </c>
      <c r="Y247" s="2">
        <f t="shared" si="20"/>
        <v>0</v>
      </c>
      <c r="Z247" s="2">
        <f t="shared" si="21"/>
        <v>0</v>
      </c>
      <c r="AA247" s="2">
        <f t="shared" si="24"/>
        <v>0</v>
      </c>
    </row>
    <row r="248" spans="10:27">
      <c r="J248" s="123"/>
      <c r="K248" s="123"/>
      <c r="T248" s="123"/>
      <c r="V248" s="2">
        <f t="shared" si="22"/>
        <v>19000100</v>
      </c>
      <c r="W248" s="2">
        <f t="shared" si="23"/>
        <v>0</v>
      </c>
      <c r="X248" s="2">
        <f>(SUMIF(F:F,IF(H:H="福禄20两全",F:F,0),险种!R:R)-SUMIFS(R:R,F:F,F:F,M:M,"&lt;=1"))*_xlfn.IFS(G:G=4126,1,OR(G:G&gt;4126,G:G&lt;4126),0)</f>
        <v>0</v>
      </c>
      <c r="Y248" s="2">
        <f t="shared" si="20"/>
        <v>0</v>
      </c>
      <c r="Z248" s="2">
        <f t="shared" si="21"/>
        <v>0</v>
      </c>
      <c r="AA248" s="2">
        <f t="shared" si="24"/>
        <v>0</v>
      </c>
    </row>
    <row r="249" spans="10:27">
      <c r="J249" s="123"/>
      <c r="K249" s="123"/>
      <c r="T249" s="123"/>
      <c r="V249" s="2">
        <f t="shared" si="22"/>
        <v>19000100</v>
      </c>
      <c r="W249" s="2">
        <f t="shared" si="23"/>
        <v>0</v>
      </c>
      <c r="X249" s="2">
        <f>(SUMIF(F:F,IF(H:H="福禄20两全",F:F,0),险种!R:R)-SUMIFS(R:R,F:F,F:F,M:M,"&lt;=1"))*_xlfn.IFS(G:G=4126,1,OR(G:G&gt;4126,G:G&lt;4126),0)</f>
        <v>0</v>
      </c>
      <c r="Y249" s="2">
        <f t="shared" si="20"/>
        <v>0</v>
      </c>
      <c r="Z249" s="2">
        <f t="shared" si="21"/>
        <v>0</v>
      </c>
      <c r="AA249" s="2">
        <f t="shared" si="24"/>
        <v>0</v>
      </c>
    </row>
    <row r="250" spans="10:27">
      <c r="J250" s="123"/>
      <c r="V250" s="2">
        <f t="shared" si="22"/>
        <v>19000100</v>
      </c>
      <c r="W250" s="2">
        <f t="shared" si="23"/>
        <v>0</v>
      </c>
      <c r="X250" s="2">
        <f>(SUMIF(F:F,IF(H:H="福禄20两全",F:F,0),险种!R:R)-SUMIFS(R:R,F:F,F:F,M:M,"&lt;=1"))*_xlfn.IFS(G:G=4126,1,OR(G:G&gt;4126,G:G&lt;4126),0)</f>
        <v>0</v>
      </c>
      <c r="Y250" s="2">
        <f t="shared" si="20"/>
        <v>0</v>
      </c>
      <c r="Z250" s="2">
        <f t="shared" si="21"/>
        <v>0</v>
      </c>
      <c r="AA250" s="2">
        <f t="shared" si="24"/>
        <v>0</v>
      </c>
    </row>
    <row r="251" spans="10:27">
      <c r="J251" s="123"/>
      <c r="V251" s="2">
        <f t="shared" si="22"/>
        <v>19000100</v>
      </c>
      <c r="W251" s="2">
        <f t="shared" si="23"/>
        <v>0</v>
      </c>
      <c r="X251" s="2">
        <f>(SUMIF(F:F,IF(H:H="福禄20两全",F:F,0),险种!R:R)-SUMIFS(R:R,F:F,F:F,M:M,"&lt;=1"))*_xlfn.IFS(G:G=4126,1,OR(G:G&gt;4126,G:G&lt;4126),0)</f>
        <v>0</v>
      </c>
      <c r="Y251" s="2">
        <f t="shared" si="20"/>
        <v>0</v>
      </c>
      <c r="Z251" s="2">
        <f t="shared" si="21"/>
        <v>0</v>
      </c>
      <c r="AA251" s="2">
        <f t="shared" si="24"/>
        <v>0</v>
      </c>
    </row>
    <row r="252" spans="10:27">
      <c r="J252" s="123"/>
      <c r="V252" s="2">
        <f t="shared" si="22"/>
        <v>19000100</v>
      </c>
      <c r="W252" s="2">
        <f t="shared" si="23"/>
        <v>0</v>
      </c>
      <c r="X252" s="2">
        <f>(SUMIF(F:F,IF(H:H="福禄20两全",F:F,0),险种!R:R)-SUMIFS(R:R,F:F,F:F,M:M,"&lt;=1"))*_xlfn.IFS(G:G=4126,1,OR(G:G&gt;4126,G:G&lt;4126),0)</f>
        <v>0</v>
      </c>
      <c r="Y252" s="2">
        <f t="shared" si="20"/>
        <v>0</v>
      </c>
      <c r="Z252" s="2">
        <f t="shared" si="21"/>
        <v>0</v>
      </c>
      <c r="AA252" s="2">
        <f t="shared" si="24"/>
        <v>0</v>
      </c>
    </row>
    <row r="253" spans="10:27">
      <c r="J253" s="1"/>
      <c r="K253" s="123"/>
      <c r="T253" s="123"/>
      <c r="V253" s="2">
        <f t="shared" si="22"/>
        <v>19000100</v>
      </c>
      <c r="W253" s="2">
        <f t="shared" si="23"/>
        <v>0</v>
      </c>
      <c r="X253" s="2">
        <f>(SUMIF(F:F,IF(H:H="福禄20两全",F:F,0),险种!R:R)-SUMIFS(R:R,F:F,F:F,M:M,"&lt;=1"))*_xlfn.IFS(G:G=4126,1,OR(G:G&gt;4126,G:G&lt;4126),0)</f>
        <v>0</v>
      </c>
      <c r="Y253" s="2">
        <f t="shared" si="20"/>
        <v>0</v>
      </c>
      <c r="Z253" s="2">
        <f t="shared" si="21"/>
        <v>0</v>
      </c>
      <c r="AA253" s="2">
        <f t="shared" si="24"/>
        <v>0</v>
      </c>
    </row>
    <row r="254" spans="10:27">
      <c r="J254" s="123"/>
      <c r="K254" s="123"/>
      <c r="T254" s="123"/>
      <c r="V254" s="2">
        <f t="shared" si="22"/>
        <v>19000100</v>
      </c>
      <c r="W254" s="2">
        <f t="shared" si="23"/>
        <v>0</v>
      </c>
      <c r="X254" s="2">
        <f>(SUMIF(F:F,IF(H:H="福禄20两全",F:F,0),险种!R:R)-SUMIFS(R:R,F:F,F:F,M:M,"&lt;=1"))*_xlfn.IFS(G:G=4126,1,OR(G:G&gt;4126,G:G&lt;4126),0)</f>
        <v>0</v>
      </c>
      <c r="Y254" s="2">
        <f t="shared" si="20"/>
        <v>0</v>
      </c>
      <c r="Z254" s="2">
        <f t="shared" si="21"/>
        <v>0</v>
      </c>
      <c r="AA254" s="2">
        <f t="shared" si="24"/>
        <v>0</v>
      </c>
    </row>
    <row r="255" spans="10:27">
      <c r="J255" s="123"/>
      <c r="K255" s="123"/>
      <c r="T255" s="123"/>
      <c r="V255" s="2">
        <f t="shared" si="22"/>
        <v>19000100</v>
      </c>
      <c r="W255" s="2">
        <f t="shared" si="23"/>
        <v>0</v>
      </c>
      <c r="X255" s="2">
        <f>(SUMIF(F:F,IF(H:H="福禄20两全",F:F,0),险种!R:R)-SUMIFS(R:R,F:F,F:F,M:M,"&lt;=1"))*_xlfn.IFS(G:G=4126,1,OR(G:G&gt;4126,G:G&lt;4126),0)</f>
        <v>0</v>
      </c>
      <c r="Y255" s="2">
        <f t="shared" si="20"/>
        <v>0</v>
      </c>
      <c r="Z255" s="2">
        <f t="shared" si="21"/>
        <v>0</v>
      </c>
      <c r="AA255" s="2">
        <f t="shared" si="24"/>
        <v>0</v>
      </c>
    </row>
    <row r="256" spans="10:27">
      <c r="J256" s="123"/>
      <c r="K256" s="123"/>
      <c r="T256" s="123"/>
      <c r="V256" s="2">
        <f t="shared" si="22"/>
        <v>19000100</v>
      </c>
      <c r="W256" s="2">
        <f t="shared" si="23"/>
        <v>0</v>
      </c>
      <c r="X256" s="2">
        <f>(SUMIF(F:F,IF(H:H="福禄20两全",F:F,0),险种!R:R)-SUMIFS(R:R,F:F,F:F,M:M,"&lt;=1"))*_xlfn.IFS(G:G=4126,1,OR(G:G&gt;4126,G:G&lt;4126),0)</f>
        <v>0</v>
      </c>
      <c r="Y256" s="2">
        <f t="shared" si="20"/>
        <v>0</v>
      </c>
      <c r="Z256" s="2">
        <f t="shared" si="21"/>
        <v>0</v>
      </c>
      <c r="AA256" s="2">
        <f t="shared" si="24"/>
        <v>0</v>
      </c>
    </row>
    <row r="257" spans="10:27">
      <c r="J257" s="123"/>
      <c r="K257" s="123"/>
      <c r="T257" s="123"/>
      <c r="V257" s="2">
        <f t="shared" si="22"/>
        <v>19000100</v>
      </c>
      <c r="W257" s="2">
        <f t="shared" si="23"/>
        <v>0</v>
      </c>
      <c r="X257" s="2">
        <f>(SUMIF(F:F,IF(H:H="福禄20两全",F:F,0),险种!R:R)-SUMIFS(R:R,F:F,F:F,M:M,"&lt;=1"))*_xlfn.IFS(G:G=4126,1,OR(G:G&gt;4126,G:G&lt;4126),0)</f>
        <v>0</v>
      </c>
      <c r="Y257" s="2">
        <f t="shared" si="20"/>
        <v>0</v>
      </c>
      <c r="Z257" s="2">
        <f t="shared" si="21"/>
        <v>0</v>
      </c>
      <c r="AA257" s="2">
        <f t="shared" si="24"/>
        <v>0</v>
      </c>
    </row>
    <row r="258" spans="10:27">
      <c r="J258" s="123"/>
      <c r="K258" s="123"/>
      <c r="T258" s="123"/>
      <c r="V258" s="2">
        <f t="shared" si="22"/>
        <v>19000100</v>
      </c>
      <c r="W258" s="2">
        <f t="shared" si="23"/>
        <v>0</v>
      </c>
      <c r="X258" s="2">
        <f>(SUMIF(F:F,IF(H:H="福禄20两全",F:F,0),险种!R:R)-SUMIFS(R:R,F:F,F:F,M:M,"&lt;=1"))*_xlfn.IFS(G:G=4126,1,OR(G:G&gt;4126,G:G&lt;4126),0)</f>
        <v>0</v>
      </c>
      <c r="Y258" s="2">
        <f t="shared" si="20"/>
        <v>0</v>
      </c>
      <c r="Z258" s="2">
        <f t="shared" si="21"/>
        <v>0</v>
      </c>
      <c r="AA258" s="2">
        <f t="shared" si="24"/>
        <v>0</v>
      </c>
    </row>
    <row r="259" spans="10:27">
      <c r="J259" s="123"/>
      <c r="K259" s="123"/>
      <c r="T259" s="123"/>
      <c r="V259" s="2">
        <f t="shared" si="22"/>
        <v>19000100</v>
      </c>
      <c r="W259" s="2">
        <f t="shared" si="23"/>
        <v>0</v>
      </c>
      <c r="X259" s="2">
        <f>(SUMIF(F:F,IF(H:H="福禄20两全",F:F,0),险种!R:R)-SUMIFS(R:R,F:F,F:F,M:M,"&lt;=1"))*_xlfn.IFS(G:G=4126,1,OR(G:G&gt;4126,G:G&lt;4126),0)</f>
        <v>0</v>
      </c>
      <c r="Y259" s="2">
        <f t="shared" ref="Y259:Y322" si="25">IF(AND(W:W=1,V:V&lt;=20210510),1,0)</f>
        <v>0</v>
      </c>
      <c r="Z259" s="2">
        <f t="shared" ref="Z259:Z322" si="26">IF(AND(W:W=1,V:V&lt;=20210520,V:V&gt;20210510),1,0)</f>
        <v>0</v>
      </c>
      <c r="AA259" s="2">
        <f t="shared" si="24"/>
        <v>0</v>
      </c>
    </row>
    <row r="260" spans="10:27">
      <c r="J260" s="123"/>
      <c r="K260" s="123"/>
      <c r="T260" s="123"/>
      <c r="V260" s="2">
        <f t="shared" si="22"/>
        <v>19000100</v>
      </c>
      <c r="W260" s="2">
        <f t="shared" si="23"/>
        <v>0</v>
      </c>
      <c r="X260" s="2">
        <f>(SUMIF(F:F,IF(H:H="福禄20两全",F:F,0),险种!R:R)-SUMIFS(R:R,F:F,F:F,M:M,"&lt;=1"))*_xlfn.IFS(G:G=4126,1,OR(G:G&gt;4126,G:G&lt;4126),0)</f>
        <v>0</v>
      </c>
      <c r="Y260" s="2">
        <f t="shared" si="25"/>
        <v>0</v>
      </c>
      <c r="Z260" s="2">
        <f t="shared" si="26"/>
        <v>0</v>
      </c>
      <c r="AA260" s="2">
        <f t="shared" si="24"/>
        <v>0</v>
      </c>
    </row>
    <row r="261" spans="10:27">
      <c r="J261" s="123"/>
      <c r="V261" s="2">
        <f t="shared" si="22"/>
        <v>19000100</v>
      </c>
      <c r="W261" s="2">
        <f t="shared" si="23"/>
        <v>0</v>
      </c>
      <c r="X261" s="2">
        <f>(SUMIF(F:F,IF(H:H="福禄20两全",F:F,0),险种!R:R)-SUMIFS(R:R,F:F,F:F,M:M,"&lt;=1"))*_xlfn.IFS(G:G=4126,1,OR(G:G&gt;4126,G:G&lt;4126),0)</f>
        <v>0</v>
      </c>
      <c r="Y261" s="2">
        <f t="shared" si="25"/>
        <v>0</v>
      </c>
      <c r="Z261" s="2">
        <f t="shared" si="26"/>
        <v>0</v>
      </c>
      <c r="AA261" s="2">
        <f t="shared" si="24"/>
        <v>0</v>
      </c>
    </row>
    <row r="262" spans="10:27">
      <c r="J262" s="123"/>
      <c r="V262" s="2">
        <f t="shared" si="22"/>
        <v>19000100</v>
      </c>
      <c r="W262" s="2">
        <f t="shared" si="23"/>
        <v>0</v>
      </c>
      <c r="X262" s="2">
        <f>(SUMIF(F:F,IF(H:H="福禄20两全",F:F,0),险种!R:R)-SUMIFS(R:R,F:F,F:F,M:M,"&lt;=1"))*_xlfn.IFS(G:G=4126,1,OR(G:G&gt;4126,G:G&lt;4126),0)</f>
        <v>0</v>
      </c>
      <c r="Y262" s="2">
        <f t="shared" si="25"/>
        <v>0</v>
      </c>
      <c r="Z262" s="2">
        <f t="shared" si="26"/>
        <v>0</v>
      </c>
      <c r="AA262" s="2">
        <f t="shared" si="24"/>
        <v>0</v>
      </c>
    </row>
    <row r="263" spans="10:27">
      <c r="J263" s="123"/>
      <c r="K263" s="123"/>
      <c r="T263" s="123"/>
      <c r="V263" s="2">
        <f t="shared" si="22"/>
        <v>19000100</v>
      </c>
      <c r="W263" s="2">
        <f t="shared" si="23"/>
        <v>0</v>
      </c>
      <c r="X263" s="2">
        <f>(SUMIF(F:F,IF(H:H="福禄20两全",F:F,0),险种!R:R)-SUMIFS(R:R,F:F,F:F,M:M,"&lt;=1"))*_xlfn.IFS(G:G=4126,1,OR(G:G&gt;4126,G:G&lt;4126),0)</f>
        <v>0</v>
      </c>
      <c r="Y263" s="2">
        <f t="shared" si="25"/>
        <v>0</v>
      </c>
      <c r="Z263" s="2">
        <f t="shared" si="26"/>
        <v>0</v>
      </c>
      <c r="AA263" s="2">
        <f t="shared" si="24"/>
        <v>0</v>
      </c>
    </row>
    <row r="264" spans="10:27">
      <c r="J264" s="123"/>
      <c r="V264" s="2">
        <f t="shared" si="22"/>
        <v>19000100</v>
      </c>
      <c r="W264" s="2">
        <f t="shared" si="23"/>
        <v>0</v>
      </c>
      <c r="X264" s="2">
        <f>(SUMIF(F:F,IF(H:H="福禄20两全",F:F,0),险种!R:R)-SUMIFS(R:R,F:F,F:F,M:M,"&lt;=1"))*_xlfn.IFS(G:G=4126,1,OR(G:G&gt;4126,G:G&lt;4126),0)</f>
        <v>0</v>
      </c>
      <c r="Y264" s="2">
        <f t="shared" si="25"/>
        <v>0</v>
      </c>
      <c r="Z264" s="2">
        <f t="shared" si="26"/>
        <v>0</v>
      </c>
      <c r="AA264" s="2">
        <f t="shared" si="24"/>
        <v>0</v>
      </c>
    </row>
    <row r="265" spans="10:27">
      <c r="J265" s="123"/>
      <c r="V265" s="2">
        <f t="shared" si="22"/>
        <v>19000100</v>
      </c>
      <c r="W265" s="2">
        <f t="shared" si="23"/>
        <v>0</v>
      </c>
      <c r="X265" s="2">
        <f>(SUMIF(F:F,IF(H:H="福禄20两全",F:F,0),险种!R:R)-SUMIFS(R:R,F:F,F:F,M:M,"&lt;=1"))*_xlfn.IFS(G:G=4126,1,OR(G:G&gt;4126,G:G&lt;4126),0)</f>
        <v>0</v>
      </c>
      <c r="Y265" s="2">
        <f t="shared" si="25"/>
        <v>0</v>
      </c>
      <c r="Z265" s="2">
        <f t="shared" si="26"/>
        <v>0</v>
      </c>
      <c r="AA265" s="2">
        <f t="shared" si="24"/>
        <v>0</v>
      </c>
    </row>
    <row r="266" spans="10:27">
      <c r="J266" s="123"/>
      <c r="V266" s="2">
        <f t="shared" si="22"/>
        <v>19000100</v>
      </c>
      <c r="W266" s="2">
        <f t="shared" si="23"/>
        <v>0</v>
      </c>
      <c r="X266" s="2">
        <f>(SUMIF(F:F,IF(H:H="福禄20两全",F:F,0),险种!R:R)-SUMIFS(R:R,F:F,F:F,M:M,"&lt;=1"))*_xlfn.IFS(G:G=4126,1,OR(G:G&gt;4126,G:G&lt;4126),0)</f>
        <v>0</v>
      </c>
      <c r="Y266" s="2">
        <f t="shared" si="25"/>
        <v>0</v>
      </c>
      <c r="Z266" s="2">
        <f t="shared" si="26"/>
        <v>0</v>
      </c>
      <c r="AA266" s="2">
        <f t="shared" si="24"/>
        <v>0</v>
      </c>
    </row>
    <row r="267" spans="10:27">
      <c r="J267" s="123"/>
      <c r="K267" s="123"/>
      <c r="T267" s="123"/>
      <c r="V267" s="2">
        <f t="shared" si="22"/>
        <v>19000100</v>
      </c>
      <c r="W267" s="2">
        <f t="shared" si="23"/>
        <v>0</v>
      </c>
      <c r="X267" s="2">
        <f>(SUMIF(F:F,IF(H:H="福禄20两全",F:F,0),险种!R:R)-SUMIFS(R:R,F:F,F:F,M:M,"&lt;=1"))*_xlfn.IFS(G:G=4126,1,OR(G:G&gt;4126,G:G&lt;4126),0)</f>
        <v>0</v>
      </c>
      <c r="Y267" s="2">
        <f t="shared" si="25"/>
        <v>0</v>
      </c>
      <c r="Z267" s="2">
        <f t="shared" si="26"/>
        <v>0</v>
      </c>
      <c r="AA267" s="2">
        <f t="shared" si="24"/>
        <v>0</v>
      </c>
    </row>
    <row r="268" spans="10:27">
      <c r="J268" s="123"/>
      <c r="K268" s="123"/>
      <c r="T268" s="123"/>
      <c r="V268" s="2">
        <f t="shared" si="22"/>
        <v>19000100</v>
      </c>
      <c r="W268" s="2">
        <f t="shared" si="23"/>
        <v>0</v>
      </c>
      <c r="X268" s="2">
        <f>(SUMIF(F:F,IF(H:H="福禄20两全",F:F,0),险种!R:R)-SUMIFS(R:R,F:F,F:F,M:M,"&lt;=1"))*_xlfn.IFS(G:G=4126,1,OR(G:G&gt;4126,G:G&lt;4126),0)</f>
        <v>0</v>
      </c>
      <c r="Y268" s="2">
        <f t="shared" si="25"/>
        <v>0</v>
      </c>
      <c r="Z268" s="2">
        <f t="shared" si="26"/>
        <v>0</v>
      </c>
      <c r="AA268" s="2">
        <f t="shared" si="24"/>
        <v>0</v>
      </c>
    </row>
    <row r="269" spans="10:27">
      <c r="J269" s="123"/>
      <c r="V269" s="2">
        <f t="shared" si="22"/>
        <v>19000100</v>
      </c>
      <c r="W269" s="2">
        <f t="shared" si="23"/>
        <v>0</v>
      </c>
      <c r="X269" s="2">
        <f>(SUMIF(F:F,IF(H:H="福禄20两全",F:F,0),险种!R:R)-SUMIFS(R:R,F:F,F:F,M:M,"&lt;=1"))*_xlfn.IFS(G:G=4126,1,OR(G:G&gt;4126,G:G&lt;4126),0)</f>
        <v>0</v>
      </c>
      <c r="Y269" s="2">
        <f t="shared" si="25"/>
        <v>0</v>
      </c>
      <c r="Z269" s="2">
        <f t="shared" si="26"/>
        <v>0</v>
      </c>
      <c r="AA269" s="2">
        <f t="shared" si="24"/>
        <v>0</v>
      </c>
    </row>
    <row r="270" spans="10:27">
      <c r="J270" s="123"/>
      <c r="V270" s="2">
        <f t="shared" si="22"/>
        <v>19000100</v>
      </c>
      <c r="W270" s="2">
        <f t="shared" si="23"/>
        <v>0</v>
      </c>
      <c r="X270" s="2">
        <f>(SUMIF(F:F,IF(H:H="福禄20两全",F:F,0),险种!R:R)-SUMIFS(R:R,F:F,F:F,M:M,"&lt;=1"))*_xlfn.IFS(G:G=4126,1,OR(G:G&gt;4126,G:G&lt;4126),0)</f>
        <v>0</v>
      </c>
      <c r="Y270" s="2">
        <f t="shared" si="25"/>
        <v>0</v>
      </c>
      <c r="Z270" s="2">
        <f t="shared" si="26"/>
        <v>0</v>
      </c>
      <c r="AA270" s="2">
        <f t="shared" si="24"/>
        <v>0</v>
      </c>
    </row>
    <row r="271" spans="10:27">
      <c r="J271" s="123"/>
      <c r="K271" s="123"/>
      <c r="T271" s="123"/>
      <c r="V271" s="2">
        <f t="shared" si="22"/>
        <v>19000100</v>
      </c>
      <c r="W271" s="2">
        <f t="shared" si="23"/>
        <v>0</v>
      </c>
      <c r="X271" s="2">
        <f>(SUMIF(F:F,IF(H:H="福禄20两全",F:F,0),险种!R:R)-SUMIFS(R:R,F:F,F:F,M:M,"&lt;=1"))*_xlfn.IFS(G:G=4126,1,OR(G:G&gt;4126,G:G&lt;4126),0)</f>
        <v>0</v>
      </c>
      <c r="Y271" s="2">
        <f t="shared" si="25"/>
        <v>0</v>
      </c>
      <c r="Z271" s="2">
        <f t="shared" si="26"/>
        <v>0</v>
      </c>
      <c r="AA271" s="2">
        <f t="shared" si="24"/>
        <v>0</v>
      </c>
    </row>
    <row r="272" spans="10:27">
      <c r="J272" s="123"/>
      <c r="K272" s="123"/>
      <c r="T272" s="123"/>
      <c r="V272" s="2">
        <f t="shared" ref="V272:V335" si="27">TEXT(J:J,"yyyymmdd")*1</f>
        <v>19000100</v>
      </c>
      <c r="W272" s="2">
        <f t="shared" ref="W272:W335" si="28">IF(AND(M:M&gt;1,R:R&gt;3000),1,0)-IF(AND(M:M&gt;1,R:R&gt;3000,G:G=4126),1,0)-IF(AND(M:M&gt;1,R:R&gt;3000,G:G=4127),1,0)+IF(X:X&gt;=3000,1,0)</f>
        <v>0</v>
      </c>
      <c r="X272" s="2">
        <f>(SUMIF(F:F,IF(H:H="福禄20两全",F:F,0),险种!R:R)-SUMIFS(R:R,F:F,F:F,M:M,"&lt;=1"))*_xlfn.IFS(G:G=4126,1,OR(G:G&gt;4126,G:G&lt;4126),0)</f>
        <v>0</v>
      </c>
      <c r="Y272" s="2">
        <f t="shared" si="25"/>
        <v>0</v>
      </c>
      <c r="Z272" s="2">
        <f t="shared" si="26"/>
        <v>0</v>
      </c>
      <c r="AA272" s="2">
        <f t="shared" si="24"/>
        <v>0</v>
      </c>
    </row>
    <row r="273" spans="10:27">
      <c r="J273" s="123"/>
      <c r="K273" s="123"/>
      <c r="T273" s="123"/>
      <c r="V273" s="2">
        <f t="shared" si="27"/>
        <v>19000100</v>
      </c>
      <c r="W273" s="2">
        <f t="shared" si="28"/>
        <v>0</v>
      </c>
      <c r="X273" s="2">
        <f>(SUMIF(F:F,IF(H:H="福禄20两全",F:F,0),险种!R:R)-SUMIFS(R:R,F:F,F:F,M:M,"&lt;=1"))*_xlfn.IFS(G:G=4126,1,OR(G:G&gt;4126,G:G&lt;4126),0)</f>
        <v>0</v>
      </c>
      <c r="Y273" s="2">
        <f t="shared" si="25"/>
        <v>0</v>
      </c>
      <c r="Z273" s="2">
        <f t="shared" si="26"/>
        <v>0</v>
      </c>
      <c r="AA273" s="2">
        <f t="shared" si="24"/>
        <v>0</v>
      </c>
    </row>
    <row r="274" spans="10:27">
      <c r="J274" s="123"/>
      <c r="K274" s="123"/>
      <c r="T274" s="123"/>
      <c r="V274" s="2">
        <f t="shared" si="27"/>
        <v>19000100</v>
      </c>
      <c r="W274" s="2">
        <f t="shared" si="28"/>
        <v>0</v>
      </c>
      <c r="X274" s="2">
        <f>(SUMIF(F:F,IF(H:H="福禄20两全",F:F,0),险种!R:R)-SUMIFS(R:R,F:F,F:F,M:M,"&lt;=1"))*_xlfn.IFS(G:G=4126,1,OR(G:G&gt;4126,G:G&lt;4126),0)</f>
        <v>0</v>
      </c>
      <c r="Y274" s="2">
        <f t="shared" si="25"/>
        <v>0</v>
      </c>
      <c r="Z274" s="2">
        <f t="shared" si="26"/>
        <v>0</v>
      </c>
      <c r="AA274" s="2">
        <f t="shared" si="24"/>
        <v>0</v>
      </c>
    </row>
    <row r="275" spans="10:27">
      <c r="J275" s="123"/>
      <c r="V275" s="2">
        <f t="shared" si="27"/>
        <v>19000100</v>
      </c>
      <c r="W275" s="2">
        <f t="shared" si="28"/>
        <v>0</v>
      </c>
      <c r="X275" s="2">
        <f>(SUMIF(F:F,IF(H:H="福禄20两全",F:F,0),险种!R:R)-SUMIFS(R:R,F:F,F:F,M:M,"&lt;=1"))*_xlfn.IFS(G:G=4126,1,OR(G:G&gt;4126,G:G&lt;4126),0)</f>
        <v>0</v>
      </c>
      <c r="Y275" s="2">
        <f t="shared" si="25"/>
        <v>0</v>
      </c>
      <c r="Z275" s="2">
        <f t="shared" si="26"/>
        <v>0</v>
      </c>
      <c r="AA275" s="2">
        <f t="shared" si="24"/>
        <v>0</v>
      </c>
    </row>
    <row r="276" spans="10:27">
      <c r="J276" s="123"/>
      <c r="V276" s="2">
        <f t="shared" si="27"/>
        <v>19000100</v>
      </c>
      <c r="W276" s="2">
        <f t="shared" si="28"/>
        <v>0</v>
      </c>
      <c r="X276" s="2">
        <f>(SUMIF(F:F,IF(H:H="福禄20两全",F:F,0),险种!R:R)-SUMIFS(R:R,F:F,F:F,M:M,"&lt;=1"))*_xlfn.IFS(G:G=4126,1,OR(G:G&gt;4126,G:G&lt;4126),0)</f>
        <v>0</v>
      </c>
      <c r="Y276" s="2">
        <f t="shared" si="25"/>
        <v>0</v>
      </c>
      <c r="Z276" s="2">
        <f t="shared" si="26"/>
        <v>0</v>
      </c>
      <c r="AA276" s="2">
        <f t="shared" si="24"/>
        <v>0</v>
      </c>
    </row>
    <row r="277" spans="10:27">
      <c r="J277" s="123"/>
      <c r="V277" s="2">
        <f t="shared" si="27"/>
        <v>19000100</v>
      </c>
      <c r="W277" s="2">
        <f t="shared" si="28"/>
        <v>0</v>
      </c>
      <c r="X277" s="2">
        <f>(SUMIF(F:F,IF(H:H="福禄20两全",F:F,0),险种!R:R)-SUMIFS(R:R,F:F,F:F,M:M,"&lt;=1"))*_xlfn.IFS(G:G=4126,1,OR(G:G&gt;4126,G:G&lt;4126),0)</f>
        <v>0</v>
      </c>
      <c r="Y277" s="2">
        <f t="shared" si="25"/>
        <v>0</v>
      </c>
      <c r="Z277" s="2">
        <f t="shared" si="26"/>
        <v>0</v>
      </c>
      <c r="AA277" s="2">
        <f t="shared" si="24"/>
        <v>0</v>
      </c>
    </row>
    <row r="278" spans="10:27">
      <c r="J278" s="123"/>
      <c r="K278" s="123"/>
      <c r="T278" s="123"/>
      <c r="V278" s="2">
        <f t="shared" si="27"/>
        <v>19000100</v>
      </c>
      <c r="W278" s="2">
        <f t="shared" si="28"/>
        <v>0</v>
      </c>
      <c r="X278" s="2">
        <f>(SUMIF(F:F,IF(H:H="福禄20两全",F:F,0),险种!R:R)-SUMIFS(R:R,F:F,F:F,M:M,"&lt;=1"))*_xlfn.IFS(G:G=4126,1,OR(G:G&gt;4126,G:G&lt;4126),0)</f>
        <v>0</v>
      </c>
      <c r="Y278" s="2">
        <f t="shared" si="25"/>
        <v>0</v>
      </c>
      <c r="Z278" s="2">
        <f t="shared" si="26"/>
        <v>0</v>
      </c>
      <c r="AA278" s="2">
        <f t="shared" si="24"/>
        <v>0</v>
      </c>
    </row>
    <row r="279" spans="10:27">
      <c r="J279" s="123"/>
      <c r="K279" s="123"/>
      <c r="T279" s="123"/>
      <c r="V279" s="2">
        <f t="shared" si="27"/>
        <v>19000100</v>
      </c>
      <c r="W279" s="2">
        <f t="shared" si="28"/>
        <v>0</v>
      </c>
      <c r="X279" s="2">
        <f>(SUMIF(F:F,IF(H:H="福禄20两全",F:F,0),险种!R:R)-SUMIFS(R:R,F:F,F:F,M:M,"&lt;=1"))*_xlfn.IFS(G:G=4126,1,OR(G:G&gt;4126,G:G&lt;4126),0)</f>
        <v>0</v>
      </c>
      <c r="Y279" s="2">
        <f t="shared" si="25"/>
        <v>0</v>
      </c>
      <c r="Z279" s="2">
        <f t="shared" si="26"/>
        <v>0</v>
      </c>
      <c r="AA279" s="2">
        <f t="shared" si="24"/>
        <v>0</v>
      </c>
    </row>
    <row r="280" spans="10:27">
      <c r="J280" s="123"/>
      <c r="K280" s="123"/>
      <c r="T280" s="123"/>
      <c r="V280" s="2">
        <f t="shared" si="27"/>
        <v>19000100</v>
      </c>
      <c r="W280" s="2">
        <f t="shared" si="28"/>
        <v>0</v>
      </c>
      <c r="X280" s="2">
        <f>(SUMIF(F:F,IF(H:H="福禄20两全",F:F,0),险种!R:R)-SUMIFS(R:R,F:F,F:F,M:M,"&lt;=1"))*_xlfn.IFS(G:G=4126,1,OR(G:G&gt;4126,G:G&lt;4126),0)</f>
        <v>0</v>
      </c>
      <c r="Y280" s="2">
        <f t="shared" si="25"/>
        <v>0</v>
      </c>
      <c r="Z280" s="2">
        <f t="shared" si="26"/>
        <v>0</v>
      </c>
      <c r="AA280" s="2">
        <f t="shared" si="24"/>
        <v>0</v>
      </c>
    </row>
    <row r="281" spans="10:27">
      <c r="J281" s="123"/>
      <c r="K281" s="123"/>
      <c r="T281" s="123"/>
      <c r="V281" s="2">
        <f t="shared" si="27"/>
        <v>19000100</v>
      </c>
      <c r="W281" s="2">
        <f t="shared" si="28"/>
        <v>0</v>
      </c>
      <c r="X281" s="2">
        <f>(SUMIF(F:F,IF(H:H="福禄20两全",F:F,0),险种!R:R)-SUMIFS(R:R,F:F,F:F,M:M,"&lt;=1"))*_xlfn.IFS(G:G=4126,1,OR(G:G&gt;4126,G:G&lt;4126),0)</f>
        <v>0</v>
      </c>
      <c r="Y281" s="2">
        <f t="shared" si="25"/>
        <v>0</v>
      </c>
      <c r="Z281" s="2">
        <f t="shared" si="26"/>
        <v>0</v>
      </c>
      <c r="AA281" s="2">
        <f t="shared" si="24"/>
        <v>0</v>
      </c>
    </row>
    <row r="282" spans="10:27">
      <c r="J282" s="123"/>
      <c r="K282" s="123"/>
      <c r="T282" s="123"/>
      <c r="V282" s="2">
        <f t="shared" si="27"/>
        <v>19000100</v>
      </c>
      <c r="W282" s="2">
        <f t="shared" si="28"/>
        <v>0</v>
      </c>
      <c r="X282" s="2">
        <f>(SUMIF(F:F,IF(H:H="福禄20两全",F:F,0),险种!R:R)-SUMIFS(R:R,F:F,F:F,M:M,"&lt;=1"))*_xlfn.IFS(G:G=4126,1,OR(G:G&gt;4126,G:G&lt;4126),0)</f>
        <v>0</v>
      </c>
      <c r="Y282" s="2">
        <f t="shared" si="25"/>
        <v>0</v>
      </c>
      <c r="Z282" s="2">
        <f t="shared" si="26"/>
        <v>0</v>
      </c>
      <c r="AA282" s="2">
        <f t="shared" si="24"/>
        <v>0</v>
      </c>
    </row>
    <row r="283" spans="10:27">
      <c r="J283" s="123"/>
      <c r="K283" s="123"/>
      <c r="T283" s="123"/>
      <c r="V283" s="2">
        <f t="shared" si="27"/>
        <v>19000100</v>
      </c>
      <c r="W283" s="2">
        <f t="shared" si="28"/>
        <v>0</v>
      </c>
      <c r="X283" s="2">
        <f>(SUMIF(F:F,IF(H:H="福禄20两全",F:F,0),险种!R:R)-SUMIFS(R:R,F:F,F:F,M:M,"&lt;=1"))*_xlfn.IFS(G:G=4126,1,OR(G:G&gt;4126,G:G&lt;4126),0)</f>
        <v>0</v>
      </c>
      <c r="Y283" s="2">
        <f t="shared" si="25"/>
        <v>0</v>
      </c>
      <c r="Z283" s="2">
        <f t="shared" si="26"/>
        <v>0</v>
      </c>
      <c r="AA283" s="2">
        <f t="shared" si="24"/>
        <v>0</v>
      </c>
    </row>
    <row r="284" spans="10:27">
      <c r="J284" s="123"/>
      <c r="K284" s="123"/>
      <c r="T284" s="123"/>
      <c r="V284" s="2">
        <f t="shared" si="27"/>
        <v>19000100</v>
      </c>
      <c r="W284" s="2">
        <f t="shared" si="28"/>
        <v>0</v>
      </c>
      <c r="X284" s="2">
        <f>(SUMIF(F:F,IF(H:H="福禄20两全",F:F,0),险种!R:R)-SUMIFS(R:R,F:F,F:F,M:M,"&lt;=1"))*_xlfn.IFS(G:G=4126,1,OR(G:G&gt;4126,G:G&lt;4126),0)</f>
        <v>0</v>
      </c>
      <c r="Y284" s="2">
        <f t="shared" si="25"/>
        <v>0</v>
      </c>
      <c r="Z284" s="2">
        <f t="shared" si="26"/>
        <v>0</v>
      </c>
      <c r="AA284" s="2">
        <f t="shared" si="24"/>
        <v>0</v>
      </c>
    </row>
    <row r="285" spans="10:27">
      <c r="J285" s="123"/>
      <c r="K285" s="123"/>
      <c r="T285" s="123"/>
      <c r="V285" s="2">
        <f t="shared" si="27"/>
        <v>19000100</v>
      </c>
      <c r="W285" s="2">
        <f t="shared" si="28"/>
        <v>0</v>
      </c>
      <c r="X285" s="2">
        <f>(SUMIF(F:F,IF(H:H="福禄20两全",F:F,0),险种!R:R)-SUMIFS(R:R,F:F,F:F,M:M,"&lt;=1"))*_xlfn.IFS(G:G=4126,1,OR(G:G&gt;4126,G:G&lt;4126),0)</f>
        <v>0</v>
      </c>
      <c r="Y285" s="2">
        <f t="shared" si="25"/>
        <v>0</v>
      </c>
      <c r="Z285" s="2">
        <f t="shared" si="26"/>
        <v>0</v>
      </c>
      <c r="AA285" s="2">
        <f t="shared" si="24"/>
        <v>0</v>
      </c>
    </row>
    <row r="286" spans="10:27">
      <c r="J286" s="123"/>
      <c r="K286" s="123"/>
      <c r="T286" s="123"/>
      <c r="V286" s="2">
        <f t="shared" si="27"/>
        <v>19000100</v>
      </c>
      <c r="W286" s="2">
        <f t="shared" si="28"/>
        <v>0</v>
      </c>
      <c r="X286" s="2">
        <f>(SUMIF(F:F,IF(H:H="福禄20两全",F:F,0),险种!R:R)-SUMIFS(R:R,F:F,F:F,M:M,"&lt;=1"))*_xlfn.IFS(G:G=4126,1,OR(G:G&gt;4126,G:G&lt;4126),0)</f>
        <v>0</v>
      </c>
      <c r="Y286" s="2">
        <f t="shared" si="25"/>
        <v>0</v>
      </c>
      <c r="Z286" s="2">
        <f t="shared" si="26"/>
        <v>0</v>
      </c>
      <c r="AA286" s="2">
        <f t="shared" si="24"/>
        <v>0</v>
      </c>
    </row>
    <row r="287" spans="10:27">
      <c r="J287" s="123"/>
      <c r="K287" s="123"/>
      <c r="T287" s="123"/>
      <c r="V287" s="2">
        <f t="shared" si="27"/>
        <v>19000100</v>
      </c>
      <c r="W287" s="2">
        <f t="shared" si="28"/>
        <v>0</v>
      </c>
      <c r="X287" s="2">
        <f>(SUMIF(F:F,IF(H:H="福禄20两全",F:F,0),险种!R:R)-SUMIFS(R:R,F:F,F:F,M:M,"&lt;=1"))*_xlfn.IFS(G:G=4126,1,OR(G:G&gt;4126,G:G&lt;4126),0)</f>
        <v>0</v>
      </c>
      <c r="Y287" s="2">
        <f t="shared" si="25"/>
        <v>0</v>
      </c>
      <c r="Z287" s="2">
        <f t="shared" si="26"/>
        <v>0</v>
      </c>
      <c r="AA287" s="2">
        <f t="shared" si="24"/>
        <v>0</v>
      </c>
    </row>
    <row r="288" spans="10:27">
      <c r="J288" s="123"/>
      <c r="K288" s="123"/>
      <c r="T288" s="123"/>
      <c r="V288" s="2">
        <f t="shared" si="27"/>
        <v>19000100</v>
      </c>
      <c r="W288" s="2">
        <f t="shared" si="28"/>
        <v>0</v>
      </c>
      <c r="X288" s="2">
        <f>(SUMIF(F:F,IF(H:H="福禄20两全",F:F,0),险种!R:R)-SUMIFS(R:R,F:F,F:F,M:M,"&lt;=1"))*_xlfn.IFS(G:G=4126,1,OR(G:G&gt;4126,G:G&lt;4126),0)</f>
        <v>0</v>
      </c>
      <c r="Y288" s="2">
        <f t="shared" si="25"/>
        <v>0</v>
      </c>
      <c r="Z288" s="2">
        <f t="shared" si="26"/>
        <v>0</v>
      </c>
      <c r="AA288" s="2">
        <f t="shared" si="24"/>
        <v>0</v>
      </c>
    </row>
    <row r="289" spans="10:27">
      <c r="J289" s="123"/>
      <c r="V289" s="2">
        <f t="shared" si="27"/>
        <v>19000100</v>
      </c>
      <c r="W289" s="2">
        <f t="shared" si="28"/>
        <v>0</v>
      </c>
      <c r="X289" s="2">
        <f>(SUMIF(F:F,IF(H:H="福禄20两全",F:F,0),险种!R:R)-SUMIFS(R:R,F:F,F:F,M:M,"&lt;=1"))*_xlfn.IFS(G:G=4126,1,OR(G:G&gt;4126,G:G&lt;4126),0)</f>
        <v>0</v>
      </c>
      <c r="Y289" s="2">
        <f t="shared" si="25"/>
        <v>0</v>
      </c>
      <c r="Z289" s="2">
        <f t="shared" si="26"/>
        <v>0</v>
      </c>
      <c r="AA289" s="2">
        <f t="shared" si="24"/>
        <v>0</v>
      </c>
    </row>
    <row r="290" spans="10:27">
      <c r="J290" s="123"/>
      <c r="V290" s="2">
        <f t="shared" si="27"/>
        <v>19000100</v>
      </c>
      <c r="W290" s="2">
        <f t="shared" si="28"/>
        <v>0</v>
      </c>
      <c r="X290" s="2">
        <f>(SUMIF(F:F,IF(H:H="福禄20两全",F:F,0),险种!R:R)-SUMIFS(R:R,F:F,F:F,M:M,"&lt;=1"))*_xlfn.IFS(G:G=4126,1,OR(G:G&gt;4126,G:G&lt;4126),0)</f>
        <v>0</v>
      </c>
      <c r="Y290" s="2">
        <f t="shared" si="25"/>
        <v>0</v>
      </c>
      <c r="Z290" s="2">
        <f t="shared" si="26"/>
        <v>0</v>
      </c>
      <c r="AA290" s="2">
        <f t="shared" si="24"/>
        <v>0</v>
      </c>
    </row>
    <row r="291" spans="10:27">
      <c r="J291" s="123"/>
      <c r="V291" s="2">
        <f t="shared" si="27"/>
        <v>19000100</v>
      </c>
      <c r="W291" s="2">
        <f t="shared" si="28"/>
        <v>0</v>
      </c>
      <c r="X291" s="2">
        <f>(SUMIF(F:F,IF(H:H="福禄20两全",F:F,0),险种!R:R)-SUMIFS(R:R,F:F,F:F,M:M,"&lt;=1"))*_xlfn.IFS(G:G=4126,1,OR(G:G&gt;4126,G:G&lt;4126),0)</f>
        <v>0</v>
      </c>
      <c r="Y291" s="2">
        <f t="shared" si="25"/>
        <v>0</v>
      </c>
      <c r="Z291" s="2">
        <f t="shared" si="26"/>
        <v>0</v>
      </c>
      <c r="AA291" s="2">
        <f t="shared" ref="AA291:AA354" si="29">ROUNDDOWN(IF(AND(R:R&gt;=1000,M:M&gt;1),R:R,0)/1000,0)*IF(OR(G:G=4126,G:G=4127),0,1)+ROUNDDOWN(X:X/1000,)</f>
        <v>0</v>
      </c>
    </row>
    <row r="292" spans="10:27">
      <c r="J292" s="123"/>
      <c r="K292" s="123"/>
      <c r="T292" s="123"/>
      <c r="V292" s="2">
        <f t="shared" si="27"/>
        <v>19000100</v>
      </c>
      <c r="W292" s="2">
        <f t="shared" si="28"/>
        <v>0</v>
      </c>
      <c r="X292" s="2">
        <f>(SUMIF(F:F,IF(H:H="福禄20两全",F:F,0),险种!R:R)-SUMIFS(R:R,F:F,F:F,M:M,"&lt;=1"))*_xlfn.IFS(G:G=4126,1,OR(G:G&gt;4126,G:G&lt;4126),0)</f>
        <v>0</v>
      </c>
      <c r="Y292" s="2">
        <f t="shared" si="25"/>
        <v>0</v>
      </c>
      <c r="Z292" s="2">
        <f t="shared" si="26"/>
        <v>0</v>
      </c>
      <c r="AA292" s="2">
        <f t="shared" si="29"/>
        <v>0</v>
      </c>
    </row>
    <row r="293" spans="10:27">
      <c r="J293" s="123"/>
      <c r="K293" s="123"/>
      <c r="T293" s="123"/>
      <c r="V293" s="2">
        <f t="shared" si="27"/>
        <v>19000100</v>
      </c>
      <c r="W293" s="2">
        <f t="shared" si="28"/>
        <v>0</v>
      </c>
      <c r="X293" s="2">
        <f>(SUMIF(F:F,IF(H:H="福禄20两全",F:F,0),险种!R:R)-SUMIFS(R:R,F:F,F:F,M:M,"&lt;=1"))*_xlfn.IFS(G:G=4126,1,OR(G:G&gt;4126,G:G&lt;4126),0)</f>
        <v>0</v>
      </c>
      <c r="Y293" s="2">
        <f t="shared" si="25"/>
        <v>0</v>
      </c>
      <c r="Z293" s="2">
        <f t="shared" si="26"/>
        <v>0</v>
      </c>
      <c r="AA293" s="2">
        <f t="shared" si="29"/>
        <v>0</v>
      </c>
    </row>
    <row r="294" spans="10:27">
      <c r="J294" s="123"/>
      <c r="K294" s="123"/>
      <c r="T294" s="123"/>
      <c r="V294" s="2">
        <f t="shared" si="27"/>
        <v>19000100</v>
      </c>
      <c r="W294" s="2">
        <f t="shared" si="28"/>
        <v>0</v>
      </c>
      <c r="X294" s="2">
        <f>(SUMIF(F:F,IF(H:H="福禄20两全",F:F,0),险种!R:R)-SUMIFS(R:R,F:F,F:F,M:M,"&lt;=1"))*_xlfn.IFS(G:G=4126,1,OR(G:G&gt;4126,G:G&lt;4126),0)</f>
        <v>0</v>
      </c>
      <c r="Y294" s="2">
        <f t="shared" si="25"/>
        <v>0</v>
      </c>
      <c r="Z294" s="2">
        <f t="shared" si="26"/>
        <v>0</v>
      </c>
      <c r="AA294" s="2">
        <f t="shared" si="29"/>
        <v>0</v>
      </c>
    </row>
    <row r="295" spans="10:27">
      <c r="J295" s="123"/>
      <c r="K295" s="123"/>
      <c r="T295" s="123"/>
      <c r="V295" s="2">
        <f t="shared" si="27"/>
        <v>19000100</v>
      </c>
      <c r="W295" s="2">
        <f t="shared" si="28"/>
        <v>0</v>
      </c>
      <c r="X295" s="2">
        <f>(SUMIF(F:F,IF(H:H="福禄20两全",F:F,0),险种!R:R)-SUMIFS(R:R,F:F,F:F,M:M,"&lt;=1"))*_xlfn.IFS(G:G=4126,1,OR(G:G&gt;4126,G:G&lt;4126),0)</f>
        <v>0</v>
      </c>
      <c r="Y295" s="2">
        <f t="shared" si="25"/>
        <v>0</v>
      </c>
      <c r="Z295" s="2">
        <f t="shared" si="26"/>
        <v>0</v>
      </c>
      <c r="AA295" s="2">
        <f t="shared" si="29"/>
        <v>0</v>
      </c>
    </row>
    <row r="296" spans="10:27">
      <c r="J296" s="123"/>
      <c r="K296" s="123"/>
      <c r="T296" s="123"/>
      <c r="V296" s="2">
        <f t="shared" si="27"/>
        <v>19000100</v>
      </c>
      <c r="W296" s="2">
        <f t="shared" si="28"/>
        <v>0</v>
      </c>
      <c r="X296" s="2">
        <f>(SUMIF(F:F,IF(H:H="福禄20两全",F:F,0),险种!R:R)-SUMIFS(R:R,F:F,F:F,M:M,"&lt;=1"))*_xlfn.IFS(G:G=4126,1,OR(G:G&gt;4126,G:G&lt;4126),0)</f>
        <v>0</v>
      </c>
      <c r="Y296" s="2">
        <f t="shared" si="25"/>
        <v>0</v>
      </c>
      <c r="Z296" s="2">
        <f t="shared" si="26"/>
        <v>0</v>
      </c>
      <c r="AA296" s="2">
        <f t="shared" si="29"/>
        <v>0</v>
      </c>
    </row>
    <row r="297" spans="10:27">
      <c r="J297" s="123"/>
      <c r="K297" s="123"/>
      <c r="T297" s="123"/>
      <c r="V297" s="2">
        <f t="shared" si="27"/>
        <v>19000100</v>
      </c>
      <c r="W297" s="2">
        <f t="shared" si="28"/>
        <v>0</v>
      </c>
      <c r="X297" s="2">
        <f>(SUMIF(F:F,IF(H:H="福禄20两全",F:F,0),险种!R:R)-SUMIFS(R:R,F:F,F:F,M:M,"&lt;=1"))*_xlfn.IFS(G:G=4126,1,OR(G:G&gt;4126,G:G&lt;4126),0)</f>
        <v>0</v>
      </c>
      <c r="Y297" s="2">
        <f t="shared" si="25"/>
        <v>0</v>
      </c>
      <c r="Z297" s="2">
        <f t="shared" si="26"/>
        <v>0</v>
      </c>
      <c r="AA297" s="2">
        <f t="shared" si="29"/>
        <v>0</v>
      </c>
    </row>
    <row r="298" spans="10:27">
      <c r="J298" s="123"/>
      <c r="K298" s="123"/>
      <c r="T298" s="123"/>
      <c r="V298" s="2">
        <f t="shared" si="27"/>
        <v>19000100</v>
      </c>
      <c r="W298" s="2">
        <f t="shared" si="28"/>
        <v>0</v>
      </c>
      <c r="X298" s="2">
        <f>(SUMIF(F:F,IF(H:H="福禄20两全",F:F,0),险种!R:R)-SUMIFS(R:R,F:F,F:F,M:M,"&lt;=1"))*_xlfn.IFS(G:G=4126,1,OR(G:G&gt;4126,G:G&lt;4126),0)</f>
        <v>0</v>
      </c>
      <c r="Y298" s="2">
        <f t="shared" si="25"/>
        <v>0</v>
      </c>
      <c r="Z298" s="2">
        <f t="shared" si="26"/>
        <v>0</v>
      </c>
      <c r="AA298" s="2">
        <f t="shared" si="29"/>
        <v>0</v>
      </c>
    </row>
    <row r="299" spans="10:27">
      <c r="J299" s="123"/>
      <c r="K299" s="123"/>
      <c r="T299" s="123"/>
      <c r="V299" s="2">
        <f t="shared" si="27"/>
        <v>19000100</v>
      </c>
      <c r="W299" s="2">
        <f t="shared" si="28"/>
        <v>0</v>
      </c>
      <c r="X299" s="2">
        <f>(SUMIF(F:F,IF(H:H="福禄20两全",F:F,0),险种!R:R)-SUMIFS(R:R,F:F,F:F,M:M,"&lt;=1"))*_xlfn.IFS(G:G=4126,1,OR(G:G&gt;4126,G:G&lt;4126),0)</f>
        <v>0</v>
      </c>
      <c r="Y299" s="2">
        <f t="shared" si="25"/>
        <v>0</v>
      </c>
      <c r="Z299" s="2">
        <f t="shared" si="26"/>
        <v>0</v>
      </c>
      <c r="AA299" s="2">
        <f t="shared" si="29"/>
        <v>0</v>
      </c>
    </row>
    <row r="300" spans="10:27">
      <c r="J300" s="123"/>
      <c r="K300" s="123"/>
      <c r="T300" s="123"/>
      <c r="V300" s="2">
        <f t="shared" si="27"/>
        <v>19000100</v>
      </c>
      <c r="W300" s="2">
        <f t="shared" si="28"/>
        <v>0</v>
      </c>
      <c r="X300" s="2">
        <f>(SUMIF(F:F,IF(H:H="福禄20两全",F:F,0),险种!R:R)-SUMIFS(R:R,F:F,F:F,M:M,"&lt;=1"))*_xlfn.IFS(G:G=4126,1,OR(G:G&gt;4126,G:G&lt;4126),0)</f>
        <v>0</v>
      </c>
      <c r="Y300" s="2">
        <f t="shared" si="25"/>
        <v>0</v>
      </c>
      <c r="Z300" s="2">
        <f t="shared" si="26"/>
        <v>0</v>
      </c>
      <c r="AA300" s="2">
        <f t="shared" si="29"/>
        <v>0</v>
      </c>
    </row>
    <row r="301" spans="10:27">
      <c r="J301" s="123"/>
      <c r="K301" s="123"/>
      <c r="T301" s="123"/>
      <c r="V301" s="2">
        <f t="shared" si="27"/>
        <v>19000100</v>
      </c>
      <c r="W301" s="2">
        <f t="shared" si="28"/>
        <v>0</v>
      </c>
      <c r="X301" s="2">
        <f>(SUMIF(F:F,IF(H:H="福禄20两全",F:F,0),险种!R:R)-SUMIFS(R:R,F:F,F:F,M:M,"&lt;=1"))*_xlfn.IFS(G:G=4126,1,OR(G:G&gt;4126,G:G&lt;4126),0)</f>
        <v>0</v>
      </c>
      <c r="Y301" s="2">
        <f t="shared" si="25"/>
        <v>0</v>
      </c>
      <c r="Z301" s="2">
        <f t="shared" si="26"/>
        <v>0</v>
      </c>
      <c r="AA301" s="2">
        <f t="shared" si="29"/>
        <v>0</v>
      </c>
    </row>
    <row r="302" spans="10:27">
      <c r="J302" s="123"/>
      <c r="K302" s="123"/>
      <c r="T302" s="123"/>
      <c r="V302" s="2">
        <f t="shared" si="27"/>
        <v>19000100</v>
      </c>
      <c r="W302" s="2">
        <f t="shared" si="28"/>
        <v>0</v>
      </c>
      <c r="X302" s="2">
        <f>(SUMIF(F:F,IF(H:H="福禄20两全",F:F,0),险种!R:R)-SUMIFS(R:R,F:F,F:F,M:M,"&lt;=1"))*_xlfn.IFS(G:G=4126,1,OR(G:G&gt;4126,G:G&lt;4126),0)</f>
        <v>0</v>
      </c>
      <c r="Y302" s="2">
        <f t="shared" si="25"/>
        <v>0</v>
      </c>
      <c r="Z302" s="2">
        <f t="shared" si="26"/>
        <v>0</v>
      </c>
      <c r="AA302" s="2">
        <f t="shared" si="29"/>
        <v>0</v>
      </c>
    </row>
    <row r="303" spans="10:27">
      <c r="J303" s="123"/>
      <c r="K303" s="123"/>
      <c r="T303" s="123"/>
      <c r="V303" s="2">
        <f t="shared" si="27"/>
        <v>19000100</v>
      </c>
      <c r="W303" s="2">
        <f t="shared" si="28"/>
        <v>0</v>
      </c>
      <c r="X303" s="2">
        <f>(SUMIF(F:F,IF(H:H="福禄20两全",F:F,0),险种!R:R)-SUMIFS(R:R,F:F,F:F,M:M,"&lt;=1"))*_xlfn.IFS(G:G=4126,1,OR(G:G&gt;4126,G:G&lt;4126),0)</f>
        <v>0</v>
      </c>
      <c r="Y303" s="2">
        <f t="shared" si="25"/>
        <v>0</v>
      </c>
      <c r="Z303" s="2">
        <f t="shared" si="26"/>
        <v>0</v>
      </c>
      <c r="AA303" s="2">
        <f t="shared" si="29"/>
        <v>0</v>
      </c>
    </row>
    <row r="304" spans="10:27">
      <c r="J304" s="123"/>
      <c r="K304" s="123"/>
      <c r="T304" s="123"/>
      <c r="V304" s="2">
        <f t="shared" si="27"/>
        <v>19000100</v>
      </c>
      <c r="W304" s="2">
        <f t="shared" si="28"/>
        <v>0</v>
      </c>
      <c r="X304" s="2">
        <f>(SUMIF(F:F,IF(H:H="福禄20两全",F:F,0),险种!R:R)-SUMIFS(R:R,F:F,F:F,M:M,"&lt;=1"))*_xlfn.IFS(G:G=4126,1,OR(G:G&gt;4126,G:G&lt;4126),0)</f>
        <v>0</v>
      </c>
      <c r="Y304" s="2">
        <f t="shared" si="25"/>
        <v>0</v>
      </c>
      <c r="Z304" s="2">
        <f t="shared" si="26"/>
        <v>0</v>
      </c>
      <c r="AA304" s="2">
        <f t="shared" si="29"/>
        <v>0</v>
      </c>
    </row>
    <row r="305" spans="10:27">
      <c r="J305" s="123"/>
      <c r="T305" s="123"/>
      <c r="V305" s="2">
        <f t="shared" si="27"/>
        <v>19000100</v>
      </c>
      <c r="W305" s="2">
        <f t="shared" si="28"/>
        <v>0</v>
      </c>
      <c r="X305" s="2">
        <f>(SUMIF(F:F,IF(H:H="福禄20两全",F:F,0),险种!R:R)-SUMIFS(R:R,F:F,F:F,M:M,"&lt;=1"))*_xlfn.IFS(G:G=4126,1,OR(G:G&gt;4126,G:G&lt;4126),0)</f>
        <v>0</v>
      </c>
      <c r="Y305" s="2">
        <f t="shared" si="25"/>
        <v>0</v>
      </c>
      <c r="Z305" s="2">
        <f t="shared" si="26"/>
        <v>0</v>
      </c>
      <c r="AA305" s="2">
        <f t="shared" si="29"/>
        <v>0</v>
      </c>
    </row>
    <row r="306" spans="10:27">
      <c r="J306" s="123"/>
      <c r="T306" s="123"/>
      <c r="V306" s="2">
        <f t="shared" si="27"/>
        <v>19000100</v>
      </c>
      <c r="W306" s="2">
        <f t="shared" si="28"/>
        <v>0</v>
      </c>
      <c r="X306" s="2">
        <f>(SUMIF(F:F,IF(H:H="福禄20两全",F:F,0),险种!R:R)-SUMIFS(R:R,F:F,F:F,M:M,"&lt;=1"))*_xlfn.IFS(G:G=4126,1,OR(G:G&gt;4126,G:G&lt;4126),0)</f>
        <v>0</v>
      </c>
      <c r="Y306" s="2">
        <f t="shared" si="25"/>
        <v>0</v>
      </c>
      <c r="Z306" s="2">
        <f t="shared" si="26"/>
        <v>0</v>
      </c>
      <c r="AA306" s="2">
        <f t="shared" si="29"/>
        <v>0</v>
      </c>
    </row>
    <row r="307" spans="10:27">
      <c r="J307" s="123"/>
      <c r="K307" s="123"/>
      <c r="T307" s="123"/>
      <c r="V307" s="2">
        <f t="shared" si="27"/>
        <v>19000100</v>
      </c>
      <c r="W307" s="2">
        <f t="shared" si="28"/>
        <v>0</v>
      </c>
      <c r="X307" s="2">
        <f>(SUMIF(F:F,IF(H:H="福禄20两全",F:F,0),险种!R:R)-SUMIFS(R:R,F:F,F:F,M:M,"&lt;=1"))*_xlfn.IFS(G:G=4126,1,OR(G:G&gt;4126,G:G&lt;4126),0)</f>
        <v>0</v>
      </c>
      <c r="Y307" s="2">
        <f t="shared" si="25"/>
        <v>0</v>
      </c>
      <c r="Z307" s="2">
        <f t="shared" si="26"/>
        <v>0</v>
      </c>
      <c r="AA307" s="2">
        <f t="shared" si="29"/>
        <v>0</v>
      </c>
    </row>
    <row r="308" spans="10:27">
      <c r="J308" s="123"/>
      <c r="K308" s="123"/>
      <c r="T308" s="123"/>
      <c r="V308" s="2">
        <f t="shared" si="27"/>
        <v>19000100</v>
      </c>
      <c r="W308" s="2">
        <f t="shared" si="28"/>
        <v>0</v>
      </c>
      <c r="X308" s="2">
        <f>(SUMIF(F:F,IF(H:H="福禄20两全",F:F,0),险种!R:R)-SUMIFS(R:R,F:F,F:F,M:M,"&lt;=1"))*_xlfn.IFS(G:G=4126,1,OR(G:G&gt;4126,G:G&lt;4126),0)</f>
        <v>0</v>
      </c>
      <c r="Y308" s="2">
        <f t="shared" si="25"/>
        <v>0</v>
      </c>
      <c r="Z308" s="2">
        <f t="shared" si="26"/>
        <v>0</v>
      </c>
      <c r="AA308" s="2">
        <f t="shared" si="29"/>
        <v>0</v>
      </c>
    </row>
    <row r="309" spans="10:27">
      <c r="J309" s="123"/>
      <c r="K309" s="123"/>
      <c r="T309" s="123"/>
      <c r="V309" s="2">
        <f t="shared" si="27"/>
        <v>19000100</v>
      </c>
      <c r="W309" s="2">
        <f t="shared" si="28"/>
        <v>0</v>
      </c>
      <c r="X309" s="2">
        <f>(SUMIF(F:F,IF(H:H="福禄20两全",F:F,0),险种!R:R)-SUMIFS(R:R,F:F,F:F,M:M,"&lt;=1"))*_xlfn.IFS(G:G=4126,1,OR(G:G&gt;4126,G:G&lt;4126),0)</f>
        <v>0</v>
      </c>
      <c r="Y309" s="2">
        <f t="shared" si="25"/>
        <v>0</v>
      </c>
      <c r="Z309" s="2">
        <f t="shared" si="26"/>
        <v>0</v>
      </c>
      <c r="AA309" s="2">
        <f t="shared" si="29"/>
        <v>0</v>
      </c>
    </row>
    <row r="310" spans="10:27">
      <c r="J310" s="123"/>
      <c r="K310" s="123"/>
      <c r="T310" s="123"/>
      <c r="V310" s="2">
        <f t="shared" si="27"/>
        <v>19000100</v>
      </c>
      <c r="W310" s="2">
        <f t="shared" si="28"/>
        <v>0</v>
      </c>
      <c r="X310" s="2">
        <f>(SUMIF(F:F,IF(H:H="福禄20两全",F:F,0),险种!R:R)-SUMIFS(R:R,F:F,F:F,M:M,"&lt;=1"))*_xlfn.IFS(G:G=4126,1,OR(G:G&gt;4126,G:G&lt;4126),0)</f>
        <v>0</v>
      </c>
      <c r="Y310" s="2">
        <f t="shared" si="25"/>
        <v>0</v>
      </c>
      <c r="Z310" s="2">
        <f t="shared" si="26"/>
        <v>0</v>
      </c>
      <c r="AA310" s="2">
        <f t="shared" si="29"/>
        <v>0</v>
      </c>
    </row>
    <row r="311" spans="10:27">
      <c r="J311" s="123"/>
      <c r="K311" s="123"/>
      <c r="T311" s="123"/>
      <c r="V311" s="2">
        <f t="shared" si="27"/>
        <v>19000100</v>
      </c>
      <c r="W311" s="2">
        <f t="shared" si="28"/>
        <v>0</v>
      </c>
      <c r="X311" s="2">
        <f>(SUMIF(F:F,IF(H:H="福禄20两全",F:F,0),险种!R:R)-SUMIFS(R:R,F:F,F:F,M:M,"&lt;=1"))*_xlfn.IFS(G:G=4126,1,OR(G:G&gt;4126,G:G&lt;4126),0)</f>
        <v>0</v>
      </c>
      <c r="Y311" s="2">
        <f t="shared" si="25"/>
        <v>0</v>
      </c>
      <c r="Z311" s="2">
        <f t="shared" si="26"/>
        <v>0</v>
      </c>
      <c r="AA311" s="2">
        <f t="shared" si="29"/>
        <v>0</v>
      </c>
    </row>
    <row r="312" spans="10:27">
      <c r="J312" s="123"/>
      <c r="K312" s="123"/>
      <c r="T312" s="123"/>
      <c r="V312" s="2">
        <f t="shared" si="27"/>
        <v>19000100</v>
      </c>
      <c r="W312" s="2">
        <f t="shared" si="28"/>
        <v>0</v>
      </c>
      <c r="X312" s="2">
        <f>(SUMIF(F:F,IF(H:H="福禄20两全",F:F,0),险种!R:R)-SUMIFS(R:R,F:F,F:F,M:M,"&lt;=1"))*_xlfn.IFS(G:G=4126,1,OR(G:G&gt;4126,G:G&lt;4126),0)</f>
        <v>0</v>
      </c>
      <c r="Y312" s="2">
        <f t="shared" si="25"/>
        <v>0</v>
      </c>
      <c r="Z312" s="2">
        <f t="shared" si="26"/>
        <v>0</v>
      </c>
      <c r="AA312" s="2">
        <f t="shared" si="29"/>
        <v>0</v>
      </c>
    </row>
    <row r="313" spans="10:27">
      <c r="J313" s="123"/>
      <c r="K313" s="123"/>
      <c r="T313" s="123"/>
      <c r="V313" s="2">
        <f t="shared" si="27"/>
        <v>19000100</v>
      </c>
      <c r="W313" s="2">
        <f t="shared" si="28"/>
        <v>0</v>
      </c>
      <c r="X313" s="2">
        <f>(SUMIF(F:F,IF(H:H="福禄20两全",F:F,0),险种!R:R)-SUMIFS(R:R,F:F,F:F,M:M,"&lt;=1"))*_xlfn.IFS(G:G=4126,1,OR(G:G&gt;4126,G:G&lt;4126),0)</f>
        <v>0</v>
      </c>
      <c r="Y313" s="2">
        <f t="shared" si="25"/>
        <v>0</v>
      </c>
      <c r="Z313" s="2">
        <f t="shared" si="26"/>
        <v>0</v>
      </c>
      <c r="AA313" s="2">
        <f t="shared" si="29"/>
        <v>0</v>
      </c>
    </row>
    <row r="314" spans="10:27">
      <c r="J314" s="123"/>
      <c r="K314" s="123"/>
      <c r="T314" s="123"/>
      <c r="V314" s="2">
        <f t="shared" si="27"/>
        <v>19000100</v>
      </c>
      <c r="W314" s="2">
        <f t="shared" si="28"/>
        <v>0</v>
      </c>
      <c r="X314" s="2">
        <f>(SUMIF(F:F,IF(H:H="福禄20两全",F:F,0),险种!R:R)-SUMIFS(R:R,F:F,F:F,M:M,"&lt;=1"))*_xlfn.IFS(G:G=4126,1,OR(G:G&gt;4126,G:G&lt;4126),0)</f>
        <v>0</v>
      </c>
      <c r="Y314" s="2">
        <f t="shared" si="25"/>
        <v>0</v>
      </c>
      <c r="Z314" s="2">
        <f t="shared" si="26"/>
        <v>0</v>
      </c>
      <c r="AA314" s="2">
        <f t="shared" si="29"/>
        <v>0</v>
      </c>
    </row>
    <row r="315" spans="10:27">
      <c r="J315" s="123"/>
      <c r="K315" s="123"/>
      <c r="T315" s="123"/>
      <c r="V315" s="2">
        <f t="shared" si="27"/>
        <v>19000100</v>
      </c>
      <c r="W315" s="2">
        <f t="shared" si="28"/>
        <v>0</v>
      </c>
      <c r="X315" s="2">
        <f>(SUMIF(F:F,IF(H:H="福禄20两全",F:F,0),险种!R:R)-SUMIFS(R:R,F:F,F:F,M:M,"&lt;=1"))*_xlfn.IFS(G:G=4126,1,OR(G:G&gt;4126,G:G&lt;4126),0)</f>
        <v>0</v>
      </c>
      <c r="Y315" s="2">
        <f t="shared" si="25"/>
        <v>0</v>
      </c>
      <c r="Z315" s="2">
        <f t="shared" si="26"/>
        <v>0</v>
      </c>
      <c r="AA315" s="2">
        <f t="shared" si="29"/>
        <v>0</v>
      </c>
    </row>
    <row r="316" spans="10:27">
      <c r="J316" s="123"/>
      <c r="K316" s="123"/>
      <c r="T316" s="123"/>
      <c r="V316" s="2">
        <f t="shared" si="27"/>
        <v>19000100</v>
      </c>
      <c r="W316" s="2">
        <f t="shared" si="28"/>
        <v>0</v>
      </c>
      <c r="X316" s="2">
        <f>(SUMIF(F:F,IF(H:H="福禄20两全",F:F,0),险种!R:R)-SUMIFS(R:R,F:F,F:F,M:M,"&lt;=1"))*_xlfn.IFS(G:G=4126,1,OR(G:G&gt;4126,G:G&lt;4126),0)</f>
        <v>0</v>
      </c>
      <c r="Y316" s="2">
        <f t="shared" si="25"/>
        <v>0</v>
      </c>
      <c r="Z316" s="2">
        <f t="shared" si="26"/>
        <v>0</v>
      </c>
      <c r="AA316" s="2">
        <f t="shared" si="29"/>
        <v>0</v>
      </c>
    </row>
    <row r="317" spans="10:27">
      <c r="J317" s="123"/>
      <c r="K317" s="123"/>
      <c r="T317" s="123"/>
      <c r="V317" s="2">
        <f t="shared" si="27"/>
        <v>19000100</v>
      </c>
      <c r="W317" s="2">
        <f t="shared" si="28"/>
        <v>0</v>
      </c>
      <c r="X317" s="2">
        <f>(SUMIF(F:F,IF(H:H="福禄20两全",F:F,0),险种!R:R)-SUMIFS(R:R,F:F,F:F,M:M,"&lt;=1"))*_xlfn.IFS(G:G=4126,1,OR(G:G&gt;4126,G:G&lt;4126),0)</f>
        <v>0</v>
      </c>
      <c r="Y317" s="2">
        <f t="shared" si="25"/>
        <v>0</v>
      </c>
      <c r="Z317" s="2">
        <f t="shared" si="26"/>
        <v>0</v>
      </c>
      <c r="AA317" s="2">
        <f t="shared" si="29"/>
        <v>0</v>
      </c>
    </row>
    <row r="318" spans="10:27">
      <c r="J318" s="1"/>
      <c r="K318" s="123"/>
      <c r="T318" s="123"/>
      <c r="V318" s="2">
        <f t="shared" si="27"/>
        <v>19000100</v>
      </c>
      <c r="W318" s="2">
        <f t="shared" si="28"/>
        <v>0</v>
      </c>
      <c r="X318" s="2">
        <f>(SUMIF(F:F,IF(H:H="福禄20两全",F:F,0),险种!R:R)-SUMIFS(R:R,F:F,F:F,M:M,"&lt;=1"))*_xlfn.IFS(G:G=4126,1,OR(G:G&gt;4126,G:G&lt;4126),0)</f>
        <v>0</v>
      </c>
      <c r="Y318" s="2">
        <f t="shared" si="25"/>
        <v>0</v>
      </c>
      <c r="Z318" s="2">
        <f t="shared" si="26"/>
        <v>0</v>
      </c>
      <c r="AA318" s="2">
        <f t="shared" si="29"/>
        <v>0</v>
      </c>
    </row>
    <row r="319" spans="10:27">
      <c r="J319" s="1"/>
      <c r="K319" s="123"/>
      <c r="T319" s="123"/>
      <c r="V319" s="2">
        <f t="shared" si="27"/>
        <v>19000100</v>
      </c>
      <c r="W319" s="2">
        <f t="shared" si="28"/>
        <v>0</v>
      </c>
      <c r="X319" s="2">
        <f>(SUMIF(F:F,IF(H:H="福禄20两全",F:F,0),险种!R:R)-SUMIFS(R:R,F:F,F:F,M:M,"&lt;=1"))*_xlfn.IFS(G:G=4126,1,OR(G:G&gt;4126,G:G&lt;4126),0)</f>
        <v>0</v>
      </c>
      <c r="Y319" s="2">
        <f t="shared" si="25"/>
        <v>0</v>
      </c>
      <c r="Z319" s="2">
        <f t="shared" si="26"/>
        <v>0</v>
      </c>
      <c r="AA319" s="2">
        <f t="shared" si="29"/>
        <v>0</v>
      </c>
    </row>
    <row r="320" spans="10:27">
      <c r="J320" s="1"/>
      <c r="K320" s="123"/>
      <c r="T320" s="123"/>
      <c r="V320" s="2">
        <f t="shared" si="27"/>
        <v>19000100</v>
      </c>
      <c r="W320" s="2">
        <f t="shared" si="28"/>
        <v>0</v>
      </c>
      <c r="X320" s="2">
        <f>(SUMIF(F:F,IF(H:H="福禄20两全",F:F,0),险种!R:R)-SUMIFS(R:R,F:F,F:F,M:M,"&lt;=1"))*_xlfn.IFS(G:G=4126,1,OR(G:G&gt;4126,G:G&lt;4126),0)</f>
        <v>0</v>
      </c>
      <c r="Y320" s="2">
        <f t="shared" si="25"/>
        <v>0</v>
      </c>
      <c r="Z320" s="2">
        <f t="shared" si="26"/>
        <v>0</v>
      </c>
      <c r="AA320" s="2">
        <f t="shared" si="29"/>
        <v>0</v>
      </c>
    </row>
    <row r="321" spans="10:27">
      <c r="J321" s="1"/>
      <c r="K321" s="123"/>
      <c r="T321" s="123"/>
      <c r="V321" s="2">
        <f t="shared" si="27"/>
        <v>19000100</v>
      </c>
      <c r="W321" s="2">
        <f t="shared" si="28"/>
        <v>0</v>
      </c>
      <c r="X321" s="2">
        <f>(SUMIF(F:F,IF(H:H="福禄20两全",F:F,0),险种!R:R)-SUMIFS(R:R,F:F,F:F,M:M,"&lt;=1"))*_xlfn.IFS(G:G=4126,1,OR(G:G&gt;4126,G:G&lt;4126),0)</f>
        <v>0</v>
      </c>
      <c r="Y321" s="2">
        <f t="shared" si="25"/>
        <v>0</v>
      </c>
      <c r="Z321" s="2">
        <f t="shared" si="26"/>
        <v>0</v>
      </c>
      <c r="AA321" s="2">
        <f t="shared" si="29"/>
        <v>0</v>
      </c>
    </row>
    <row r="322" spans="10:27">
      <c r="J322" s="1"/>
      <c r="K322" s="123"/>
      <c r="T322" s="123"/>
      <c r="V322" s="2">
        <f t="shared" si="27"/>
        <v>19000100</v>
      </c>
      <c r="W322" s="2">
        <f t="shared" si="28"/>
        <v>0</v>
      </c>
      <c r="X322" s="2">
        <f>(SUMIF(F:F,IF(H:H="福禄20两全",F:F,0),险种!R:R)-SUMIFS(R:R,F:F,F:F,M:M,"&lt;=1"))*_xlfn.IFS(G:G=4126,1,OR(G:G&gt;4126,G:G&lt;4126),0)</f>
        <v>0</v>
      </c>
      <c r="Y322" s="2">
        <f t="shared" si="25"/>
        <v>0</v>
      </c>
      <c r="Z322" s="2">
        <f t="shared" si="26"/>
        <v>0</v>
      </c>
      <c r="AA322" s="2">
        <f t="shared" si="29"/>
        <v>0</v>
      </c>
    </row>
    <row r="323" spans="10:27">
      <c r="J323" s="1"/>
      <c r="K323" s="123"/>
      <c r="T323" s="123"/>
      <c r="V323" s="2">
        <f t="shared" si="27"/>
        <v>19000100</v>
      </c>
      <c r="W323" s="2">
        <f t="shared" si="28"/>
        <v>0</v>
      </c>
      <c r="X323" s="2">
        <f>(SUMIF(F:F,IF(H:H="福禄20两全",F:F,0),险种!R:R)-SUMIFS(R:R,F:F,F:F,M:M,"&lt;=1"))*_xlfn.IFS(G:G=4126,1,OR(G:G&gt;4126,G:G&lt;4126),0)</f>
        <v>0</v>
      </c>
      <c r="Y323" s="2">
        <f t="shared" ref="Y323:Y386" si="30">IF(AND(W:W=1,V:V&lt;=20210510),1,0)</f>
        <v>0</v>
      </c>
      <c r="Z323" s="2">
        <f t="shared" ref="Z323:Z386" si="31">IF(AND(W:W=1,V:V&lt;=20210520,V:V&gt;20210510),1,0)</f>
        <v>0</v>
      </c>
      <c r="AA323" s="2">
        <f t="shared" si="29"/>
        <v>0</v>
      </c>
    </row>
    <row r="324" spans="10:27">
      <c r="J324" s="1"/>
      <c r="K324" s="123"/>
      <c r="T324" s="123"/>
      <c r="V324" s="2">
        <f t="shared" si="27"/>
        <v>19000100</v>
      </c>
      <c r="W324" s="2">
        <f t="shared" si="28"/>
        <v>0</v>
      </c>
      <c r="X324" s="2">
        <f>(SUMIF(F:F,IF(H:H="福禄20两全",F:F,0),险种!R:R)-SUMIFS(R:R,F:F,F:F,M:M,"&lt;=1"))*_xlfn.IFS(G:G=4126,1,OR(G:G&gt;4126,G:G&lt;4126),0)</f>
        <v>0</v>
      </c>
      <c r="Y324" s="2">
        <f t="shared" si="30"/>
        <v>0</v>
      </c>
      <c r="Z324" s="2">
        <f t="shared" si="31"/>
        <v>0</v>
      </c>
      <c r="AA324" s="2">
        <f t="shared" si="29"/>
        <v>0</v>
      </c>
    </row>
    <row r="325" spans="10:27">
      <c r="J325" s="123"/>
      <c r="V325" s="2">
        <f t="shared" si="27"/>
        <v>19000100</v>
      </c>
      <c r="W325" s="2">
        <f t="shared" si="28"/>
        <v>0</v>
      </c>
      <c r="X325" s="2">
        <f>(SUMIF(F:F,IF(H:H="福禄20两全",F:F,0),险种!R:R)-SUMIFS(R:R,F:F,F:F,M:M,"&lt;=1"))*_xlfn.IFS(G:G=4126,1,OR(G:G&gt;4126,G:G&lt;4126),0)</f>
        <v>0</v>
      </c>
      <c r="Y325" s="2">
        <f t="shared" si="30"/>
        <v>0</v>
      </c>
      <c r="Z325" s="2">
        <f t="shared" si="31"/>
        <v>0</v>
      </c>
      <c r="AA325" s="2">
        <f t="shared" si="29"/>
        <v>0</v>
      </c>
    </row>
    <row r="326" spans="10:27">
      <c r="J326" s="123"/>
      <c r="V326" s="2">
        <f t="shared" si="27"/>
        <v>19000100</v>
      </c>
      <c r="W326" s="2">
        <f t="shared" si="28"/>
        <v>0</v>
      </c>
      <c r="X326" s="2">
        <f>(SUMIF(F:F,IF(H:H="福禄20两全",F:F,0),险种!R:R)-SUMIFS(R:R,F:F,F:F,M:M,"&lt;=1"))*_xlfn.IFS(G:G=4126,1,OR(G:G&gt;4126,G:G&lt;4126),0)</f>
        <v>0</v>
      </c>
      <c r="Y326" s="2">
        <f t="shared" si="30"/>
        <v>0</v>
      </c>
      <c r="Z326" s="2">
        <f t="shared" si="31"/>
        <v>0</v>
      </c>
      <c r="AA326" s="2">
        <f t="shared" si="29"/>
        <v>0</v>
      </c>
    </row>
    <row r="327" spans="10:27">
      <c r="J327" s="123"/>
      <c r="V327" s="2">
        <f t="shared" si="27"/>
        <v>19000100</v>
      </c>
      <c r="W327" s="2">
        <f t="shared" si="28"/>
        <v>0</v>
      </c>
      <c r="X327" s="2">
        <f>(SUMIF(F:F,IF(H:H="福禄20两全",F:F,0),险种!R:R)-SUMIFS(R:R,F:F,F:F,M:M,"&lt;=1"))*_xlfn.IFS(G:G=4126,1,OR(G:G&gt;4126,G:G&lt;4126),0)</f>
        <v>0</v>
      </c>
      <c r="Y327" s="2">
        <f t="shared" si="30"/>
        <v>0</v>
      </c>
      <c r="Z327" s="2">
        <f t="shared" si="31"/>
        <v>0</v>
      </c>
      <c r="AA327" s="2">
        <f t="shared" si="29"/>
        <v>0</v>
      </c>
    </row>
    <row r="328" spans="10:27">
      <c r="J328" s="123"/>
      <c r="V328" s="2">
        <f t="shared" si="27"/>
        <v>19000100</v>
      </c>
      <c r="W328" s="2">
        <f t="shared" si="28"/>
        <v>0</v>
      </c>
      <c r="X328" s="2">
        <f>(SUMIF(F:F,IF(H:H="福禄20两全",F:F,0),险种!R:R)-SUMIFS(R:R,F:F,F:F,M:M,"&lt;=1"))*_xlfn.IFS(G:G=4126,1,OR(G:G&gt;4126,G:G&lt;4126),0)</f>
        <v>0</v>
      </c>
      <c r="Y328" s="2">
        <f t="shared" si="30"/>
        <v>0</v>
      </c>
      <c r="Z328" s="2">
        <f t="shared" si="31"/>
        <v>0</v>
      </c>
      <c r="AA328" s="2">
        <f t="shared" si="29"/>
        <v>0</v>
      </c>
    </row>
    <row r="329" spans="10:27">
      <c r="J329" s="123"/>
      <c r="V329" s="2">
        <f t="shared" si="27"/>
        <v>19000100</v>
      </c>
      <c r="W329" s="2">
        <f t="shared" si="28"/>
        <v>0</v>
      </c>
      <c r="X329" s="2">
        <f>(SUMIF(F:F,IF(H:H="福禄20两全",F:F,0),险种!R:R)-SUMIFS(R:R,F:F,F:F,M:M,"&lt;=1"))*_xlfn.IFS(G:G=4126,1,OR(G:G&gt;4126,G:G&lt;4126),0)</f>
        <v>0</v>
      </c>
      <c r="Y329" s="2">
        <f t="shared" si="30"/>
        <v>0</v>
      </c>
      <c r="Z329" s="2">
        <f t="shared" si="31"/>
        <v>0</v>
      </c>
      <c r="AA329" s="2">
        <f t="shared" si="29"/>
        <v>0</v>
      </c>
    </row>
    <row r="330" spans="10:27">
      <c r="J330" s="123"/>
      <c r="V330" s="2">
        <f t="shared" si="27"/>
        <v>19000100</v>
      </c>
      <c r="W330" s="2">
        <f t="shared" si="28"/>
        <v>0</v>
      </c>
      <c r="X330" s="2">
        <f>(SUMIF(F:F,IF(H:H="福禄20两全",F:F,0),险种!R:R)-SUMIFS(R:R,F:F,F:F,M:M,"&lt;=1"))*_xlfn.IFS(G:G=4126,1,OR(G:G&gt;4126,G:G&lt;4126),0)</f>
        <v>0</v>
      </c>
      <c r="Y330" s="2">
        <f t="shared" si="30"/>
        <v>0</v>
      </c>
      <c r="Z330" s="2">
        <f t="shared" si="31"/>
        <v>0</v>
      </c>
      <c r="AA330" s="2">
        <f t="shared" si="29"/>
        <v>0</v>
      </c>
    </row>
    <row r="331" spans="10:27">
      <c r="J331" s="123"/>
      <c r="V331" s="2">
        <f t="shared" si="27"/>
        <v>19000100</v>
      </c>
      <c r="W331" s="2">
        <f t="shared" si="28"/>
        <v>0</v>
      </c>
      <c r="X331" s="2">
        <f>(SUMIF(F:F,IF(H:H="福禄20两全",F:F,0),险种!R:R)-SUMIFS(R:R,F:F,F:F,M:M,"&lt;=1"))*_xlfn.IFS(G:G=4126,1,OR(G:G&gt;4126,G:G&lt;4126),0)</f>
        <v>0</v>
      </c>
      <c r="Y331" s="2">
        <f t="shared" si="30"/>
        <v>0</v>
      </c>
      <c r="Z331" s="2">
        <f t="shared" si="31"/>
        <v>0</v>
      </c>
      <c r="AA331" s="2">
        <f t="shared" si="29"/>
        <v>0</v>
      </c>
    </row>
    <row r="332" spans="10:27">
      <c r="J332" s="123"/>
      <c r="V332" s="2">
        <f t="shared" si="27"/>
        <v>19000100</v>
      </c>
      <c r="W332" s="2">
        <f t="shared" si="28"/>
        <v>0</v>
      </c>
      <c r="X332" s="2">
        <f>(SUMIF(F:F,IF(H:H="福禄20两全",F:F,0),险种!R:R)-SUMIFS(R:R,F:F,F:F,M:M,"&lt;=1"))*_xlfn.IFS(G:G=4126,1,OR(G:G&gt;4126,G:G&lt;4126),0)</f>
        <v>0</v>
      </c>
      <c r="Y332" s="2">
        <f t="shared" si="30"/>
        <v>0</v>
      </c>
      <c r="Z332" s="2">
        <f t="shared" si="31"/>
        <v>0</v>
      </c>
      <c r="AA332" s="2">
        <f t="shared" si="29"/>
        <v>0</v>
      </c>
    </row>
    <row r="333" spans="10:27">
      <c r="J333" s="123"/>
      <c r="T333" s="123"/>
      <c r="V333" s="2">
        <f t="shared" si="27"/>
        <v>19000100</v>
      </c>
      <c r="W333" s="2">
        <f t="shared" si="28"/>
        <v>0</v>
      </c>
      <c r="X333" s="2">
        <f>(SUMIF(F:F,IF(H:H="福禄20两全",F:F,0),险种!R:R)-SUMIFS(R:R,F:F,F:F,M:M,"&lt;=1"))*_xlfn.IFS(G:G=4126,1,OR(G:G&gt;4126,G:G&lt;4126),0)</f>
        <v>0</v>
      </c>
      <c r="Y333" s="2">
        <f t="shared" si="30"/>
        <v>0</v>
      </c>
      <c r="Z333" s="2">
        <f t="shared" si="31"/>
        <v>0</v>
      </c>
      <c r="AA333" s="2">
        <f t="shared" si="29"/>
        <v>0</v>
      </c>
    </row>
    <row r="334" spans="10:27">
      <c r="J334" s="123"/>
      <c r="T334" s="123"/>
      <c r="V334" s="2">
        <f t="shared" si="27"/>
        <v>19000100</v>
      </c>
      <c r="W334" s="2">
        <f t="shared" si="28"/>
        <v>0</v>
      </c>
      <c r="X334" s="2">
        <f>(SUMIF(F:F,IF(H:H="福禄20两全",F:F,0),险种!R:R)-SUMIFS(R:R,F:F,F:F,M:M,"&lt;=1"))*_xlfn.IFS(G:G=4126,1,OR(G:G&gt;4126,G:G&lt;4126),0)</f>
        <v>0</v>
      </c>
      <c r="Y334" s="2">
        <f t="shared" si="30"/>
        <v>0</v>
      </c>
      <c r="Z334" s="2">
        <f t="shared" si="31"/>
        <v>0</v>
      </c>
      <c r="AA334" s="2">
        <f t="shared" si="29"/>
        <v>0</v>
      </c>
    </row>
    <row r="335" spans="10:27">
      <c r="J335" s="123"/>
      <c r="T335" s="123"/>
      <c r="V335" s="2">
        <f t="shared" si="27"/>
        <v>19000100</v>
      </c>
      <c r="W335" s="2">
        <f t="shared" si="28"/>
        <v>0</v>
      </c>
      <c r="X335" s="2">
        <f>(SUMIF(F:F,IF(H:H="福禄20两全",F:F,0),险种!R:R)-SUMIFS(R:R,F:F,F:F,M:M,"&lt;=1"))*_xlfn.IFS(G:G=4126,1,OR(G:G&gt;4126,G:G&lt;4126),0)</f>
        <v>0</v>
      </c>
      <c r="Y335" s="2">
        <f t="shared" si="30"/>
        <v>0</v>
      </c>
      <c r="Z335" s="2">
        <f t="shared" si="31"/>
        <v>0</v>
      </c>
      <c r="AA335" s="2">
        <f t="shared" si="29"/>
        <v>0</v>
      </c>
    </row>
    <row r="336" spans="10:27">
      <c r="J336" s="123"/>
      <c r="K336" s="123"/>
      <c r="T336" s="123"/>
      <c r="V336" s="2">
        <f t="shared" ref="V336:V399" si="32">TEXT(J:J,"yyyymmdd")*1</f>
        <v>19000100</v>
      </c>
      <c r="W336" s="2">
        <f t="shared" ref="W336:W399" si="33">IF(AND(M:M&gt;1,R:R&gt;3000),1,0)-IF(AND(M:M&gt;1,R:R&gt;3000,G:G=4126),1,0)-IF(AND(M:M&gt;1,R:R&gt;3000,G:G=4127),1,0)+IF(X:X&gt;=3000,1,0)</f>
        <v>0</v>
      </c>
      <c r="X336" s="2">
        <f>(SUMIF(F:F,IF(H:H="福禄20两全",F:F,0),险种!R:R)-SUMIFS(R:R,F:F,F:F,M:M,"&lt;=1"))*_xlfn.IFS(G:G=4126,1,OR(G:G&gt;4126,G:G&lt;4126),0)</f>
        <v>0</v>
      </c>
      <c r="Y336" s="2">
        <f t="shared" si="30"/>
        <v>0</v>
      </c>
      <c r="Z336" s="2">
        <f t="shared" si="31"/>
        <v>0</v>
      </c>
      <c r="AA336" s="2">
        <f t="shared" si="29"/>
        <v>0</v>
      </c>
    </row>
    <row r="337" spans="10:27">
      <c r="J337" s="123"/>
      <c r="K337" s="123"/>
      <c r="T337" s="123"/>
      <c r="V337" s="2">
        <f t="shared" si="32"/>
        <v>19000100</v>
      </c>
      <c r="W337" s="2">
        <f t="shared" si="33"/>
        <v>0</v>
      </c>
      <c r="X337" s="2">
        <f>(SUMIF(F:F,IF(H:H="福禄20两全",F:F,0),险种!R:R)-SUMIFS(R:R,F:F,F:F,M:M,"&lt;=1"))*_xlfn.IFS(G:G=4126,1,OR(G:G&gt;4126,G:G&lt;4126),0)</f>
        <v>0</v>
      </c>
      <c r="Y337" s="2">
        <f t="shared" si="30"/>
        <v>0</v>
      </c>
      <c r="Z337" s="2">
        <f t="shared" si="31"/>
        <v>0</v>
      </c>
      <c r="AA337" s="2">
        <f t="shared" si="29"/>
        <v>0</v>
      </c>
    </row>
    <row r="338" spans="10:27">
      <c r="J338" s="123"/>
      <c r="K338" s="123"/>
      <c r="T338" s="123"/>
      <c r="V338" s="2">
        <f t="shared" si="32"/>
        <v>19000100</v>
      </c>
      <c r="W338" s="2">
        <f t="shared" si="33"/>
        <v>0</v>
      </c>
      <c r="X338" s="2">
        <f>(SUMIF(F:F,IF(H:H="福禄20两全",F:F,0),险种!R:R)-SUMIFS(R:R,F:F,F:F,M:M,"&lt;=1"))*_xlfn.IFS(G:G=4126,1,OR(G:G&gt;4126,G:G&lt;4126),0)</f>
        <v>0</v>
      </c>
      <c r="Y338" s="2">
        <f t="shared" si="30"/>
        <v>0</v>
      </c>
      <c r="Z338" s="2">
        <f t="shared" si="31"/>
        <v>0</v>
      </c>
      <c r="AA338" s="2">
        <f t="shared" si="29"/>
        <v>0</v>
      </c>
    </row>
    <row r="339" spans="10:27">
      <c r="J339" s="123"/>
      <c r="V339" s="2">
        <f t="shared" si="32"/>
        <v>19000100</v>
      </c>
      <c r="W339" s="2">
        <f t="shared" si="33"/>
        <v>0</v>
      </c>
      <c r="X339" s="2">
        <f>(SUMIF(F:F,IF(H:H="福禄20两全",F:F,0),险种!R:R)-SUMIFS(R:R,F:F,F:F,M:M,"&lt;=1"))*_xlfn.IFS(G:G=4126,1,OR(G:G&gt;4126,G:G&lt;4126),0)</f>
        <v>0</v>
      </c>
      <c r="Y339" s="2">
        <f t="shared" si="30"/>
        <v>0</v>
      </c>
      <c r="Z339" s="2">
        <f t="shared" si="31"/>
        <v>0</v>
      </c>
      <c r="AA339" s="2">
        <f t="shared" si="29"/>
        <v>0</v>
      </c>
    </row>
    <row r="340" spans="10:27">
      <c r="J340" s="123"/>
      <c r="K340" s="123"/>
      <c r="T340" s="123"/>
      <c r="V340" s="2">
        <f t="shared" si="32"/>
        <v>19000100</v>
      </c>
      <c r="W340" s="2">
        <f t="shared" si="33"/>
        <v>0</v>
      </c>
      <c r="X340" s="2">
        <f>(SUMIF(F:F,IF(H:H="福禄20两全",F:F,0),险种!R:R)-SUMIFS(R:R,F:F,F:F,M:M,"&lt;=1"))*_xlfn.IFS(G:G=4126,1,OR(G:G&gt;4126,G:G&lt;4126),0)</f>
        <v>0</v>
      </c>
      <c r="Y340" s="2">
        <f t="shared" si="30"/>
        <v>0</v>
      </c>
      <c r="Z340" s="2">
        <f t="shared" si="31"/>
        <v>0</v>
      </c>
      <c r="AA340" s="2">
        <f t="shared" si="29"/>
        <v>0</v>
      </c>
    </row>
    <row r="341" spans="10:27">
      <c r="J341" s="1"/>
      <c r="K341" s="123"/>
      <c r="T341" s="123"/>
      <c r="V341" s="2">
        <f t="shared" si="32"/>
        <v>19000100</v>
      </c>
      <c r="W341" s="2">
        <f t="shared" si="33"/>
        <v>0</v>
      </c>
      <c r="X341" s="2">
        <f>(SUMIF(F:F,IF(H:H="福禄20两全",F:F,0),险种!R:R)-SUMIFS(R:R,F:F,F:F,M:M,"&lt;=1"))*_xlfn.IFS(G:G=4126,1,OR(G:G&gt;4126,G:G&lt;4126),0)</f>
        <v>0</v>
      </c>
      <c r="Y341" s="2">
        <f t="shared" si="30"/>
        <v>0</v>
      </c>
      <c r="Z341" s="2">
        <f t="shared" si="31"/>
        <v>0</v>
      </c>
      <c r="AA341" s="2">
        <f t="shared" si="29"/>
        <v>0</v>
      </c>
    </row>
    <row r="342" spans="10:27">
      <c r="J342" s="1"/>
      <c r="K342" s="123"/>
      <c r="T342" s="123"/>
      <c r="V342" s="2">
        <f t="shared" si="32"/>
        <v>19000100</v>
      </c>
      <c r="W342" s="2">
        <f t="shared" si="33"/>
        <v>0</v>
      </c>
      <c r="X342" s="2">
        <f>(SUMIF(F:F,IF(H:H="福禄20两全",F:F,0),险种!R:R)-SUMIFS(R:R,F:F,F:F,M:M,"&lt;=1"))*_xlfn.IFS(G:G=4126,1,OR(G:G&gt;4126,G:G&lt;4126),0)</f>
        <v>0</v>
      </c>
      <c r="Y342" s="2">
        <f t="shared" si="30"/>
        <v>0</v>
      </c>
      <c r="Z342" s="2">
        <f t="shared" si="31"/>
        <v>0</v>
      </c>
      <c r="AA342" s="2">
        <f t="shared" si="29"/>
        <v>0</v>
      </c>
    </row>
    <row r="343" spans="10:27">
      <c r="J343" s="1"/>
      <c r="K343" s="123"/>
      <c r="T343" s="123"/>
      <c r="V343" s="2">
        <f t="shared" si="32"/>
        <v>19000100</v>
      </c>
      <c r="W343" s="2">
        <f t="shared" si="33"/>
        <v>0</v>
      </c>
      <c r="X343" s="2">
        <f>(SUMIF(F:F,IF(H:H="福禄20两全",F:F,0),险种!R:R)-SUMIFS(R:R,F:F,F:F,M:M,"&lt;=1"))*_xlfn.IFS(G:G=4126,1,OR(G:G&gt;4126,G:G&lt;4126),0)</f>
        <v>0</v>
      </c>
      <c r="Y343" s="2">
        <f t="shared" si="30"/>
        <v>0</v>
      </c>
      <c r="Z343" s="2">
        <f t="shared" si="31"/>
        <v>0</v>
      </c>
      <c r="AA343" s="2">
        <f t="shared" si="29"/>
        <v>0</v>
      </c>
    </row>
    <row r="344" spans="10:27">
      <c r="J344" s="123"/>
      <c r="K344" s="123"/>
      <c r="T344" s="123"/>
      <c r="V344" s="2">
        <f t="shared" si="32"/>
        <v>19000100</v>
      </c>
      <c r="W344" s="2">
        <f t="shared" si="33"/>
        <v>0</v>
      </c>
      <c r="X344" s="2">
        <f>(SUMIF(F:F,IF(H:H="福禄20两全",F:F,0),险种!R:R)-SUMIFS(R:R,F:F,F:F,M:M,"&lt;=1"))*_xlfn.IFS(G:G=4126,1,OR(G:G&gt;4126,G:G&lt;4126),0)</f>
        <v>0</v>
      </c>
      <c r="Y344" s="2">
        <f t="shared" si="30"/>
        <v>0</v>
      </c>
      <c r="Z344" s="2">
        <f t="shared" si="31"/>
        <v>0</v>
      </c>
      <c r="AA344" s="2">
        <f t="shared" si="29"/>
        <v>0</v>
      </c>
    </row>
    <row r="345" spans="10:27">
      <c r="J345" s="123"/>
      <c r="K345" s="123"/>
      <c r="T345" s="123"/>
      <c r="V345" s="2">
        <f t="shared" si="32"/>
        <v>19000100</v>
      </c>
      <c r="W345" s="2">
        <f t="shared" si="33"/>
        <v>0</v>
      </c>
      <c r="X345" s="2">
        <f>(SUMIF(F:F,IF(H:H="福禄20两全",F:F,0),险种!R:R)-SUMIFS(R:R,F:F,F:F,M:M,"&lt;=1"))*_xlfn.IFS(G:G=4126,1,OR(G:G&gt;4126,G:G&lt;4126),0)</f>
        <v>0</v>
      </c>
      <c r="Y345" s="2">
        <f t="shared" si="30"/>
        <v>0</v>
      </c>
      <c r="Z345" s="2">
        <f t="shared" si="31"/>
        <v>0</v>
      </c>
      <c r="AA345" s="2">
        <f t="shared" si="29"/>
        <v>0</v>
      </c>
    </row>
    <row r="346" spans="10:27">
      <c r="J346" s="123"/>
      <c r="K346" s="123"/>
      <c r="T346" s="123"/>
      <c r="V346" s="2">
        <f t="shared" si="32"/>
        <v>19000100</v>
      </c>
      <c r="W346" s="2">
        <f t="shared" si="33"/>
        <v>0</v>
      </c>
      <c r="X346" s="2">
        <f>(SUMIF(F:F,IF(H:H="福禄20两全",F:F,0),险种!R:R)-SUMIFS(R:R,F:F,F:F,M:M,"&lt;=1"))*_xlfn.IFS(G:G=4126,1,OR(G:G&gt;4126,G:G&lt;4126),0)</f>
        <v>0</v>
      </c>
      <c r="Y346" s="2">
        <f t="shared" si="30"/>
        <v>0</v>
      </c>
      <c r="Z346" s="2">
        <f t="shared" si="31"/>
        <v>0</v>
      </c>
      <c r="AA346" s="2">
        <f t="shared" si="29"/>
        <v>0</v>
      </c>
    </row>
    <row r="347" spans="10:27">
      <c r="J347" s="123"/>
      <c r="K347" s="123"/>
      <c r="T347" s="123"/>
      <c r="V347" s="2">
        <f t="shared" si="32"/>
        <v>19000100</v>
      </c>
      <c r="W347" s="2">
        <f t="shared" si="33"/>
        <v>0</v>
      </c>
      <c r="X347" s="2">
        <f>(SUMIF(F:F,IF(H:H="福禄20两全",F:F,0),险种!R:R)-SUMIFS(R:R,F:F,F:F,M:M,"&lt;=1"))*_xlfn.IFS(G:G=4126,1,OR(G:G&gt;4126,G:G&lt;4126),0)</f>
        <v>0</v>
      </c>
      <c r="Y347" s="2">
        <f t="shared" si="30"/>
        <v>0</v>
      </c>
      <c r="Z347" s="2">
        <f t="shared" si="31"/>
        <v>0</v>
      </c>
      <c r="AA347" s="2">
        <f t="shared" si="29"/>
        <v>0</v>
      </c>
    </row>
    <row r="348" spans="10:27">
      <c r="J348" s="123"/>
      <c r="T348" s="123"/>
      <c r="V348" s="2">
        <f t="shared" si="32"/>
        <v>19000100</v>
      </c>
      <c r="W348" s="2">
        <f t="shared" si="33"/>
        <v>0</v>
      </c>
      <c r="X348" s="2">
        <f>(SUMIF(F:F,IF(H:H="福禄20两全",F:F,0),险种!R:R)-SUMIFS(R:R,F:F,F:F,M:M,"&lt;=1"))*_xlfn.IFS(G:G=4126,1,OR(G:G&gt;4126,G:G&lt;4126),0)</f>
        <v>0</v>
      </c>
      <c r="Y348" s="2">
        <f t="shared" si="30"/>
        <v>0</v>
      </c>
      <c r="Z348" s="2">
        <f t="shared" si="31"/>
        <v>0</v>
      </c>
      <c r="AA348" s="2">
        <f t="shared" si="29"/>
        <v>0</v>
      </c>
    </row>
    <row r="349" spans="10:27">
      <c r="J349" s="123"/>
      <c r="K349" s="123"/>
      <c r="T349" s="123"/>
      <c r="V349" s="2">
        <f t="shared" si="32"/>
        <v>19000100</v>
      </c>
      <c r="W349" s="2">
        <f t="shared" si="33"/>
        <v>0</v>
      </c>
      <c r="X349" s="2">
        <f>(SUMIF(F:F,IF(H:H="福禄20两全",F:F,0),险种!R:R)-SUMIFS(R:R,F:F,F:F,M:M,"&lt;=1"))*_xlfn.IFS(G:G=4126,1,OR(G:G&gt;4126,G:G&lt;4126),0)</f>
        <v>0</v>
      </c>
      <c r="Y349" s="2">
        <f t="shared" si="30"/>
        <v>0</v>
      </c>
      <c r="Z349" s="2">
        <f t="shared" si="31"/>
        <v>0</v>
      </c>
      <c r="AA349" s="2">
        <f t="shared" si="29"/>
        <v>0</v>
      </c>
    </row>
    <row r="350" spans="10:27">
      <c r="J350" s="123"/>
      <c r="K350" s="123"/>
      <c r="T350" s="123"/>
      <c r="V350" s="2">
        <f t="shared" si="32"/>
        <v>19000100</v>
      </c>
      <c r="W350" s="2">
        <f t="shared" si="33"/>
        <v>0</v>
      </c>
      <c r="X350" s="2">
        <f>(SUMIF(F:F,IF(H:H="福禄20两全",F:F,0),险种!R:R)-SUMIFS(R:R,F:F,F:F,M:M,"&lt;=1"))*_xlfn.IFS(G:G=4126,1,OR(G:G&gt;4126,G:G&lt;4126),0)</f>
        <v>0</v>
      </c>
      <c r="Y350" s="2">
        <f t="shared" si="30"/>
        <v>0</v>
      </c>
      <c r="Z350" s="2">
        <f t="shared" si="31"/>
        <v>0</v>
      </c>
      <c r="AA350" s="2">
        <f t="shared" si="29"/>
        <v>0</v>
      </c>
    </row>
    <row r="351" spans="10:27">
      <c r="J351" s="123"/>
      <c r="K351" s="123"/>
      <c r="T351" s="123"/>
      <c r="V351" s="2">
        <f t="shared" si="32"/>
        <v>19000100</v>
      </c>
      <c r="W351" s="2">
        <f t="shared" si="33"/>
        <v>0</v>
      </c>
      <c r="X351" s="2">
        <f>(SUMIF(F:F,IF(H:H="福禄20两全",F:F,0),险种!R:R)-SUMIFS(R:R,F:F,F:F,M:M,"&lt;=1"))*_xlfn.IFS(G:G=4126,1,OR(G:G&gt;4126,G:G&lt;4126),0)</f>
        <v>0</v>
      </c>
      <c r="Y351" s="2">
        <f t="shared" si="30"/>
        <v>0</v>
      </c>
      <c r="Z351" s="2">
        <f t="shared" si="31"/>
        <v>0</v>
      </c>
      <c r="AA351" s="2">
        <f t="shared" si="29"/>
        <v>0</v>
      </c>
    </row>
    <row r="352" spans="10:27">
      <c r="J352" s="123"/>
      <c r="V352" s="2">
        <f t="shared" si="32"/>
        <v>19000100</v>
      </c>
      <c r="W352" s="2">
        <f t="shared" si="33"/>
        <v>0</v>
      </c>
      <c r="X352" s="2">
        <f>(SUMIF(F:F,IF(H:H="福禄20两全",F:F,0),险种!R:R)-SUMIFS(R:R,F:F,F:F,M:M,"&lt;=1"))*_xlfn.IFS(G:G=4126,1,OR(G:G&gt;4126,G:G&lt;4126),0)</f>
        <v>0</v>
      </c>
      <c r="Y352" s="2">
        <f t="shared" si="30"/>
        <v>0</v>
      </c>
      <c r="Z352" s="2">
        <f t="shared" si="31"/>
        <v>0</v>
      </c>
      <c r="AA352" s="2">
        <f t="shared" si="29"/>
        <v>0</v>
      </c>
    </row>
    <row r="353" spans="10:27">
      <c r="J353" s="123"/>
      <c r="V353" s="2">
        <f t="shared" si="32"/>
        <v>19000100</v>
      </c>
      <c r="W353" s="2">
        <f t="shared" si="33"/>
        <v>0</v>
      </c>
      <c r="X353" s="2">
        <f>(SUMIF(F:F,IF(H:H="福禄20两全",F:F,0),险种!R:R)-SUMIFS(R:R,F:F,F:F,M:M,"&lt;=1"))*_xlfn.IFS(G:G=4126,1,OR(G:G&gt;4126,G:G&lt;4126),0)</f>
        <v>0</v>
      </c>
      <c r="Y353" s="2">
        <f t="shared" si="30"/>
        <v>0</v>
      </c>
      <c r="Z353" s="2">
        <f t="shared" si="31"/>
        <v>0</v>
      </c>
      <c r="AA353" s="2">
        <f t="shared" si="29"/>
        <v>0</v>
      </c>
    </row>
    <row r="354" spans="10:27">
      <c r="J354" s="123"/>
      <c r="V354" s="2">
        <f t="shared" si="32"/>
        <v>19000100</v>
      </c>
      <c r="W354" s="2">
        <f t="shared" si="33"/>
        <v>0</v>
      </c>
      <c r="X354" s="2">
        <f>(SUMIF(F:F,IF(H:H="福禄20两全",F:F,0),险种!R:R)-SUMIFS(R:R,F:F,F:F,M:M,"&lt;=1"))*_xlfn.IFS(G:G=4126,1,OR(G:G&gt;4126,G:G&lt;4126),0)</f>
        <v>0</v>
      </c>
      <c r="Y354" s="2">
        <f t="shared" si="30"/>
        <v>0</v>
      </c>
      <c r="Z354" s="2">
        <f t="shared" si="31"/>
        <v>0</v>
      </c>
      <c r="AA354" s="2">
        <f t="shared" si="29"/>
        <v>0</v>
      </c>
    </row>
    <row r="355" spans="10:27">
      <c r="J355" s="123"/>
      <c r="V355" s="2">
        <f t="shared" si="32"/>
        <v>19000100</v>
      </c>
      <c r="W355" s="2">
        <f t="shared" si="33"/>
        <v>0</v>
      </c>
      <c r="X355" s="2">
        <f>(SUMIF(F:F,IF(H:H="福禄20两全",F:F,0),险种!R:R)-SUMIFS(R:R,F:F,F:F,M:M,"&lt;=1"))*_xlfn.IFS(G:G=4126,1,OR(G:G&gt;4126,G:G&lt;4126),0)</f>
        <v>0</v>
      </c>
      <c r="Y355" s="2">
        <f t="shared" si="30"/>
        <v>0</v>
      </c>
      <c r="Z355" s="2">
        <f t="shared" si="31"/>
        <v>0</v>
      </c>
      <c r="AA355" s="2">
        <f t="shared" ref="AA355:AA418" si="34">ROUNDDOWN(IF(AND(R:R&gt;=1000,M:M&gt;1),R:R,0)/1000,0)*IF(OR(G:G=4126,G:G=4127),0,1)+ROUNDDOWN(X:X/1000,)</f>
        <v>0</v>
      </c>
    </row>
    <row r="356" spans="10:27">
      <c r="J356" s="123"/>
      <c r="V356" s="2">
        <f t="shared" si="32"/>
        <v>19000100</v>
      </c>
      <c r="W356" s="2">
        <f t="shared" si="33"/>
        <v>0</v>
      </c>
      <c r="X356" s="2">
        <f>(SUMIF(F:F,IF(H:H="福禄20两全",F:F,0),险种!R:R)-SUMIFS(R:R,F:F,F:F,M:M,"&lt;=1"))*_xlfn.IFS(G:G=4126,1,OR(G:G&gt;4126,G:G&lt;4126),0)</f>
        <v>0</v>
      </c>
      <c r="Y356" s="2">
        <f t="shared" si="30"/>
        <v>0</v>
      </c>
      <c r="Z356" s="2">
        <f t="shared" si="31"/>
        <v>0</v>
      </c>
      <c r="AA356" s="2">
        <f t="shared" si="34"/>
        <v>0</v>
      </c>
    </row>
    <row r="357" spans="10:27">
      <c r="J357" s="123"/>
      <c r="K357" s="123"/>
      <c r="T357" s="123"/>
      <c r="V357" s="2">
        <f t="shared" si="32"/>
        <v>19000100</v>
      </c>
      <c r="W357" s="2">
        <f t="shared" si="33"/>
        <v>0</v>
      </c>
      <c r="X357" s="2">
        <f>(SUMIF(F:F,IF(H:H="福禄20两全",F:F,0),险种!R:R)-SUMIFS(R:R,F:F,F:F,M:M,"&lt;=1"))*_xlfn.IFS(G:G=4126,1,OR(G:G&gt;4126,G:G&lt;4126),0)</f>
        <v>0</v>
      </c>
      <c r="Y357" s="2">
        <f t="shared" si="30"/>
        <v>0</v>
      </c>
      <c r="Z357" s="2">
        <f t="shared" si="31"/>
        <v>0</v>
      </c>
      <c r="AA357" s="2">
        <f t="shared" si="34"/>
        <v>0</v>
      </c>
    </row>
    <row r="358" spans="10:27">
      <c r="J358" s="123"/>
      <c r="K358" s="123"/>
      <c r="T358" s="123"/>
      <c r="V358" s="2">
        <f t="shared" si="32"/>
        <v>19000100</v>
      </c>
      <c r="W358" s="2">
        <f t="shared" si="33"/>
        <v>0</v>
      </c>
      <c r="X358" s="2">
        <f>(SUMIF(F:F,IF(H:H="福禄20两全",F:F,0),险种!R:R)-SUMIFS(R:R,F:F,F:F,M:M,"&lt;=1"))*_xlfn.IFS(G:G=4126,1,OR(G:G&gt;4126,G:G&lt;4126),0)</f>
        <v>0</v>
      </c>
      <c r="Y358" s="2">
        <f t="shared" si="30"/>
        <v>0</v>
      </c>
      <c r="Z358" s="2">
        <f t="shared" si="31"/>
        <v>0</v>
      </c>
      <c r="AA358" s="2">
        <f t="shared" si="34"/>
        <v>0</v>
      </c>
    </row>
    <row r="359" spans="10:27">
      <c r="J359" s="123"/>
      <c r="K359" s="123"/>
      <c r="T359" s="123"/>
      <c r="V359" s="2">
        <f t="shared" si="32"/>
        <v>19000100</v>
      </c>
      <c r="W359" s="2">
        <f t="shared" si="33"/>
        <v>0</v>
      </c>
      <c r="X359" s="2">
        <f>(SUMIF(F:F,IF(H:H="福禄20两全",F:F,0),险种!R:R)-SUMIFS(R:R,F:F,F:F,M:M,"&lt;=1"))*_xlfn.IFS(G:G=4126,1,OR(G:G&gt;4126,G:G&lt;4126),0)</f>
        <v>0</v>
      </c>
      <c r="Y359" s="2">
        <f t="shared" si="30"/>
        <v>0</v>
      </c>
      <c r="Z359" s="2">
        <f t="shared" si="31"/>
        <v>0</v>
      </c>
      <c r="AA359" s="2">
        <f t="shared" si="34"/>
        <v>0</v>
      </c>
    </row>
    <row r="360" spans="10:27">
      <c r="J360" s="123"/>
      <c r="K360" s="123"/>
      <c r="T360" s="123"/>
      <c r="V360" s="2">
        <f t="shared" si="32"/>
        <v>19000100</v>
      </c>
      <c r="W360" s="2">
        <f t="shared" si="33"/>
        <v>0</v>
      </c>
      <c r="X360" s="2">
        <f>(SUMIF(F:F,IF(H:H="福禄20两全",F:F,0),险种!R:R)-SUMIFS(R:R,F:F,F:F,M:M,"&lt;=1"))*_xlfn.IFS(G:G=4126,1,OR(G:G&gt;4126,G:G&lt;4126),0)</f>
        <v>0</v>
      </c>
      <c r="Y360" s="2">
        <f t="shared" si="30"/>
        <v>0</v>
      </c>
      <c r="Z360" s="2">
        <f t="shared" si="31"/>
        <v>0</v>
      </c>
      <c r="AA360" s="2">
        <f t="shared" si="34"/>
        <v>0</v>
      </c>
    </row>
    <row r="361" spans="10:27">
      <c r="J361" s="123"/>
      <c r="K361" s="123"/>
      <c r="T361" s="123"/>
      <c r="V361" s="2">
        <f t="shared" si="32"/>
        <v>19000100</v>
      </c>
      <c r="W361" s="2">
        <f t="shared" si="33"/>
        <v>0</v>
      </c>
      <c r="X361" s="2">
        <f>(SUMIF(F:F,IF(H:H="福禄20两全",F:F,0),险种!R:R)-SUMIFS(R:R,F:F,F:F,M:M,"&lt;=1"))*_xlfn.IFS(G:G=4126,1,OR(G:G&gt;4126,G:G&lt;4126),0)</f>
        <v>0</v>
      </c>
      <c r="Y361" s="2">
        <f t="shared" si="30"/>
        <v>0</v>
      </c>
      <c r="Z361" s="2">
        <f t="shared" si="31"/>
        <v>0</v>
      </c>
      <c r="AA361" s="2">
        <f t="shared" si="34"/>
        <v>0</v>
      </c>
    </row>
    <row r="362" spans="10:27">
      <c r="J362" s="1"/>
      <c r="K362" s="123"/>
      <c r="T362" s="123"/>
      <c r="V362" s="2">
        <f t="shared" si="32"/>
        <v>19000100</v>
      </c>
      <c r="W362" s="2">
        <f t="shared" si="33"/>
        <v>0</v>
      </c>
      <c r="X362" s="2">
        <f>(SUMIF(F:F,IF(H:H="福禄20两全",F:F,0),险种!R:R)-SUMIFS(R:R,F:F,F:F,M:M,"&lt;=1"))*_xlfn.IFS(G:G=4126,1,OR(G:G&gt;4126,G:G&lt;4126),0)</f>
        <v>0</v>
      </c>
      <c r="Y362" s="2">
        <f t="shared" si="30"/>
        <v>0</v>
      </c>
      <c r="Z362" s="2">
        <f t="shared" si="31"/>
        <v>0</v>
      </c>
      <c r="AA362" s="2">
        <f t="shared" si="34"/>
        <v>0</v>
      </c>
    </row>
    <row r="363" spans="10:27">
      <c r="J363" s="123"/>
      <c r="K363" s="123"/>
      <c r="T363" s="123"/>
      <c r="V363" s="2">
        <f t="shared" si="32"/>
        <v>19000100</v>
      </c>
      <c r="W363" s="2">
        <f t="shared" si="33"/>
        <v>0</v>
      </c>
      <c r="X363" s="2">
        <f>(SUMIF(F:F,IF(H:H="福禄20两全",F:F,0),险种!R:R)-SUMIFS(R:R,F:F,F:F,M:M,"&lt;=1"))*_xlfn.IFS(G:G=4126,1,OR(G:G&gt;4126,G:G&lt;4126),0)</f>
        <v>0</v>
      </c>
      <c r="Y363" s="2">
        <f t="shared" si="30"/>
        <v>0</v>
      </c>
      <c r="Z363" s="2">
        <f t="shared" si="31"/>
        <v>0</v>
      </c>
      <c r="AA363" s="2">
        <f t="shared" si="34"/>
        <v>0</v>
      </c>
    </row>
    <row r="364" spans="10:27">
      <c r="J364" s="123"/>
      <c r="K364" s="123"/>
      <c r="T364" s="123"/>
      <c r="V364" s="2">
        <f t="shared" si="32"/>
        <v>19000100</v>
      </c>
      <c r="W364" s="2">
        <f t="shared" si="33"/>
        <v>0</v>
      </c>
      <c r="X364" s="2">
        <f>(SUMIF(F:F,IF(H:H="福禄20两全",F:F,0),险种!R:R)-SUMIFS(R:R,F:F,F:F,M:M,"&lt;=1"))*_xlfn.IFS(G:G=4126,1,OR(G:G&gt;4126,G:G&lt;4126),0)</f>
        <v>0</v>
      </c>
      <c r="Y364" s="2">
        <f t="shared" si="30"/>
        <v>0</v>
      </c>
      <c r="Z364" s="2">
        <f t="shared" si="31"/>
        <v>0</v>
      </c>
      <c r="AA364" s="2">
        <f t="shared" si="34"/>
        <v>0</v>
      </c>
    </row>
    <row r="365" spans="10:27">
      <c r="J365" s="123"/>
      <c r="K365" s="123"/>
      <c r="T365" s="123"/>
      <c r="V365" s="2">
        <f t="shared" si="32"/>
        <v>19000100</v>
      </c>
      <c r="W365" s="2">
        <f t="shared" si="33"/>
        <v>0</v>
      </c>
      <c r="X365" s="2">
        <f>(SUMIF(F:F,IF(H:H="福禄20两全",F:F,0),险种!R:R)-SUMIFS(R:R,F:F,F:F,M:M,"&lt;=1"))*_xlfn.IFS(G:G=4126,1,OR(G:G&gt;4126,G:G&lt;4126),0)</f>
        <v>0</v>
      </c>
      <c r="Y365" s="2">
        <f t="shared" si="30"/>
        <v>0</v>
      </c>
      <c r="Z365" s="2">
        <f t="shared" si="31"/>
        <v>0</v>
      </c>
      <c r="AA365" s="2">
        <f t="shared" si="34"/>
        <v>0</v>
      </c>
    </row>
    <row r="366" spans="10:27">
      <c r="J366" s="123"/>
      <c r="K366" s="123"/>
      <c r="T366" s="123"/>
      <c r="V366" s="2">
        <f t="shared" si="32"/>
        <v>19000100</v>
      </c>
      <c r="W366" s="2">
        <f t="shared" si="33"/>
        <v>0</v>
      </c>
      <c r="X366" s="2">
        <f>(SUMIF(F:F,IF(H:H="福禄20两全",F:F,0),险种!R:R)-SUMIFS(R:R,F:F,F:F,M:M,"&lt;=1"))*_xlfn.IFS(G:G=4126,1,OR(G:G&gt;4126,G:G&lt;4126),0)</f>
        <v>0</v>
      </c>
      <c r="Y366" s="2">
        <f t="shared" si="30"/>
        <v>0</v>
      </c>
      <c r="Z366" s="2">
        <f t="shared" si="31"/>
        <v>0</v>
      </c>
      <c r="AA366" s="2">
        <f t="shared" si="34"/>
        <v>0</v>
      </c>
    </row>
    <row r="367" spans="10:27">
      <c r="J367" s="123"/>
      <c r="K367" s="123"/>
      <c r="T367" s="123"/>
      <c r="V367" s="2">
        <f t="shared" si="32"/>
        <v>19000100</v>
      </c>
      <c r="W367" s="2">
        <f t="shared" si="33"/>
        <v>0</v>
      </c>
      <c r="X367" s="2">
        <f>(SUMIF(F:F,IF(H:H="福禄20两全",F:F,0),险种!R:R)-SUMIFS(R:R,F:F,F:F,M:M,"&lt;=1"))*_xlfn.IFS(G:G=4126,1,OR(G:G&gt;4126,G:G&lt;4126),0)</f>
        <v>0</v>
      </c>
      <c r="Y367" s="2">
        <f t="shared" si="30"/>
        <v>0</v>
      </c>
      <c r="Z367" s="2">
        <f t="shared" si="31"/>
        <v>0</v>
      </c>
      <c r="AA367" s="2">
        <f t="shared" si="34"/>
        <v>0</v>
      </c>
    </row>
    <row r="368" spans="10:27">
      <c r="J368" s="123"/>
      <c r="K368" s="123"/>
      <c r="T368" s="123"/>
      <c r="V368" s="2">
        <f t="shared" si="32"/>
        <v>19000100</v>
      </c>
      <c r="W368" s="2">
        <f t="shared" si="33"/>
        <v>0</v>
      </c>
      <c r="X368" s="2">
        <f>(SUMIF(F:F,IF(H:H="福禄20两全",F:F,0),险种!R:R)-SUMIFS(R:R,F:F,F:F,M:M,"&lt;=1"))*_xlfn.IFS(G:G=4126,1,OR(G:G&gt;4126,G:G&lt;4126),0)</f>
        <v>0</v>
      </c>
      <c r="Y368" s="2">
        <f t="shared" si="30"/>
        <v>0</v>
      </c>
      <c r="Z368" s="2">
        <f t="shared" si="31"/>
        <v>0</v>
      </c>
      <c r="AA368" s="2">
        <f t="shared" si="34"/>
        <v>0</v>
      </c>
    </row>
    <row r="369" spans="10:27">
      <c r="J369" s="123"/>
      <c r="K369" s="123"/>
      <c r="T369" s="123"/>
      <c r="V369" s="2">
        <f t="shared" si="32"/>
        <v>19000100</v>
      </c>
      <c r="W369" s="2">
        <f t="shared" si="33"/>
        <v>0</v>
      </c>
      <c r="X369" s="2">
        <f>(SUMIF(F:F,IF(H:H="福禄20两全",F:F,0),险种!R:R)-SUMIFS(R:R,F:F,F:F,M:M,"&lt;=1"))*_xlfn.IFS(G:G=4126,1,OR(G:G&gt;4126,G:G&lt;4126),0)</f>
        <v>0</v>
      </c>
      <c r="Y369" s="2">
        <f t="shared" si="30"/>
        <v>0</v>
      </c>
      <c r="Z369" s="2">
        <f t="shared" si="31"/>
        <v>0</v>
      </c>
      <c r="AA369" s="2">
        <f t="shared" si="34"/>
        <v>0</v>
      </c>
    </row>
    <row r="370" spans="10:27">
      <c r="J370" s="1"/>
      <c r="K370" s="123"/>
      <c r="T370" s="123"/>
      <c r="V370" s="2">
        <f t="shared" si="32"/>
        <v>19000100</v>
      </c>
      <c r="W370" s="2">
        <f t="shared" si="33"/>
        <v>0</v>
      </c>
      <c r="X370" s="2">
        <f>(SUMIF(F:F,IF(H:H="福禄20两全",F:F,0),险种!R:R)-SUMIFS(R:R,F:F,F:F,M:M,"&lt;=1"))*_xlfn.IFS(G:G=4126,1,OR(G:G&gt;4126,G:G&lt;4126),0)</f>
        <v>0</v>
      </c>
      <c r="Y370" s="2">
        <f t="shared" si="30"/>
        <v>0</v>
      </c>
      <c r="Z370" s="2">
        <f t="shared" si="31"/>
        <v>0</v>
      </c>
      <c r="AA370" s="2">
        <f t="shared" si="34"/>
        <v>0</v>
      </c>
    </row>
    <row r="371" spans="22:27">
      <c r="V371" s="2">
        <f t="shared" si="32"/>
        <v>19000100</v>
      </c>
      <c r="W371" s="2">
        <f t="shared" si="33"/>
        <v>0</v>
      </c>
      <c r="X371" s="2">
        <f>(SUMIF(F:F,IF(H:H="福禄20两全",F:F,0),险种!R:R)-SUMIFS(R:R,F:F,F:F,M:M,"&lt;=1"))*_xlfn.IFS(G:G=4126,1,OR(G:G&gt;4126,G:G&lt;4126),0)</f>
        <v>0</v>
      </c>
      <c r="Y371" s="2">
        <f t="shared" si="30"/>
        <v>0</v>
      </c>
      <c r="Z371" s="2">
        <f t="shared" si="31"/>
        <v>0</v>
      </c>
      <c r="AA371" s="2">
        <f t="shared" si="34"/>
        <v>0</v>
      </c>
    </row>
    <row r="372" spans="22:27">
      <c r="V372" s="2">
        <f t="shared" si="32"/>
        <v>19000100</v>
      </c>
      <c r="W372" s="2">
        <f t="shared" si="33"/>
        <v>0</v>
      </c>
      <c r="X372" s="2">
        <f>(SUMIF(F:F,IF(H:H="福禄20两全",F:F,0),险种!R:R)-SUMIFS(R:R,F:F,F:F,M:M,"&lt;=1"))*_xlfn.IFS(G:G=4126,1,OR(G:G&gt;4126,G:G&lt;4126),0)</f>
        <v>0</v>
      </c>
      <c r="Y372" s="2">
        <f t="shared" si="30"/>
        <v>0</v>
      </c>
      <c r="Z372" s="2">
        <f t="shared" si="31"/>
        <v>0</v>
      </c>
      <c r="AA372" s="2">
        <f t="shared" si="34"/>
        <v>0</v>
      </c>
    </row>
    <row r="373" spans="22:27">
      <c r="V373" s="2">
        <f t="shared" si="32"/>
        <v>19000100</v>
      </c>
      <c r="W373" s="2">
        <f t="shared" si="33"/>
        <v>0</v>
      </c>
      <c r="X373" s="2">
        <f>(SUMIF(F:F,IF(H:H="福禄20两全",F:F,0),险种!R:R)-SUMIFS(R:R,F:F,F:F,M:M,"&lt;=1"))*_xlfn.IFS(G:G=4126,1,OR(G:G&gt;4126,G:G&lt;4126),0)</f>
        <v>0</v>
      </c>
      <c r="Y373" s="2">
        <f t="shared" si="30"/>
        <v>0</v>
      </c>
      <c r="Z373" s="2">
        <f t="shared" si="31"/>
        <v>0</v>
      </c>
      <c r="AA373" s="2">
        <f t="shared" si="34"/>
        <v>0</v>
      </c>
    </row>
    <row r="374" spans="22:27">
      <c r="V374" s="2">
        <f t="shared" si="32"/>
        <v>19000100</v>
      </c>
      <c r="W374" s="2">
        <f t="shared" si="33"/>
        <v>0</v>
      </c>
      <c r="X374" s="2">
        <f>(SUMIF(F:F,IF(H:H="福禄20两全",F:F,0),险种!R:R)-SUMIFS(R:R,F:F,F:F,M:M,"&lt;=1"))*_xlfn.IFS(G:G=4126,1,OR(G:G&gt;4126,G:G&lt;4126),0)</f>
        <v>0</v>
      </c>
      <c r="Y374" s="2">
        <f t="shared" si="30"/>
        <v>0</v>
      </c>
      <c r="Z374" s="2">
        <f t="shared" si="31"/>
        <v>0</v>
      </c>
      <c r="AA374" s="2">
        <f t="shared" si="34"/>
        <v>0</v>
      </c>
    </row>
    <row r="375" spans="22:27">
      <c r="V375" s="2">
        <f t="shared" si="32"/>
        <v>19000100</v>
      </c>
      <c r="W375" s="2">
        <f t="shared" si="33"/>
        <v>0</v>
      </c>
      <c r="X375" s="2">
        <f>(SUMIF(F:F,IF(H:H="福禄20两全",F:F,0),险种!R:R)-SUMIFS(R:R,F:F,F:F,M:M,"&lt;=1"))*_xlfn.IFS(G:G=4126,1,OR(G:G&gt;4126,G:G&lt;4126),0)</f>
        <v>0</v>
      </c>
      <c r="Y375" s="2">
        <f t="shared" si="30"/>
        <v>0</v>
      </c>
      <c r="Z375" s="2">
        <f t="shared" si="31"/>
        <v>0</v>
      </c>
      <c r="AA375" s="2">
        <f t="shared" si="34"/>
        <v>0</v>
      </c>
    </row>
    <row r="376" spans="22:27">
      <c r="V376" s="2">
        <f t="shared" si="32"/>
        <v>19000100</v>
      </c>
      <c r="W376" s="2">
        <f t="shared" si="33"/>
        <v>0</v>
      </c>
      <c r="X376" s="2">
        <f>(SUMIF(F:F,IF(H:H="福禄20两全",F:F,0),险种!R:R)-SUMIFS(R:R,F:F,F:F,M:M,"&lt;=1"))*_xlfn.IFS(G:G=4126,1,OR(G:G&gt;4126,G:G&lt;4126),0)</f>
        <v>0</v>
      </c>
      <c r="Y376" s="2">
        <f t="shared" si="30"/>
        <v>0</v>
      </c>
      <c r="Z376" s="2">
        <f t="shared" si="31"/>
        <v>0</v>
      </c>
      <c r="AA376" s="2">
        <f t="shared" si="34"/>
        <v>0</v>
      </c>
    </row>
    <row r="377" spans="22:27">
      <c r="V377" s="2">
        <f t="shared" si="32"/>
        <v>19000100</v>
      </c>
      <c r="W377" s="2">
        <f t="shared" si="33"/>
        <v>0</v>
      </c>
      <c r="X377" s="2">
        <f>(SUMIF(F:F,IF(H:H="福禄20两全",F:F,0),险种!R:R)-SUMIFS(R:R,F:F,F:F,M:M,"&lt;=1"))*_xlfn.IFS(G:G=4126,1,OR(G:G&gt;4126,G:G&lt;4126),0)</f>
        <v>0</v>
      </c>
      <c r="Y377" s="2">
        <f t="shared" si="30"/>
        <v>0</v>
      </c>
      <c r="Z377" s="2">
        <f t="shared" si="31"/>
        <v>0</v>
      </c>
      <c r="AA377" s="2">
        <f t="shared" si="34"/>
        <v>0</v>
      </c>
    </row>
    <row r="378" spans="22:27">
      <c r="V378" s="2">
        <f t="shared" si="32"/>
        <v>19000100</v>
      </c>
      <c r="W378" s="2">
        <f t="shared" si="33"/>
        <v>0</v>
      </c>
      <c r="X378" s="2">
        <f>(SUMIF(F:F,IF(H:H="福禄20两全",F:F,0),险种!R:R)-SUMIFS(R:R,F:F,F:F,M:M,"&lt;=1"))*_xlfn.IFS(G:G=4126,1,OR(G:G&gt;4126,G:G&lt;4126),0)</f>
        <v>0</v>
      </c>
      <c r="Y378" s="2">
        <f t="shared" si="30"/>
        <v>0</v>
      </c>
      <c r="Z378" s="2">
        <f t="shared" si="31"/>
        <v>0</v>
      </c>
      <c r="AA378" s="2">
        <f t="shared" si="34"/>
        <v>0</v>
      </c>
    </row>
    <row r="379" spans="22:27">
      <c r="V379" s="2">
        <f t="shared" si="32"/>
        <v>19000100</v>
      </c>
      <c r="W379" s="2">
        <f t="shared" si="33"/>
        <v>0</v>
      </c>
      <c r="X379" s="2">
        <f>(SUMIF(F:F,IF(H:H="福禄20两全",F:F,0),险种!R:R)-SUMIFS(R:R,F:F,F:F,M:M,"&lt;=1"))*_xlfn.IFS(G:G=4126,1,OR(G:G&gt;4126,G:G&lt;4126),0)</f>
        <v>0</v>
      </c>
      <c r="Y379" s="2">
        <f t="shared" si="30"/>
        <v>0</v>
      </c>
      <c r="Z379" s="2">
        <f t="shared" si="31"/>
        <v>0</v>
      </c>
      <c r="AA379" s="2">
        <f t="shared" si="34"/>
        <v>0</v>
      </c>
    </row>
    <row r="380" spans="22:27">
      <c r="V380" s="2">
        <f t="shared" si="32"/>
        <v>19000100</v>
      </c>
      <c r="W380" s="2">
        <f t="shared" si="33"/>
        <v>0</v>
      </c>
      <c r="X380" s="2">
        <f>(SUMIF(F:F,IF(H:H="福禄20两全",F:F,0),险种!R:R)-SUMIFS(R:R,F:F,F:F,M:M,"&lt;=1"))*_xlfn.IFS(G:G=4126,1,OR(G:G&gt;4126,G:G&lt;4126),0)</f>
        <v>0</v>
      </c>
      <c r="Y380" s="2">
        <f t="shared" si="30"/>
        <v>0</v>
      </c>
      <c r="Z380" s="2">
        <f t="shared" si="31"/>
        <v>0</v>
      </c>
      <c r="AA380" s="2">
        <f t="shared" si="34"/>
        <v>0</v>
      </c>
    </row>
    <row r="381" spans="22:27">
      <c r="V381" s="2">
        <f t="shared" si="32"/>
        <v>19000100</v>
      </c>
      <c r="W381" s="2">
        <f t="shared" si="33"/>
        <v>0</v>
      </c>
      <c r="X381" s="2">
        <f>(SUMIF(F:F,IF(H:H="福禄20两全",F:F,0),险种!R:R)-SUMIFS(R:R,F:F,F:F,M:M,"&lt;=1"))*_xlfn.IFS(G:G=4126,1,OR(G:G&gt;4126,G:G&lt;4126),0)</f>
        <v>0</v>
      </c>
      <c r="Y381" s="2">
        <f t="shared" si="30"/>
        <v>0</v>
      </c>
      <c r="Z381" s="2">
        <f t="shared" si="31"/>
        <v>0</v>
      </c>
      <c r="AA381" s="2">
        <f t="shared" si="34"/>
        <v>0</v>
      </c>
    </row>
    <row r="382" spans="22:27">
      <c r="V382" s="2">
        <f t="shared" si="32"/>
        <v>19000100</v>
      </c>
      <c r="W382" s="2">
        <f t="shared" si="33"/>
        <v>0</v>
      </c>
      <c r="X382" s="2">
        <f>(SUMIF(F:F,IF(H:H="福禄20两全",F:F,0),险种!R:R)-SUMIFS(R:R,F:F,F:F,M:M,"&lt;=1"))*_xlfn.IFS(G:G=4126,1,OR(G:G&gt;4126,G:G&lt;4126),0)</f>
        <v>0</v>
      </c>
      <c r="Y382" s="2">
        <f t="shared" si="30"/>
        <v>0</v>
      </c>
      <c r="Z382" s="2">
        <f t="shared" si="31"/>
        <v>0</v>
      </c>
      <c r="AA382" s="2">
        <f t="shared" si="34"/>
        <v>0</v>
      </c>
    </row>
    <row r="383" spans="22:27">
      <c r="V383" s="2">
        <f t="shared" si="32"/>
        <v>19000100</v>
      </c>
      <c r="W383" s="2">
        <f t="shared" si="33"/>
        <v>0</v>
      </c>
      <c r="X383" s="2">
        <f>(SUMIF(F:F,IF(H:H="福禄20两全",F:F,0),险种!R:R)-SUMIFS(R:R,F:F,F:F,M:M,"&lt;=1"))*_xlfn.IFS(G:G=4126,1,OR(G:G&gt;4126,G:G&lt;4126),0)</f>
        <v>0</v>
      </c>
      <c r="Y383" s="2">
        <f t="shared" si="30"/>
        <v>0</v>
      </c>
      <c r="Z383" s="2">
        <f t="shared" si="31"/>
        <v>0</v>
      </c>
      <c r="AA383" s="2">
        <f t="shared" si="34"/>
        <v>0</v>
      </c>
    </row>
    <row r="384" spans="22:27">
      <c r="V384" s="2">
        <f t="shared" si="32"/>
        <v>19000100</v>
      </c>
      <c r="W384" s="2">
        <f t="shared" si="33"/>
        <v>0</v>
      </c>
      <c r="X384" s="2">
        <f>(SUMIF(F:F,IF(H:H="福禄20两全",F:F,0),险种!R:R)-SUMIFS(R:R,F:F,F:F,M:M,"&lt;=1"))*_xlfn.IFS(G:G=4126,1,OR(G:G&gt;4126,G:G&lt;4126),0)</f>
        <v>0</v>
      </c>
      <c r="Y384" s="2">
        <f t="shared" si="30"/>
        <v>0</v>
      </c>
      <c r="Z384" s="2">
        <f t="shared" si="31"/>
        <v>0</v>
      </c>
      <c r="AA384" s="2">
        <f t="shared" si="34"/>
        <v>0</v>
      </c>
    </row>
    <row r="385" spans="22:27">
      <c r="V385" s="2">
        <f t="shared" si="32"/>
        <v>19000100</v>
      </c>
      <c r="W385" s="2">
        <f t="shared" si="33"/>
        <v>0</v>
      </c>
      <c r="X385" s="2">
        <f>(SUMIF(F:F,IF(H:H="福禄20两全",F:F,0),险种!R:R)-SUMIFS(R:R,F:F,F:F,M:M,"&lt;=1"))*_xlfn.IFS(G:G=4126,1,OR(G:G&gt;4126,G:G&lt;4126),0)</f>
        <v>0</v>
      </c>
      <c r="Y385" s="2">
        <f t="shared" si="30"/>
        <v>0</v>
      </c>
      <c r="Z385" s="2">
        <f t="shared" si="31"/>
        <v>0</v>
      </c>
      <c r="AA385" s="2">
        <f t="shared" si="34"/>
        <v>0</v>
      </c>
    </row>
    <row r="386" spans="22:27">
      <c r="V386" s="2">
        <f t="shared" si="32"/>
        <v>19000100</v>
      </c>
      <c r="W386" s="2">
        <f t="shared" si="33"/>
        <v>0</v>
      </c>
      <c r="X386" s="2">
        <f>(SUMIF(F:F,IF(H:H="福禄20两全",F:F,0),险种!R:R)-SUMIFS(R:R,F:F,F:F,M:M,"&lt;=1"))*_xlfn.IFS(G:G=4126,1,OR(G:G&gt;4126,G:G&lt;4126),0)</f>
        <v>0</v>
      </c>
      <c r="Y386" s="2">
        <f t="shared" si="30"/>
        <v>0</v>
      </c>
      <c r="Z386" s="2">
        <f t="shared" si="31"/>
        <v>0</v>
      </c>
      <c r="AA386" s="2">
        <f t="shared" si="34"/>
        <v>0</v>
      </c>
    </row>
    <row r="387" spans="22:27">
      <c r="V387" s="2">
        <f t="shared" si="32"/>
        <v>19000100</v>
      </c>
      <c r="W387" s="2">
        <f t="shared" si="33"/>
        <v>0</v>
      </c>
      <c r="X387" s="2">
        <f>(SUMIF(F:F,IF(H:H="福禄20两全",F:F,0),险种!R:R)-SUMIFS(R:R,F:F,F:F,M:M,"&lt;=1"))*_xlfn.IFS(G:G=4126,1,OR(G:G&gt;4126,G:G&lt;4126),0)</f>
        <v>0</v>
      </c>
      <c r="Y387" s="2">
        <f t="shared" ref="Y387:Y450" si="35">IF(AND(W:W=1,V:V&lt;=20210510),1,0)</f>
        <v>0</v>
      </c>
      <c r="Z387" s="2">
        <f t="shared" ref="Z387:Z450" si="36">IF(AND(W:W=1,V:V&lt;=20210520,V:V&gt;20210510),1,0)</f>
        <v>0</v>
      </c>
      <c r="AA387" s="2">
        <f t="shared" si="34"/>
        <v>0</v>
      </c>
    </row>
    <row r="388" spans="22:27">
      <c r="V388" s="2">
        <f t="shared" si="32"/>
        <v>19000100</v>
      </c>
      <c r="W388" s="2">
        <f t="shared" si="33"/>
        <v>0</v>
      </c>
      <c r="X388" s="2">
        <f>(SUMIF(F:F,IF(H:H="福禄20两全",F:F,0),险种!R:R)-SUMIFS(R:R,F:F,F:F,M:M,"&lt;=1"))*_xlfn.IFS(G:G=4126,1,OR(G:G&gt;4126,G:G&lt;4126),0)</f>
        <v>0</v>
      </c>
      <c r="Y388" s="2">
        <f t="shared" si="35"/>
        <v>0</v>
      </c>
      <c r="Z388" s="2">
        <f t="shared" si="36"/>
        <v>0</v>
      </c>
      <c r="AA388" s="2">
        <f t="shared" si="34"/>
        <v>0</v>
      </c>
    </row>
    <row r="389" spans="22:27">
      <c r="V389" s="2">
        <f t="shared" si="32"/>
        <v>19000100</v>
      </c>
      <c r="W389" s="2">
        <f t="shared" si="33"/>
        <v>0</v>
      </c>
      <c r="X389" s="2">
        <f>(SUMIF(F:F,IF(H:H="福禄20两全",F:F,0),险种!R:R)-SUMIFS(R:R,F:F,F:F,M:M,"&lt;=1"))*_xlfn.IFS(G:G=4126,1,OR(G:G&gt;4126,G:G&lt;4126),0)</f>
        <v>0</v>
      </c>
      <c r="Y389" s="2">
        <f t="shared" si="35"/>
        <v>0</v>
      </c>
      <c r="Z389" s="2">
        <f t="shared" si="36"/>
        <v>0</v>
      </c>
      <c r="AA389" s="2">
        <f t="shared" si="34"/>
        <v>0</v>
      </c>
    </row>
    <row r="390" spans="22:27">
      <c r="V390" s="2">
        <f t="shared" si="32"/>
        <v>19000100</v>
      </c>
      <c r="W390" s="2">
        <f t="shared" si="33"/>
        <v>0</v>
      </c>
      <c r="X390" s="2">
        <f>(SUMIF(F:F,IF(H:H="福禄20两全",F:F,0),险种!R:R)-SUMIFS(R:R,F:F,F:F,M:M,"&lt;=1"))*_xlfn.IFS(G:G=4126,1,OR(G:G&gt;4126,G:G&lt;4126),0)</f>
        <v>0</v>
      </c>
      <c r="Y390" s="2">
        <f t="shared" si="35"/>
        <v>0</v>
      </c>
      <c r="Z390" s="2">
        <f t="shared" si="36"/>
        <v>0</v>
      </c>
      <c r="AA390" s="2">
        <f t="shared" si="34"/>
        <v>0</v>
      </c>
    </row>
    <row r="391" spans="22:27">
      <c r="V391" s="2">
        <f t="shared" si="32"/>
        <v>19000100</v>
      </c>
      <c r="W391" s="2">
        <f t="shared" si="33"/>
        <v>0</v>
      </c>
      <c r="X391" s="2">
        <f>(SUMIF(F:F,IF(H:H="福禄20两全",F:F,0),险种!R:R)-SUMIFS(R:R,F:F,F:F,M:M,"&lt;=1"))*_xlfn.IFS(G:G=4126,1,OR(G:G&gt;4126,G:G&lt;4126),0)</f>
        <v>0</v>
      </c>
      <c r="Y391" s="2">
        <f t="shared" si="35"/>
        <v>0</v>
      </c>
      <c r="Z391" s="2">
        <f t="shared" si="36"/>
        <v>0</v>
      </c>
      <c r="AA391" s="2">
        <f t="shared" si="34"/>
        <v>0</v>
      </c>
    </row>
    <row r="392" spans="22:27">
      <c r="V392" s="2">
        <f t="shared" si="32"/>
        <v>19000100</v>
      </c>
      <c r="W392" s="2">
        <f t="shared" si="33"/>
        <v>0</v>
      </c>
      <c r="X392" s="2">
        <f>(SUMIF(F:F,IF(H:H="福禄20两全",F:F,0),险种!R:R)-SUMIFS(R:R,F:F,F:F,M:M,"&lt;=1"))*_xlfn.IFS(G:G=4126,1,OR(G:G&gt;4126,G:G&lt;4126),0)</f>
        <v>0</v>
      </c>
      <c r="Y392" s="2">
        <f t="shared" si="35"/>
        <v>0</v>
      </c>
      <c r="Z392" s="2">
        <f t="shared" si="36"/>
        <v>0</v>
      </c>
      <c r="AA392" s="2">
        <f t="shared" si="34"/>
        <v>0</v>
      </c>
    </row>
    <row r="393" spans="22:27">
      <c r="V393" s="2">
        <f t="shared" si="32"/>
        <v>19000100</v>
      </c>
      <c r="W393" s="2">
        <f t="shared" si="33"/>
        <v>0</v>
      </c>
      <c r="X393" s="2">
        <f>(SUMIF(F:F,IF(H:H="福禄20两全",F:F,0),险种!R:R)-SUMIFS(R:R,F:F,F:F,M:M,"&lt;=1"))*_xlfn.IFS(G:G=4126,1,OR(G:G&gt;4126,G:G&lt;4126),0)</f>
        <v>0</v>
      </c>
      <c r="Y393" s="2">
        <f t="shared" si="35"/>
        <v>0</v>
      </c>
      <c r="Z393" s="2">
        <f t="shared" si="36"/>
        <v>0</v>
      </c>
      <c r="AA393" s="2">
        <f t="shared" si="34"/>
        <v>0</v>
      </c>
    </row>
    <row r="394" spans="22:27">
      <c r="V394" s="2">
        <f t="shared" si="32"/>
        <v>19000100</v>
      </c>
      <c r="W394" s="2">
        <f t="shared" si="33"/>
        <v>0</v>
      </c>
      <c r="X394" s="2">
        <f>(SUMIF(F:F,IF(H:H="福禄20两全",F:F,0),险种!R:R)-SUMIFS(R:R,F:F,F:F,M:M,"&lt;=1"))*_xlfn.IFS(G:G=4126,1,OR(G:G&gt;4126,G:G&lt;4126),0)</f>
        <v>0</v>
      </c>
      <c r="Y394" s="2">
        <f t="shared" si="35"/>
        <v>0</v>
      </c>
      <c r="Z394" s="2">
        <f t="shared" si="36"/>
        <v>0</v>
      </c>
      <c r="AA394" s="2">
        <f t="shared" si="34"/>
        <v>0</v>
      </c>
    </row>
    <row r="395" spans="22:27">
      <c r="V395" s="2">
        <f t="shared" si="32"/>
        <v>19000100</v>
      </c>
      <c r="W395" s="2">
        <f t="shared" si="33"/>
        <v>0</v>
      </c>
      <c r="X395" s="2">
        <f>(SUMIF(F:F,IF(H:H="福禄20两全",F:F,0),险种!R:R)-SUMIFS(R:R,F:F,F:F,M:M,"&lt;=1"))*_xlfn.IFS(G:G=4126,1,OR(G:G&gt;4126,G:G&lt;4126),0)</f>
        <v>0</v>
      </c>
      <c r="Y395" s="2">
        <f t="shared" si="35"/>
        <v>0</v>
      </c>
      <c r="Z395" s="2">
        <f t="shared" si="36"/>
        <v>0</v>
      </c>
      <c r="AA395" s="2">
        <f t="shared" si="34"/>
        <v>0</v>
      </c>
    </row>
    <row r="396" spans="22:27">
      <c r="V396" s="2">
        <f t="shared" si="32"/>
        <v>19000100</v>
      </c>
      <c r="W396" s="2">
        <f t="shared" si="33"/>
        <v>0</v>
      </c>
      <c r="X396" s="2">
        <f>(SUMIF(F:F,IF(H:H="福禄20两全",F:F,0),险种!R:R)-SUMIFS(R:R,F:F,F:F,M:M,"&lt;=1"))*_xlfn.IFS(G:G=4126,1,OR(G:G&gt;4126,G:G&lt;4126),0)</f>
        <v>0</v>
      </c>
      <c r="Y396" s="2">
        <f t="shared" si="35"/>
        <v>0</v>
      </c>
      <c r="Z396" s="2">
        <f t="shared" si="36"/>
        <v>0</v>
      </c>
      <c r="AA396" s="2">
        <f t="shared" si="34"/>
        <v>0</v>
      </c>
    </row>
    <row r="397" spans="22:27">
      <c r="V397" s="2">
        <f t="shared" si="32"/>
        <v>19000100</v>
      </c>
      <c r="W397" s="2">
        <f t="shared" si="33"/>
        <v>0</v>
      </c>
      <c r="X397" s="2">
        <f>(SUMIF(F:F,IF(H:H="福禄20两全",F:F,0),险种!R:R)-SUMIFS(R:R,F:F,F:F,M:M,"&lt;=1"))*_xlfn.IFS(G:G=4126,1,OR(G:G&gt;4126,G:G&lt;4126),0)</f>
        <v>0</v>
      </c>
      <c r="Y397" s="2">
        <f t="shared" si="35"/>
        <v>0</v>
      </c>
      <c r="Z397" s="2">
        <f t="shared" si="36"/>
        <v>0</v>
      </c>
      <c r="AA397" s="2">
        <f t="shared" si="34"/>
        <v>0</v>
      </c>
    </row>
    <row r="398" spans="22:27">
      <c r="V398" s="2">
        <f t="shared" si="32"/>
        <v>19000100</v>
      </c>
      <c r="W398" s="2">
        <f t="shared" si="33"/>
        <v>0</v>
      </c>
      <c r="X398" s="2">
        <f>(SUMIF(F:F,IF(H:H="福禄20两全",F:F,0),险种!R:R)-SUMIFS(R:R,F:F,F:F,M:M,"&lt;=1"))*_xlfn.IFS(G:G=4126,1,OR(G:G&gt;4126,G:G&lt;4126),0)</f>
        <v>0</v>
      </c>
      <c r="Y398" s="2">
        <f t="shared" si="35"/>
        <v>0</v>
      </c>
      <c r="Z398" s="2">
        <f t="shared" si="36"/>
        <v>0</v>
      </c>
      <c r="AA398" s="2">
        <f t="shared" si="34"/>
        <v>0</v>
      </c>
    </row>
    <row r="399" spans="22:27">
      <c r="V399" s="2">
        <f t="shared" si="32"/>
        <v>19000100</v>
      </c>
      <c r="W399" s="2">
        <f t="shared" si="33"/>
        <v>0</v>
      </c>
      <c r="X399" s="2">
        <f>(SUMIF(F:F,IF(H:H="福禄20两全",F:F,0),险种!R:R)-SUMIFS(R:R,F:F,F:F,M:M,"&lt;=1"))*_xlfn.IFS(G:G=4126,1,OR(G:G&gt;4126,G:G&lt;4126),0)</f>
        <v>0</v>
      </c>
      <c r="Y399" s="2">
        <f t="shared" si="35"/>
        <v>0</v>
      </c>
      <c r="Z399" s="2">
        <f t="shared" si="36"/>
        <v>0</v>
      </c>
      <c r="AA399" s="2">
        <f t="shared" si="34"/>
        <v>0</v>
      </c>
    </row>
    <row r="400" spans="22:27">
      <c r="V400" s="2">
        <f t="shared" ref="V400:V463" si="37">TEXT(J:J,"yyyymmdd")*1</f>
        <v>19000100</v>
      </c>
      <c r="W400" s="2">
        <f t="shared" ref="W400:W463" si="38">IF(AND(M:M&gt;1,R:R&gt;3000),1,0)-IF(AND(M:M&gt;1,R:R&gt;3000,G:G=4126),1,0)-IF(AND(M:M&gt;1,R:R&gt;3000,G:G=4127),1,0)+IF(X:X&gt;=3000,1,0)</f>
        <v>0</v>
      </c>
      <c r="X400" s="2">
        <f>(SUMIF(F:F,IF(H:H="福禄20两全",F:F,0),险种!R:R)-SUMIFS(R:R,F:F,F:F,M:M,"&lt;=1"))*_xlfn.IFS(G:G=4126,1,OR(G:G&gt;4126,G:G&lt;4126),0)</f>
        <v>0</v>
      </c>
      <c r="Y400" s="2">
        <f t="shared" si="35"/>
        <v>0</v>
      </c>
      <c r="Z400" s="2">
        <f t="shared" si="36"/>
        <v>0</v>
      </c>
      <c r="AA400" s="2">
        <f t="shared" si="34"/>
        <v>0</v>
      </c>
    </row>
    <row r="401" spans="22:27">
      <c r="V401" s="2">
        <f t="shared" si="37"/>
        <v>19000100</v>
      </c>
      <c r="W401" s="2">
        <f t="shared" si="38"/>
        <v>0</v>
      </c>
      <c r="X401" s="2">
        <f>(SUMIF(F:F,IF(H:H="福禄20两全",F:F,0),险种!R:R)-SUMIFS(R:R,F:F,F:F,M:M,"&lt;=1"))*_xlfn.IFS(G:G=4126,1,OR(G:G&gt;4126,G:G&lt;4126),0)</f>
        <v>0</v>
      </c>
      <c r="Y401" s="2">
        <f t="shared" si="35"/>
        <v>0</v>
      </c>
      <c r="Z401" s="2">
        <f t="shared" si="36"/>
        <v>0</v>
      </c>
      <c r="AA401" s="2">
        <f t="shared" si="34"/>
        <v>0</v>
      </c>
    </row>
    <row r="402" spans="22:27">
      <c r="V402" s="2">
        <f t="shared" si="37"/>
        <v>19000100</v>
      </c>
      <c r="W402" s="2">
        <f t="shared" si="38"/>
        <v>0</v>
      </c>
      <c r="X402" s="2">
        <f>(SUMIF(F:F,IF(H:H="福禄20两全",F:F,0),险种!R:R)-SUMIFS(R:R,F:F,F:F,M:M,"&lt;=1"))*_xlfn.IFS(G:G=4126,1,OR(G:G&gt;4126,G:G&lt;4126),0)</f>
        <v>0</v>
      </c>
      <c r="Y402" s="2">
        <f t="shared" si="35"/>
        <v>0</v>
      </c>
      <c r="Z402" s="2">
        <f t="shared" si="36"/>
        <v>0</v>
      </c>
      <c r="AA402" s="2">
        <f t="shared" si="34"/>
        <v>0</v>
      </c>
    </row>
    <row r="403" spans="22:27">
      <c r="V403" s="2">
        <f t="shared" si="37"/>
        <v>19000100</v>
      </c>
      <c r="W403" s="2">
        <f t="shared" si="38"/>
        <v>0</v>
      </c>
      <c r="X403" s="2">
        <f>(SUMIF(F:F,IF(H:H="福禄20两全",F:F,0),险种!R:R)-SUMIFS(R:R,F:F,F:F,M:M,"&lt;=1"))*_xlfn.IFS(G:G=4126,1,OR(G:G&gt;4126,G:G&lt;4126),0)</f>
        <v>0</v>
      </c>
      <c r="Y403" s="2">
        <f t="shared" si="35"/>
        <v>0</v>
      </c>
      <c r="Z403" s="2">
        <f t="shared" si="36"/>
        <v>0</v>
      </c>
      <c r="AA403" s="2">
        <f t="shared" si="34"/>
        <v>0</v>
      </c>
    </row>
    <row r="404" spans="22:27">
      <c r="V404" s="2">
        <f t="shared" si="37"/>
        <v>19000100</v>
      </c>
      <c r="W404" s="2">
        <f t="shared" si="38"/>
        <v>0</v>
      </c>
      <c r="X404" s="2">
        <f>(SUMIF(F:F,IF(H:H="福禄20两全",F:F,0),险种!R:R)-SUMIFS(R:R,F:F,F:F,M:M,"&lt;=1"))*_xlfn.IFS(G:G=4126,1,OR(G:G&gt;4126,G:G&lt;4126),0)</f>
        <v>0</v>
      </c>
      <c r="Y404" s="2">
        <f t="shared" si="35"/>
        <v>0</v>
      </c>
      <c r="Z404" s="2">
        <f t="shared" si="36"/>
        <v>0</v>
      </c>
      <c r="AA404" s="2">
        <f t="shared" si="34"/>
        <v>0</v>
      </c>
    </row>
    <row r="405" spans="22:27">
      <c r="V405" s="2">
        <f t="shared" si="37"/>
        <v>19000100</v>
      </c>
      <c r="W405" s="2">
        <f t="shared" si="38"/>
        <v>0</v>
      </c>
      <c r="X405" s="2">
        <f>(SUMIF(F:F,IF(H:H="福禄20两全",F:F,0),险种!R:R)-SUMIFS(R:R,F:F,F:F,M:M,"&lt;=1"))*_xlfn.IFS(G:G=4126,1,OR(G:G&gt;4126,G:G&lt;4126),0)</f>
        <v>0</v>
      </c>
      <c r="Y405" s="2">
        <f t="shared" si="35"/>
        <v>0</v>
      </c>
      <c r="Z405" s="2">
        <f t="shared" si="36"/>
        <v>0</v>
      </c>
      <c r="AA405" s="2">
        <f t="shared" si="34"/>
        <v>0</v>
      </c>
    </row>
    <row r="406" spans="22:27">
      <c r="V406" s="2">
        <f t="shared" si="37"/>
        <v>19000100</v>
      </c>
      <c r="W406" s="2">
        <f t="shared" si="38"/>
        <v>0</v>
      </c>
      <c r="X406" s="2">
        <f>(SUMIF(F:F,IF(H:H="福禄20两全",F:F,0),险种!R:R)-SUMIFS(R:R,F:F,F:F,M:M,"&lt;=1"))*_xlfn.IFS(G:G=4126,1,OR(G:G&gt;4126,G:G&lt;4126),0)</f>
        <v>0</v>
      </c>
      <c r="Y406" s="2">
        <f t="shared" si="35"/>
        <v>0</v>
      </c>
      <c r="Z406" s="2">
        <f t="shared" si="36"/>
        <v>0</v>
      </c>
      <c r="AA406" s="2">
        <f t="shared" si="34"/>
        <v>0</v>
      </c>
    </row>
    <row r="407" spans="22:27">
      <c r="V407" s="2">
        <f t="shared" si="37"/>
        <v>19000100</v>
      </c>
      <c r="W407" s="2">
        <f t="shared" si="38"/>
        <v>0</v>
      </c>
      <c r="X407" s="2">
        <f>(SUMIF(F:F,IF(H:H="福禄20两全",F:F,0),险种!R:R)-SUMIFS(R:R,F:F,F:F,M:M,"&lt;=1"))*_xlfn.IFS(G:G=4126,1,OR(G:G&gt;4126,G:G&lt;4126),0)</f>
        <v>0</v>
      </c>
      <c r="Y407" s="2">
        <f t="shared" si="35"/>
        <v>0</v>
      </c>
      <c r="Z407" s="2">
        <f t="shared" si="36"/>
        <v>0</v>
      </c>
      <c r="AA407" s="2">
        <f t="shared" si="34"/>
        <v>0</v>
      </c>
    </row>
    <row r="408" spans="22:27">
      <c r="V408" s="2">
        <f t="shared" si="37"/>
        <v>19000100</v>
      </c>
      <c r="W408" s="2">
        <f t="shared" si="38"/>
        <v>0</v>
      </c>
      <c r="X408" s="2">
        <f>(SUMIF(F:F,IF(H:H="福禄20两全",F:F,0),险种!R:R)-SUMIFS(R:R,F:F,F:F,M:M,"&lt;=1"))*_xlfn.IFS(G:G=4126,1,OR(G:G&gt;4126,G:G&lt;4126),0)</f>
        <v>0</v>
      </c>
      <c r="Y408" s="2">
        <f t="shared" si="35"/>
        <v>0</v>
      </c>
      <c r="Z408" s="2">
        <f t="shared" si="36"/>
        <v>0</v>
      </c>
      <c r="AA408" s="2">
        <f t="shared" si="34"/>
        <v>0</v>
      </c>
    </row>
    <row r="409" spans="22:27">
      <c r="V409" s="2">
        <f t="shared" si="37"/>
        <v>19000100</v>
      </c>
      <c r="W409" s="2">
        <f t="shared" si="38"/>
        <v>0</v>
      </c>
      <c r="X409" s="2">
        <f>(SUMIF(F:F,IF(H:H="福禄20两全",F:F,0),险种!R:R)-SUMIFS(R:R,F:F,F:F,M:M,"&lt;=1"))*_xlfn.IFS(G:G=4126,1,OR(G:G&gt;4126,G:G&lt;4126),0)</f>
        <v>0</v>
      </c>
      <c r="Y409" s="2">
        <f t="shared" si="35"/>
        <v>0</v>
      </c>
      <c r="Z409" s="2">
        <f t="shared" si="36"/>
        <v>0</v>
      </c>
      <c r="AA409" s="2">
        <f t="shared" si="34"/>
        <v>0</v>
      </c>
    </row>
    <row r="410" spans="22:27">
      <c r="V410" s="2">
        <f t="shared" si="37"/>
        <v>19000100</v>
      </c>
      <c r="W410" s="2">
        <f t="shared" si="38"/>
        <v>0</v>
      </c>
      <c r="X410" s="2">
        <f>(SUMIF(F:F,IF(H:H="福禄20两全",F:F,0),险种!R:R)-SUMIFS(R:R,F:F,F:F,M:M,"&lt;=1"))*_xlfn.IFS(G:G=4126,1,OR(G:G&gt;4126,G:G&lt;4126),0)</f>
        <v>0</v>
      </c>
      <c r="Y410" s="2">
        <f t="shared" si="35"/>
        <v>0</v>
      </c>
      <c r="Z410" s="2">
        <f t="shared" si="36"/>
        <v>0</v>
      </c>
      <c r="AA410" s="2">
        <f t="shared" si="34"/>
        <v>0</v>
      </c>
    </row>
    <row r="411" spans="22:27">
      <c r="V411" s="2">
        <f t="shared" si="37"/>
        <v>19000100</v>
      </c>
      <c r="W411" s="2">
        <f t="shared" si="38"/>
        <v>0</v>
      </c>
      <c r="X411" s="2">
        <f>(SUMIF(F:F,IF(H:H="福禄20两全",F:F,0),险种!R:R)-SUMIFS(R:R,F:F,F:F,M:M,"&lt;=1"))*_xlfn.IFS(G:G=4126,1,OR(G:G&gt;4126,G:G&lt;4126),0)</f>
        <v>0</v>
      </c>
      <c r="Y411" s="2">
        <f t="shared" si="35"/>
        <v>0</v>
      </c>
      <c r="Z411" s="2">
        <f t="shared" si="36"/>
        <v>0</v>
      </c>
      <c r="AA411" s="2">
        <f t="shared" si="34"/>
        <v>0</v>
      </c>
    </row>
    <row r="412" spans="22:27">
      <c r="V412" s="2">
        <f t="shared" si="37"/>
        <v>19000100</v>
      </c>
      <c r="W412" s="2">
        <f t="shared" si="38"/>
        <v>0</v>
      </c>
      <c r="X412" s="2">
        <f>(SUMIF(F:F,IF(H:H="福禄20两全",F:F,0),险种!R:R)-SUMIFS(R:R,F:F,F:F,M:M,"&lt;=1"))*_xlfn.IFS(G:G=4126,1,OR(G:G&gt;4126,G:G&lt;4126),0)</f>
        <v>0</v>
      </c>
      <c r="Y412" s="2">
        <f t="shared" si="35"/>
        <v>0</v>
      </c>
      <c r="Z412" s="2">
        <f t="shared" si="36"/>
        <v>0</v>
      </c>
      <c r="AA412" s="2">
        <f t="shared" si="34"/>
        <v>0</v>
      </c>
    </row>
    <row r="413" spans="22:27">
      <c r="V413" s="2">
        <f t="shared" si="37"/>
        <v>19000100</v>
      </c>
      <c r="W413" s="2">
        <f t="shared" si="38"/>
        <v>0</v>
      </c>
      <c r="X413" s="2">
        <f>(SUMIF(F:F,IF(H:H="福禄20两全",F:F,0),险种!R:R)-SUMIFS(R:R,F:F,F:F,M:M,"&lt;=1"))*_xlfn.IFS(G:G=4126,1,OR(G:G&gt;4126,G:G&lt;4126),0)</f>
        <v>0</v>
      </c>
      <c r="Y413" s="2">
        <f t="shared" si="35"/>
        <v>0</v>
      </c>
      <c r="Z413" s="2">
        <f t="shared" si="36"/>
        <v>0</v>
      </c>
      <c r="AA413" s="2">
        <f t="shared" si="34"/>
        <v>0</v>
      </c>
    </row>
    <row r="414" spans="22:27">
      <c r="V414" s="2">
        <f t="shared" si="37"/>
        <v>19000100</v>
      </c>
      <c r="W414" s="2">
        <f t="shared" si="38"/>
        <v>0</v>
      </c>
      <c r="X414" s="2">
        <f>(SUMIF(F:F,IF(H:H="福禄20两全",F:F,0),险种!R:R)-SUMIFS(R:R,F:F,F:F,M:M,"&lt;=1"))*_xlfn.IFS(G:G=4126,1,OR(G:G&gt;4126,G:G&lt;4126),0)</f>
        <v>0</v>
      </c>
      <c r="Y414" s="2">
        <f t="shared" si="35"/>
        <v>0</v>
      </c>
      <c r="Z414" s="2">
        <f t="shared" si="36"/>
        <v>0</v>
      </c>
      <c r="AA414" s="2">
        <f t="shared" si="34"/>
        <v>0</v>
      </c>
    </row>
    <row r="415" spans="22:27">
      <c r="V415" s="2">
        <f t="shared" si="37"/>
        <v>19000100</v>
      </c>
      <c r="W415" s="2">
        <f t="shared" si="38"/>
        <v>0</v>
      </c>
      <c r="X415" s="2">
        <f>(SUMIF(F:F,IF(H:H="福禄20两全",F:F,0),险种!R:R)-SUMIFS(R:R,F:F,F:F,M:M,"&lt;=1"))*_xlfn.IFS(G:G=4126,1,OR(G:G&gt;4126,G:G&lt;4126),0)</f>
        <v>0</v>
      </c>
      <c r="Y415" s="2">
        <f t="shared" si="35"/>
        <v>0</v>
      </c>
      <c r="Z415" s="2">
        <f t="shared" si="36"/>
        <v>0</v>
      </c>
      <c r="AA415" s="2">
        <f t="shared" si="34"/>
        <v>0</v>
      </c>
    </row>
    <row r="416" spans="22:27">
      <c r="V416" s="2">
        <f t="shared" si="37"/>
        <v>19000100</v>
      </c>
      <c r="W416" s="2">
        <f t="shared" si="38"/>
        <v>0</v>
      </c>
      <c r="X416" s="2">
        <f>(SUMIF(F:F,IF(H:H="福禄20两全",F:F,0),险种!R:R)-SUMIFS(R:R,F:F,F:F,M:M,"&lt;=1"))*_xlfn.IFS(G:G=4126,1,OR(G:G&gt;4126,G:G&lt;4126),0)</f>
        <v>0</v>
      </c>
      <c r="Y416" s="2">
        <f t="shared" si="35"/>
        <v>0</v>
      </c>
      <c r="Z416" s="2">
        <f t="shared" si="36"/>
        <v>0</v>
      </c>
      <c r="AA416" s="2">
        <f t="shared" si="34"/>
        <v>0</v>
      </c>
    </row>
    <row r="417" spans="22:27">
      <c r="V417" s="2">
        <f t="shared" si="37"/>
        <v>19000100</v>
      </c>
      <c r="W417" s="2">
        <f t="shared" si="38"/>
        <v>0</v>
      </c>
      <c r="X417" s="2">
        <f>(SUMIF(F:F,IF(H:H="福禄20两全",F:F,0),险种!R:R)-SUMIFS(R:R,F:F,F:F,M:M,"&lt;=1"))*_xlfn.IFS(G:G=4126,1,OR(G:G&gt;4126,G:G&lt;4126),0)</f>
        <v>0</v>
      </c>
      <c r="Y417" s="2">
        <f t="shared" si="35"/>
        <v>0</v>
      </c>
      <c r="Z417" s="2">
        <f t="shared" si="36"/>
        <v>0</v>
      </c>
      <c r="AA417" s="2">
        <f t="shared" si="34"/>
        <v>0</v>
      </c>
    </row>
    <row r="418" spans="22:27">
      <c r="V418" s="2">
        <f t="shared" si="37"/>
        <v>19000100</v>
      </c>
      <c r="W418" s="2">
        <f t="shared" si="38"/>
        <v>0</v>
      </c>
      <c r="X418" s="2">
        <f>(SUMIF(F:F,IF(H:H="福禄20两全",F:F,0),险种!R:R)-SUMIFS(R:R,F:F,F:F,M:M,"&lt;=1"))*_xlfn.IFS(G:G=4126,1,OR(G:G&gt;4126,G:G&lt;4126),0)</f>
        <v>0</v>
      </c>
      <c r="Y418" s="2">
        <f t="shared" si="35"/>
        <v>0</v>
      </c>
      <c r="Z418" s="2">
        <f t="shared" si="36"/>
        <v>0</v>
      </c>
      <c r="AA418" s="2">
        <f t="shared" si="34"/>
        <v>0</v>
      </c>
    </row>
    <row r="419" spans="22:27">
      <c r="V419" s="2">
        <f t="shared" si="37"/>
        <v>19000100</v>
      </c>
      <c r="W419" s="2">
        <f t="shared" si="38"/>
        <v>0</v>
      </c>
      <c r="X419" s="2">
        <f>(SUMIF(F:F,IF(H:H="福禄20两全",F:F,0),险种!R:R)-SUMIFS(R:R,F:F,F:F,M:M,"&lt;=1"))*_xlfn.IFS(G:G=4126,1,OR(G:G&gt;4126,G:G&lt;4126),0)</f>
        <v>0</v>
      </c>
      <c r="Y419" s="2">
        <f t="shared" si="35"/>
        <v>0</v>
      </c>
      <c r="Z419" s="2">
        <f t="shared" si="36"/>
        <v>0</v>
      </c>
      <c r="AA419" s="2">
        <f t="shared" ref="AA419:AA482" si="39">ROUNDDOWN(IF(AND(R:R&gt;=1000,M:M&gt;1),R:R,0)/1000,0)*IF(OR(G:G=4126,G:G=4127),0,1)+ROUNDDOWN(X:X/1000,)</f>
        <v>0</v>
      </c>
    </row>
    <row r="420" spans="22:27">
      <c r="V420" s="2">
        <f t="shared" si="37"/>
        <v>19000100</v>
      </c>
      <c r="W420" s="2">
        <f t="shared" si="38"/>
        <v>0</v>
      </c>
      <c r="X420" s="2">
        <f>(SUMIF(F:F,IF(H:H="福禄20两全",F:F,0),险种!R:R)-SUMIFS(R:R,F:F,F:F,M:M,"&lt;=1"))*_xlfn.IFS(G:G=4126,1,OR(G:G&gt;4126,G:G&lt;4126),0)</f>
        <v>0</v>
      </c>
      <c r="Y420" s="2">
        <f t="shared" si="35"/>
        <v>0</v>
      </c>
      <c r="Z420" s="2">
        <f t="shared" si="36"/>
        <v>0</v>
      </c>
      <c r="AA420" s="2">
        <f t="shared" si="39"/>
        <v>0</v>
      </c>
    </row>
    <row r="421" spans="22:27">
      <c r="V421" s="2">
        <f t="shared" si="37"/>
        <v>19000100</v>
      </c>
      <c r="W421" s="2">
        <f t="shared" si="38"/>
        <v>0</v>
      </c>
      <c r="X421" s="2">
        <f>(SUMIF(F:F,IF(H:H="福禄20两全",F:F,0),险种!R:R)-SUMIFS(R:R,F:F,F:F,M:M,"&lt;=1"))*_xlfn.IFS(G:G=4126,1,OR(G:G&gt;4126,G:G&lt;4126),0)</f>
        <v>0</v>
      </c>
      <c r="Y421" s="2">
        <f t="shared" si="35"/>
        <v>0</v>
      </c>
      <c r="Z421" s="2">
        <f t="shared" si="36"/>
        <v>0</v>
      </c>
      <c r="AA421" s="2">
        <f t="shared" si="39"/>
        <v>0</v>
      </c>
    </row>
    <row r="422" spans="22:27">
      <c r="V422" s="2">
        <f t="shared" si="37"/>
        <v>19000100</v>
      </c>
      <c r="W422" s="2">
        <f t="shared" si="38"/>
        <v>0</v>
      </c>
      <c r="X422" s="2">
        <f>(SUMIF(F:F,IF(H:H="福禄20两全",F:F,0),险种!R:R)-SUMIFS(R:R,F:F,F:F,M:M,"&lt;=1"))*_xlfn.IFS(G:G=4126,1,OR(G:G&gt;4126,G:G&lt;4126),0)</f>
        <v>0</v>
      </c>
      <c r="Y422" s="2">
        <f t="shared" si="35"/>
        <v>0</v>
      </c>
      <c r="Z422" s="2">
        <f t="shared" si="36"/>
        <v>0</v>
      </c>
      <c r="AA422" s="2">
        <f t="shared" si="39"/>
        <v>0</v>
      </c>
    </row>
    <row r="423" spans="22:27">
      <c r="V423" s="2">
        <f t="shared" si="37"/>
        <v>19000100</v>
      </c>
      <c r="W423" s="2">
        <f t="shared" si="38"/>
        <v>0</v>
      </c>
      <c r="X423" s="2">
        <f>(SUMIF(F:F,IF(H:H="福禄20两全",F:F,0),险种!R:R)-SUMIFS(R:R,F:F,F:F,M:M,"&lt;=1"))*_xlfn.IFS(G:G=4126,1,OR(G:G&gt;4126,G:G&lt;4126),0)</f>
        <v>0</v>
      </c>
      <c r="Y423" s="2">
        <f t="shared" si="35"/>
        <v>0</v>
      </c>
      <c r="Z423" s="2">
        <f t="shared" si="36"/>
        <v>0</v>
      </c>
      <c r="AA423" s="2">
        <f t="shared" si="39"/>
        <v>0</v>
      </c>
    </row>
    <row r="424" spans="22:27">
      <c r="V424" s="2">
        <f t="shared" si="37"/>
        <v>19000100</v>
      </c>
      <c r="W424" s="2">
        <f t="shared" si="38"/>
        <v>0</v>
      </c>
      <c r="X424" s="2">
        <f>(SUMIF(F:F,IF(H:H="福禄20两全",F:F,0),险种!R:R)-SUMIFS(R:R,F:F,F:F,M:M,"&lt;=1"))*_xlfn.IFS(G:G=4126,1,OR(G:G&gt;4126,G:G&lt;4126),0)</f>
        <v>0</v>
      </c>
      <c r="Y424" s="2">
        <f t="shared" si="35"/>
        <v>0</v>
      </c>
      <c r="Z424" s="2">
        <f t="shared" si="36"/>
        <v>0</v>
      </c>
      <c r="AA424" s="2">
        <f t="shared" si="39"/>
        <v>0</v>
      </c>
    </row>
    <row r="425" spans="22:27">
      <c r="V425" s="2">
        <f t="shared" si="37"/>
        <v>19000100</v>
      </c>
      <c r="W425" s="2">
        <f t="shared" si="38"/>
        <v>0</v>
      </c>
      <c r="X425" s="2">
        <f>(SUMIF(F:F,IF(H:H="福禄20两全",F:F,0),险种!R:R)-SUMIFS(R:R,F:F,F:F,M:M,"&lt;=1"))*_xlfn.IFS(G:G=4126,1,OR(G:G&gt;4126,G:G&lt;4126),0)</f>
        <v>0</v>
      </c>
      <c r="Y425" s="2">
        <f t="shared" si="35"/>
        <v>0</v>
      </c>
      <c r="Z425" s="2">
        <f t="shared" si="36"/>
        <v>0</v>
      </c>
      <c r="AA425" s="2">
        <f t="shared" si="39"/>
        <v>0</v>
      </c>
    </row>
    <row r="426" spans="22:27">
      <c r="V426" s="2">
        <f t="shared" si="37"/>
        <v>19000100</v>
      </c>
      <c r="W426" s="2">
        <f t="shared" si="38"/>
        <v>0</v>
      </c>
      <c r="X426" s="2">
        <f>(SUMIF(F:F,IF(H:H="福禄20两全",F:F,0),险种!R:R)-SUMIFS(R:R,F:F,F:F,M:M,"&lt;=1"))*_xlfn.IFS(G:G=4126,1,OR(G:G&gt;4126,G:G&lt;4126),0)</f>
        <v>0</v>
      </c>
      <c r="Y426" s="2">
        <f t="shared" si="35"/>
        <v>0</v>
      </c>
      <c r="Z426" s="2">
        <f t="shared" si="36"/>
        <v>0</v>
      </c>
      <c r="AA426" s="2">
        <f t="shared" si="39"/>
        <v>0</v>
      </c>
    </row>
    <row r="427" spans="22:27">
      <c r="V427" s="2">
        <f t="shared" si="37"/>
        <v>19000100</v>
      </c>
      <c r="W427" s="2">
        <f t="shared" si="38"/>
        <v>0</v>
      </c>
      <c r="X427" s="2">
        <f>(SUMIF(F:F,IF(H:H="福禄20两全",F:F,0),险种!R:R)-SUMIFS(R:R,F:F,F:F,M:M,"&lt;=1"))*_xlfn.IFS(G:G=4126,1,OR(G:G&gt;4126,G:G&lt;4126),0)</f>
        <v>0</v>
      </c>
      <c r="Y427" s="2">
        <f t="shared" si="35"/>
        <v>0</v>
      </c>
      <c r="Z427" s="2">
        <f t="shared" si="36"/>
        <v>0</v>
      </c>
      <c r="AA427" s="2">
        <f t="shared" si="39"/>
        <v>0</v>
      </c>
    </row>
    <row r="428" spans="22:27">
      <c r="V428" s="2">
        <f t="shared" si="37"/>
        <v>19000100</v>
      </c>
      <c r="W428" s="2">
        <f t="shared" si="38"/>
        <v>0</v>
      </c>
      <c r="X428" s="2">
        <f>(SUMIF(F:F,IF(H:H="福禄20两全",F:F,0),险种!R:R)-SUMIFS(R:R,F:F,F:F,M:M,"&lt;=1"))*_xlfn.IFS(G:G=4126,1,OR(G:G&gt;4126,G:G&lt;4126),0)</f>
        <v>0</v>
      </c>
      <c r="Y428" s="2">
        <f t="shared" si="35"/>
        <v>0</v>
      </c>
      <c r="Z428" s="2">
        <f t="shared" si="36"/>
        <v>0</v>
      </c>
      <c r="AA428" s="2">
        <f t="shared" si="39"/>
        <v>0</v>
      </c>
    </row>
    <row r="429" spans="22:27">
      <c r="V429" s="2">
        <f t="shared" si="37"/>
        <v>19000100</v>
      </c>
      <c r="W429" s="2">
        <f t="shared" si="38"/>
        <v>0</v>
      </c>
      <c r="X429" s="2">
        <f>(SUMIF(F:F,IF(H:H="福禄20两全",F:F,0),险种!R:R)-SUMIFS(R:R,F:F,F:F,M:M,"&lt;=1"))*_xlfn.IFS(G:G=4126,1,OR(G:G&gt;4126,G:G&lt;4126),0)</f>
        <v>0</v>
      </c>
      <c r="Y429" s="2">
        <f t="shared" si="35"/>
        <v>0</v>
      </c>
      <c r="Z429" s="2">
        <f t="shared" si="36"/>
        <v>0</v>
      </c>
      <c r="AA429" s="2">
        <f t="shared" si="39"/>
        <v>0</v>
      </c>
    </row>
    <row r="430" spans="22:27">
      <c r="V430" s="2">
        <f t="shared" si="37"/>
        <v>19000100</v>
      </c>
      <c r="W430" s="2">
        <f t="shared" si="38"/>
        <v>0</v>
      </c>
      <c r="X430" s="2">
        <f>(SUMIF(F:F,IF(H:H="福禄20两全",F:F,0),险种!R:R)-SUMIFS(R:R,F:F,F:F,M:M,"&lt;=1"))*_xlfn.IFS(G:G=4126,1,OR(G:G&gt;4126,G:G&lt;4126),0)</f>
        <v>0</v>
      </c>
      <c r="Y430" s="2">
        <f t="shared" si="35"/>
        <v>0</v>
      </c>
      <c r="Z430" s="2">
        <f t="shared" si="36"/>
        <v>0</v>
      </c>
      <c r="AA430" s="2">
        <f t="shared" si="39"/>
        <v>0</v>
      </c>
    </row>
    <row r="431" spans="22:27">
      <c r="V431" s="2">
        <f t="shared" si="37"/>
        <v>19000100</v>
      </c>
      <c r="W431" s="2">
        <f t="shared" si="38"/>
        <v>0</v>
      </c>
      <c r="X431" s="2">
        <f>(SUMIF(F:F,IF(H:H="福禄20两全",F:F,0),险种!R:R)-SUMIFS(R:R,F:F,F:F,M:M,"&lt;=1"))*_xlfn.IFS(G:G=4126,1,OR(G:G&gt;4126,G:G&lt;4126),0)</f>
        <v>0</v>
      </c>
      <c r="Y431" s="2">
        <f t="shared" si="35"/>
        <v>0</v>
      </c>
      <c r="Z431" s="2">
        <f t="shared" si="36"/>
        <v>0</v>
      </c>
      <c r="AA431" s="2">
        <f t="shared" si="39"/>
        <v>0</v>
      </c>
    </row>
    <row r="432" spans="22:27">
      <c r="V432" s="2">
        <f t="shared" si="37"/>
        <v>19000100</v>
      </c>
      <c r="W432" s="2">
        <f t="shared" si="38"/>
        <v>0</v>
      </c>
      <c r="X432" s="2">
        <f>(SUMIF(F:F,IF(H:H="福禄20两全",F:F,0),险种!R:R)-SUMIFS(R:R,F:F,F:F,M:M,"&lt;=1"))*_xlfn.IFS(G:G=4126,1,OR(G:G&gt;4126,G:G&lt;4126),0)</f>
        <v>0</v>
      </c>
      <c r="Y432" s="2">
        <f t="shared" si="35"/>
        <v>0</v>
      </c>
      <c r="Z432" s="2">
        <f t="shared" si="36"/>
        <v>0</v>
      </c>
      <c r="AA432" s="2">
        <f t="shared" si="39"/>
        <v>0</v>
      </c>
    </row>
    <row r="433" spans="22:27">
      <c r="V433" s="2">
        <f t="shared" si="37"/>
        <v>19000100</v>
      </c>
      <c r="W433" s="2">
        <f t="shared" si="38"/>
        <v>0</v>
      </c>
      <c r="X433" s="2">
        <f>(SUMIF(F:F,IF(H:H="福禄20两全",F:F,0),险种!R:R)-SUMIFS(R:R,F:F,F:F,M:M,"&lt;=1"))*_xlfn.IFS(G:G=4126,1,OR(G:G&gt;4126,G:G&lt;4126),0)</f>
        <v>0</v>
      </c>
      <c r="Y433" s="2">
        <f t="shared" si="35"/>
        <v>0</v>
      </c>
      <c r="Z433" s="2">
        <f t="shared" si="36"/>
        <v>0</v>
      </c>
      <c r="AA433" s="2">
        <f t="shared" si="39"/>
        <v>0</v>
      </c>
    </row>
    <row r="434" spans="22:27">
      <c r="V434" s="2">
        <f t="shared" si="37"/>
        <v>19000100</v>
      </c>
      <c r="W434" s="2">
        <f t="shared" si="38"/>
        <v>0</v>
      </c>
      <c r="X434" s="2">
        <f>(SUMIF(F:F,IF(H:H="福禄20两全",F:F,0),险种!R:R)-SUMIFS(R:R,F:F,F:F,M:M,"&lt;=1"))*_xlfn.IFS(G:G=4126,1,OR(G:G&gt;4126,G:G&lt;4126),0)</f>
        <v>0</v>
      </c>
      <c r="Y434" s="2">
        <f t="shared" si="35"/>
        <v>0</v>
      </c>
      <c r="Z434" s="2">
        <f t="shared" si="36"/>
        <v>0</v>
      </c>
      <c r="AA434" s="2">
        <f t="shared" si="39"/>
        <v>0</v>
      </c>
    </row>
    <row r="435" spans="22:27">
      <c r="V435" s="2">
        <f t="shared" si="37"/>
        <v>19000100</v>
      </c>
      <c r="W435" s="2">
        <f t="shared" si="38"/>
        <v>0</v>
      </c>
      <c r="X435" s="2">
        <f>(SUMIF(F:F,IF(H:H="福禄20两全",F:F,0),险种!R:R)-SUMIFS(R:R,F:F,F:F,M:M,"&lt;=1"))*_xlfn.IFS(G:G=4126,1,OR(G:G&gt;4126,G:G&lt;4126),0)</f>
        <v>0</v>
      </c>
      <c r="Y435" s="2">
        <f t="shared" si="35"/>
        <v>0</v>
      </c>
      <c r="Z435" s="2">
        <f t="shared" si="36"/>
        <v>0</v>
      </c>
      <c r="AA435" s="2">
        <f t="shared" si="39"/>
        <v>0</v>
      </c>
    </row>
    <row r="436" spans="22:27">
      <c r="V436" s="2">
        <f t="shared" si="37"/>
        <v>19000100</v>
      </c>
      <c r="W436" s="2">
        <f t="shared" si="38"/>
        <v>0</v>
      </c>
      <c r="X436" s="2">
        <f>(SUMIF(F:F,IF(H:H="福禄20两全",F:F,0),险种!R:R)-SUMIFS(R:R,F:F,F:F,M:M,"&lt;=1"))*_xlfn.IFS(G:G=4126,1,OR(G:G&gt;4126,G:G&lt;4126),0)</f>
        <v>0</v>
      </c>
      <c r="Y436" s="2">
        <f t="shared" si="35"/>
        <v>0</v>
      </c>
      <c r="Z436" s="2">
        <f t="shared" si="36"/>
        <v>0</v>
      </c>
      <c r="AA436" s="2">
        <f t="shared" si="39"/>
        <v>0</v>
      </c>
    </row>
    <row r="437" spans="22:27">
      <c r="V437" s="2">
        <f t="shared" si="37"/>
        <v>19000100</v>
      </c>
      <c r="W437" s="2">
        <f t="shared" si="38"/>
        <v>0</v>
      </c>
      <c r="X437" s="2">
        <f>(SUMIF(F:F,IF(H:H="福禄20两全",F:F,0),险种!R:R)-SUMIFS(R:R,F:F,F:F,M:M,"&lt;=1"))*_xlfn.IFS(G:G=4126,1,OR(G:G&gt;4126,G:G&lt;4126),0)</f>
        <v>0</v>
      </c>
      <c r="Y437" s="2">
        <f t="shared" si="35"/>
        <v>0</v>
      </c>
      <c r="Z437" s="2">
        <f t="shared" si="36"/>
        <v>0</v>
      </c>
      <c r="AA437" s="2">
        <f t="shared" si="39"/>
        <v>0</v>
      </c>
    </row>
    <row r="438" spans="22:27">
      <c r="V438" s="2">
        <f t="shared" si="37"/>
        <v>19000100</v>
      </c>
      <c r="W438" s="2">
        <f t="shared" si="38"/>
        <v>0</v>
      </c>
      <c r="X438" s="2">
        <f>(SUMIF(F:F,IF(H:H="福禄20两全",F:F,0),险种!R:R)-SUMIFS(R:R,F:F,F:F,M:M,"&lt;=1"))*_xlfn.IFS(G:G=4126,1,OR(G:G&gt;4126,G:G&lt;4126),0)</f>
        <v>0</v>
      </c>
      <c r="Y438" s="2">
        <f t="shared" si="35"/>
        <v>0</v>
      </c>
      <c r="Z438" s="2">
        <f t="shared" si="36"/>
        <v>0</v>
      </c>
      <c r="AA438" s="2">
        <f t="shared" si="39"/>
        <v>0</v>
      </c>
    </row>
    <row r="439" spans="22:27">
      <c r="V439" s="2">
        <f t="shared" si="37"/>
        <v>19000100</v>
      </c>
      <c r="W439" s="2">
        <f t="shared" si="38"/>
        <v>0</v>
      </c>
      <c r="X439" s="2">
        <f>(SUMIF(F:F,IF(H:H="福禄20两全",F:F,0),险种!R:R)-SUMIFS(R:R,F:F,F:F,M:M,"&lt;=1"))*_xlfn.IFS(G:G=4126,1,OR(G:G&gt;4126,G:G&lt;4126),0)</f>
        <v>0</v>
      </c>
      <c r="Y439" s="2">
        <f t="shared" si="35"/>
        <v>0</v>
      </c>
      <c r="Z439" s="2">
        <f t="shared" si="36"/>
        <v>0</v>
      </c>
      <c r="AA439" s="2">
        <f t="shared" si="39"/>
        <v>0</v>
      </c>
    </row>
    <row r="440" spans="22:27">
      <c r="V440" s="2">
        <f t="shared" si="37"/>
        <v>19000100</v>
      </c>
      <c r="W440" s="2">
        <f t="shared" si="38"/>
        <v>0</v>
      </c>
      <c r="X440" s="2">
        <f>(SUMIF(F:F,IF(H:H="福禄20两全",F:F,0),险种!R:R)-SUMIFS(R:R,F:F,F:F,M:M,"&lt;=1"))*_xlfn.IFS(G:G=4126,1,OR(G:G&gt;4126,G:G&lt;4126),0)</f>
        <v>0</v>
      </c>
      <c r="Y440" s="2">
        <f t="shared" si="35"/>
        <v>0</v>
      </c>
      <c r="Z440" s="2">
        <f t="shared" si="36"/>
        <v>0</v>
      </c>
      <c r="AA440" s="2">
        <f t="shared" si="39"/>
        <v>0</v>
      </c>
    </row>
    <row r="441" spans="22:27">
      <c r="V441" s="2">
        <f t="shared" si="37"/>
        <v>19000100</v>
      </c>
      <c r="W441" s="2">
        <f t="shared" si="38"/>
        <v>0</v>
      </c>
      <c r="X441" s="2">
        <f>(SUMIF(F:F,IF(H:H="福禄20两全",F:F,0),险种!R:R)-SUMIFS(R:R,F:F,F:F,M:M,"&lt;=1"))*_xlfn.IFS(G:G=4126,1,OR(G:G&gt;4126,G:G&lt;4126),0)</f>
        <v>0</v>
      </c>
      <c r="Y441" s="2">
        <f t="shared" si="35"/>
        <v>0</v>
      </c>
      <c r="Z441" s="2">
        <f t="shared" si="36"/>
        <v>0</v>
      </c>
      <c r="AA441" s="2">
        <f t="shared" si="39"/>
        <v>0</v>
      </c>
    </row>
    <row r="442" spans="22:27">
      <c r="V442" s="2">
        <f t="shared" si="37"/>
        <v>19000100</v>
      </c>
      <c r="W442" s="2">
        <f t="shared" si="38"/>
        <v>0</v>
      </c>
      <c r="X442" s="2">
        <f>(SUMIF(F:F,IF(H:H="福禄20两全",F:F,0),险种!R:R)-SUMIFS(R:R,F:F,F:F,M:M,"&lt;=1"))*_xlfn.IFS(G:G=4126,1,OR(G:G&gt;4126,G:G&lt;4126),0)</f>
        <v>0</v>
      </c>
      <c r="Y442" s="2">
        <f t="shared" si="35"/>
        <v>0</v>
      </c>
      <c r="Z442" s="2">
        <f t="shared" si="36"/>
        <v>0</v>
      </c>
      <c r="AA442" s="2">
        <f t="shared" si="39"/>
        <v>0</v>
      </c>
    </row>
    <row r="443" spans="22:27">
      <c r="V443" s="2">
        <f t="shared" si="37"/>
        <v>19000100</v>
      </c>
      <c r="W443" s="2">
        <f t="shared" si="38"/>
        <v>0</v>
      </c>
      <c r="X443" s="2">
        <f>(SUMIF(F:F,IF(H:H="福禄20两全",F:F,0),险种!R:R)-SUMIFS(R:R,F:F,F:F,M:M,"&lt;=1"))*_xlfn.IFS(G:G=4126,1,OR(G:G&gt;4126,G:G&lt;4126),0)</f>
        <v>0</v>
      </c>
      <c r="Y443" s="2">
        <f t="shared" si="35"/>
        <v>0</v>
      </c>
      <c r="Z443" s="2">
        <f t="shared" si="36"/>
        <v>0</v>
      </c>
      <c r="AA443" s="2">
        <f t="shared" si="39"/>
        <v>0</v>
      </c>
    </row>
    <row r="444" spans="22:27">
      <c r="V444" s="2">
        <f t="shared" si="37"/>
        <v>19000100</v>
      </c>
      <c r="W444" s="2">
        <f t="shared" si="38"/>
        <v>0</v>
      </c>
      <c r="X444" s="2">
        <f>(SUMIF(F:F,IF(H:H="福禄20两全",F:F,0),险种!R:R)-SUMIFS(R:R,F:F,F:F,M:M,"&lt;=1"))*_xlfn.IFS(G:G=4126,1,OR(G:G&gt;4126,G:G&lt;4126),0)</f>
        <v>0</v>
      </c>
      <c r="Y444" s="2">
        <f t="shared" si="35"/>
        <v>0</v>
      </c>
      <c r="Z444" s="2">
        <f t="shared" si="36"/>
        <v>0</v>
      </c>
      <c r="AA444" s="2">
        <f t="shared" si="39"/>
        <v>0</v>
      </c>
    </row>
    <row r="445" spans="22:27">
      <c r="V445" s="2">
        <f t="shared" si="37"/>
        <v>19000100</v>
      </c>
      <c r="W445" s="2">
        <f t="shared" si="38"/>
        <v>0</v>
      </c>
      <c r="X445" s="2">
        <f>(SUMIF(F:F,IF(H:H="福禄20两全",F:F,0),险种!R:R)-SUMIFS(R:R,F:F,F:F,M:M,"&lt;=1"))*_xlfn.IFS(G:G=4126,1,OR(G:G&gt;4126,G:G&lt;4126),0)</f>
        <v>0</v>
      </c>
      <c r="Y445" s="2">
        <f t="shared" si="35"/>
        <v>0</v>
      </c>
      <c r="Z445" s="2">
        <f t="shared" si="36"/>
        <v>0</v>
      </c>
      <c r="AA445" s="2">
        <f t="shared" si="39"/>
        <v>0</v>
      </c>
    </row>
    <row r="446" spans="22:27">
      <c r="V446" s="2">
        <f t="shared" si="37"/>
        <v>19000100</v>
      </c>
      <c r="W446" s="2">
        <f t="shared" si="38"/>
        <v>0</v>
      </c>
      <c r="X446" s="2">
        <f>(SUMIF(F:F,IF(H:H="福禄20两全",F:F,0),险种!R:R)-SUMIFS(R:R,F:F,F:F,M:M,"&lt;=1"))*_xlfn.IFS(G:G=4126,1,OR(G:G&gt;4126,G:G&lt;4126),0)</f>
        <v>0</v>
      </c>
      <c r="Y446" s="2">
        <f t="shared" si="35"/>
        <v>0</v>
      </c>
      <c r="Z446" s="2">
        <f t="shared" si="36"/>
        <v>0</v>
      </c>
      <c r="AA446" s="2">
        <f t="shared" si="39"/>
        <v>0</v>
      </c>
    </row>
    <row r="447" spans="22:27">
      <c r="V447" s="2">
        <f t="shared" si="37"/>
        <v>19000100</v>
      </c>
      <c r="W447" s="2">
        <f t="shared" si="38"/>
        <v>0</v>
      </c>
      <c r="X447" s="2">
        <f>(SUMIF(F:F,IF(H:H="福禄20两全",F:F,0),险种!R:R)-SUMIFS(R:R,F:F,F:F,M:M,"&lt;=1"))*_xlfn.IFS(G:G=4126,1,OR(G:G&gt;4126,G:G&lt;4126),0)</f>
        <v>0</v>
      </c>
      <c r="Y447" s="2">
        <f t="shared" si="35"/>
        <v>0</v>
      </c>
      <c r="Z447" s="2">
        <f t="shared" si="36"/>
        <v>0</v>
      </c>
      <c r="AA447" s="2">
        <f t="shared" si="39"/>
        <v>0</v>
      </c>
    </row>
    <row r="448" spans="22:27">
      <c r="V448" s="2">
        <f t="shared" si="37"/>
        <v>19000100</v>
      </c>
      <c r="W448" s="2">
        <f t="shared" si="38"/>
        <v>0</v>
      </c>
      <c r="X448" s="2">
        <f>(SUMIF(F:F,IF(H:H="福禄20两全",F:F,0),险种!R:R)-SUMIFS(R:R,F:F,F:F,M:M,"&lt;=1"))*_xlfn.IFS(G:G=4126,1,OR(G:G&gt;4126,G:G&lt;4126),0)</f>
        <v>0</v>
      </c>
      <c r="Y448" s="2">
        <f t="shared" si="35"/>
        <v>0</v>
      </c>
      <c r="Z448" s="2">
        <f t="shared" si="36"/>
        <v>0</v>
      </c>
      <c r="AA448" s="2">
        <f t="shared" si="39"/>
        <v>0</v>
      </c>
    </row>
    <row r="449" spans="22:27">
      <c r="V449" s="2">
        <f t="shared" si="37"/>
        <v>19000100</v>
      </c>
      <c r="W449" s="2">
        <f t="shared" si="38"/>
        <v>0</v>
      </c>
      <c r="X449" s="2">
        <f>(SUMIF(F:F,IF(H:H="福禄20两全",F:F,0),险种!R:R)-SUMIFS(R:R,F:F,F:F,M:M,"&lt;=1"))*_xlfn.IFS(G:G=4126,1,OR(G:G&gt;4126,G:G&lt;4126),0)</f>
        <v>0</v>
      </c>
      <c r="Y449" s="2">
        <f t="shared" si="35"/>
        <v>0</v>
      </c>
      <c r="Z449" s="2">
        <f t="shared" si="36"/>
        <v>0</v>
      </c>
      <c r="AA449" s="2">
        <f t="shared" si="39"/>
        <v>0</v>
      </c>
    </row>
    <row r="450" spans="22:27">
      <c r="V450" s="2">
        <f t="shared" si="37"/>
        <v>19000100</v>
      </c>
      <c r="W450" s="2">
        <f t="shared" si="38"/>
        <v>0</v>
      </c>
      <c r="X450" s="2">
        <f>(SUMIF(F:F,IF(H:H="福禄20两全",F:F,0),险种!R:R)-SUMIFS(R:R,F:F,F:F,M:M,"&lt;=1"))*_xlfn.IFS(G:G=4126,1,OR(G:G&gt;4126,G:G&lt;4126),0)</f>
        <v>0</v>
      </c>
      <c r="Y450" s="2">
        <f t="shared" si="35"/>
        <v>0</v>
      </c>
      <c r="Z450" s="2">
        <f t="shared" si="36"/>
        <v>0</v>
      </c>
      <c r="AA450" s="2">
        <f t="shared" si="39"/>
        <v>0</v>
      </c>
    </row>
    <row r="451" spans="22:27">
      <c r="V451" s="2">
        <f t="shared" si="37"/>
        <v>19000100</v>
      </c>
      <c r="W451" s="2">
        <f t="shared" si="38"/>
        <v>0</v>
      </c>
      <c r="X451" s="2">
        <f>(SUMIF(F:F,IF(H:H="福禄20两全",F:F,0),险种!R:R)-SUMIFS(R:R,F:F,F:F,M:M,"&lt;=1"))*_xlfn.IFS(G:G=4126,1,OR(G:G&gt;4126,G:G&lt;4126),0)</f>
        <v>0</v>
      </c>
      <c r="Y451" s="2">
        <f t="shared" ref="Y451:Y502" si="40">IF(AND(W:W=1,V:V&lt;=20210510),1,0)</f>
        <v>0</v>
      </c>
      <c r="Z451" s="2">
        <f t="shared" ref="Z451:Z502" si="41">IF(AND(W:W=1,V:V&lt;=20210520,V:V&gt;20210510),1,0)</f>
        <v>0</v>
      </c>
      <c r="AA451" s="2">
        <f t="shared" si="39"/>
        <v>0</v>
      </c>
    </row>
    <row r="452" spans="22:27">
      <c r="V452" s="2">
        <f t="shared" si="37"/>
        <v>19000100</v>
      </c>
      <c r="W452" s="2">
        <f t="shared" si="38"/>
        <v>0</v>
      </c>
      <c r="X452" s="2">
        <f>(SUMIF(F:F,IF(H:H="福禄20两全",F:F,0),险种!R:R)-SUMIFS(R:R,F:F,F:F,M:M,"&lt;=1"))*_xlfn.IFS(G:G=4126,1,OR(G:G&gt;4126,G:G&lt;4126),0)</f>
        <v>0</v>
      </c>
      <c r="Y452" s="2">
        <f t="shared" si="40"/>
        <v>0</v>
      </c>
      <c r="Z452" s="2">
        <f t="shared" si="41"/>
        <v>0</v>
      </c>
      <c r="AA452" s="2">
        <f t="shared" si="39"/>
        <v>0</v>
      </c>
    </row>
    <row r="453" spans="22:27">
      <c r="V453" s="2">
        <f t="shared" si="37"/>
        <v>19000100</v>
      </c>
      <c r="W453" s="2">
        <f t="shared" si="38"/>
        <v>0</v>
      </c>
      <c r="X453" s="2">
        <f>(SUMIF(F:F,IF(H:H="福禄20两全",F:F,0),险种!R:R)-SUMIFS(R:R,F:F,F:F,M:M,"&lt;=1"))*_xlfn.IFS(G:G=4126,1,OR(G:G&gt;4126,G:G&lt;4126),0)</f>
        <v>0</v>
      </c>
      <c r="Y453" s="2">
        <f t="shared" si="40"/>
        <v>0</v>
      </c>
      <c r="Z453" s="2">
        <f t="shared" si="41"/>
        <v>0</v>
      </c>
      <c r="AA453" s="2">
        <f t="shared" si="39"/>
        <v>0</v>
      </c>
    </row>
    <row r="454" spans="22:27">
      <c r="V454" s="2">
        <f t="shared" si="37"/>
        <v>19000100</v>
      </c>
      <c r="W454" s="2">
        <f t="shared" si="38"/>
        <v>0</v>
      </c>
      <c r="X454" s="2">
        <f>(SUMIF(F:F,IF(H:H="福禄20两全",F:F,0),险种!R:R)-SUMIFS(R:R,F:F,F:F,M:M,"&lt;=1"))*_xlfn.IFS(G:G=4126,1,OR(G:G&gt;4126,G:G&lt;4126),0)</f>
        <v>0</v>
      </c>
      <c r="Y454" s="2">
        <f t="shared" si="40"/>
        <v>0</v>
      </c>
      <c r="Z454" s="2">
        <f t="shared" si="41"/>
        <v>0</v>
      </c>
      <c r="AA454" s="2">
        <f t="shared" si="39"/>
        <v>0</v>
      </c>
    </row>
    <row r="455" spans="22:27">
      <c r="V455" s="2">
        <f t="shared" si="37"/>
        <v>19000100</v>
      </c>
      <c r="W455" s="2">
        <f t="shared" si="38"/>
        <v>0</v>
      </c>
      <c r="X455" s="2">
        <f>(SUMIF(F:F,IF(H:H="福禄20两全",F:F,0),险种!R:R)-SUMIFS(R:R,F:F,F:F,M:M,"&lt;=1"))*_xlfn.IFS(G:G=4126,1,OR(G:G&gt;4126,G:G&lt;4126),0)</f>
        <v>0</v>
      </c>
      <c r="Y455" s="2">
        <f t="shared" si="40"/>
        <v>0</v>
      </c>
      <c r="Z455" s="2">
        <f t="shared" si="41"/>
        <v>0</v>
      </c>
      <c r="AA455" s="2">
        <f t="shared" si="39"/>
        <v>0</v>
      </c>
    </row>
    <row r="456" spans="22:27">
      <c r="V456" s="2">
        <f t="shared" si="37"/>
        <v>19000100</v>
      </c>
      <c r="W456" s="2">
        <f t="shared" si="38"/>
        <v>0</v>
      </c>
      <c r="X456" s="2">
        <f>(SUMIF(F:F,IF(H:H="福禄20两全",F:F,0),险种!R:R)-SUMIFS(R:R,F:F,F:F,M:M,"&lt;=1"))*_xlfn.IFS(G:G=4126,1,OR(G:G&gt;4126,G:G&lt;4126),0)</f>
        <v>0</v>
      </c>
      <c r="Y456" s="2">
        <f t="shared" si="40"/>
        <v>0</v>
      </c>
      <c r="Z456" s="2">
        <f t="shared" si="41"/>
        <v>0</v>
      </c>
      <c r="AA456" s="2">
        <f t="shared" si="39"/>
        <v>0</v>
      </c>
    </row>
    <row r="457" spans="22:27">
      <c r="V457" s="2">
        <f t="shared" si="37"/>
        <v>19000100</v>
      </c>
      <c r="W457" s="2">
        <f t="shared" si="38"/>
        <v>0</v>
      </c>
      <c r="X457" s="2">
        <f>(SUMIF(F:F,IF(H:H="福禄20两全",F:F,0),险种!R:R)-SUMIFS(R:R,F:F,F:F,M:M,"&lt;=1"))*_xlfn.IFS(G:G=4126,1,OR(G:G&gt;4126,G:G&lt;4126),0)</f>
        <v>0</v>
      </c>
      <c r="Y457" s="2">
        <f t="shared" si="40"/>
        <v>0</v>
      </c>
      <c r="Z457" s="2">
        <f t="shared" si="41"/>
        <v>0</v>
      </c>
      <c r="AA457" s="2">
        <f t="shared" si="39"/>
        <v>0</v>
      </c>
    </row>
    <row r="458" spans="22:27">
      <c r="V458" s="2">
        <f t="shared" si="37"/>
        <v>19000100</v>
      </c>
      <c r="W458" s="2">
        <f t="shared" si="38"/>
        <v>0</v>
      </c>
      <c r="X458" s="2">
        <f>(SUMIF(F:F,IF(H:H="福禄20两全",F:F,0),险种!R:R)-SUMIFS(R:R,F:F,F:F,M:M,"&lt;=1"))*_xlfn.IFS(G:G=4126,1,OR(G:G&gt;4126,G:G&lt;4126),0)</f>
        <v>0</v>
      </c>
      <c r="Y458" s="2">
        <f t="shared" si="40"/>
        <v>0</v>
      </c>
      <c r="Z458" s="2">
        <f t="shared" si="41"/>
        <v>0</v>
      </c>
      <c r="AA458" s="2">
        <f t="shared" si="39"/>
        <v>0</v>
      </c>
    </row>
    <row r="459" spans="22:27">
      <c r="V459" s="2">
        <f t="shared" si="37"/>
        <v>19000100</v>
      </c>
      <c r="W459" s="2">
        <f t="shared" si="38"/>
        <v>0</v>
      </c>
      <c r="X459" s="2">
        <f>(SUMIF(F:F,IF(H:H="福禄20两全",F:F,0),险种!R:R)-SUMIFS(R:R,F:F,F:F,M:M,"&lt;=1"))*_xlfn.IFS(G:G=4126,1,OR(G:G&gt;4126,G:G&lt;4126),0)</f>
        <v>0</v>
      </c>
      <c r="Y459" s="2">
        <f t="shared" si="40"/>
        <v>0</v>
      </c>
      <c r="Z459" s="2">
        <f t="shared" si="41"/>
        <v>0</v>
      </c>
      <c r="AA459" s="2">
        <f t="shared" si="39"/>
        <v>0</v>
      </c>
    </row>
    <row r="460" spans="22:27">
      <c r="V460" s="2">
        <f t="shared" si="37"/>
        <v>19000100</v>
      </c>
      <c r="W460" s="2">
        <f t="shared" si="38"/>
        <v>0</v>
      </c>
      <c r="X460" s="2">
        <f>(SUMIF(F:F,IF(H:H="福禄20两全",F:F,0),险种!R:R)-SUMIFS(R:R,F:F,F:F,M:M,"&lt;=1"))*_xlfn.IFS(G:G=4126,1,OR(G:G&gt;4126,G:G&lt;4126),0)</f>
        <v>0</v>
      </c>
      <c r="Y460" s="2">
        <f t="shared" si="40"/>
        <v>0</v>
      </c>
      <c r="Z460" s="2">
        <f t="shared" si="41"/>
        <v>0</v>
      </c>
      <c r="AA460" s="2">
        <f t="shared" si="39"/>
        <v>0</v>
      </c>
    </row>
    <row r="461" spans="22:27">
      <c r="V461" s="2">
        <f t="shared" si="37"/>
        <v>19000100</v>
      </c>
      <c r="W461" s="2">
        <f t="shared" si="38"/>
        <v>0</v>
      </c>
      <c r="X461" s="2">
        <f>(SUMIF(F:F,IF(H:H="福禄20两全",F:F,0),险种!R:R)-SUMIFS(R:R,F:F,F:F,M:M,"&lt;=1"))*_xlfn.IFS(G:G=4126,1,OR(G:G&gt;4126,G:G&lt;4126),0)</f>
        <v>0</v>
      </c>
      <c r="Y461" s="2">
        <f t="shared" si="40"/>
        <v>0</v>
      </c>
      <c r="Z461" s="2">
        <f t="shared" si="41"/>
        <v>0</v>
      </c>
      <c r="AA461" s="2">
        <f t="shared" si="39"/>
        <v>0</v>
      </c>
    </row>
    <row r="462" spans="22:27">
      <c r="V462" s="2">
        <f t="shared" si="37"/>
        <v>19000100</v>
      </c>
      <c r="W462" s="2">
        <f t="shared" si="38"/>
        <v>0</v>
      </c>
      <c r="X462" s="2">
        <f>(SUMIF(F:F,IF(H:H="福禄20两全",F:F,0),险种!R:R)-SUMIFS(R:R,F:F,F:F,M:M,"&lt;=1"))*_xlfn.IFS(G:G=4126,1,OR(G:G&gt;4126,G:G&lt;4126),0)</f>
        <v>0</v>
      </c>
      <c r="Y462" s="2">
        <f t="shared" si="40"/>
        <v>0</v>
      </c>
      <c r="Z462" s="2">
        <f t="shared" si="41"/>
        <v>0</v>
      </c>
      <c r="AA462" s="2">
        <f t="shared" si="39"/>
        <v>0</v>
      </c>
    </row>
    <row r="463" spans="22:27">
      <c r="V463" s="2">
        <f t="shared" si="37"/>
        <v>19000100</v>
      </c>
      <c r="W463" s="2">
        <f t="shared" si="38"/>
        <v>0</v>
      </c>
      <c r="X463" s="2">
        <f>(SUMIF(F:F,IF(H:H="福禄20两全",F:F,0),险种!R:R)-SUMIFS(R:R,F:F,F:F,M:M,"&lt;=1"))*_xlfn.IFS(G:G=4126,1,OR(G:G&gt;4126,G:G&lt;4126),0)</f>
        <v>0</v>
      </c>
      <c r="Y463" s="2">
        <f t="shared" si="40"/>
        <v>0</v>
      </c>
      <c r="Z463" s="2">
        <f t="shared" si="41"/>
        <v>0</v>
      </c>
      <c r="AA463" s="2">
        <f t="shared" si="39"/>
        <v>0</v>
      </c>
    </row>
    <row r="464" spans="22:27">
      <c r="V464" s="2">
        <f t="shared" ref="V464:V502" si="42">TEXT(J:J,"yyyymmdd")*1</f>
        <v>19000100</v>
      </c>
      <c r="W464" s="2">
        <f t="shared" ref="W464:W502" si="43">IF(AND(M:M&gt;1,R:R&gt;3000),1,0)-IF(AND(M:M&gt;1,R:R&gt;3000,G:G=4126),1,0)-IF(AND(M:M&gt;1,R:R&gt;3000,G:G=4127),1,0)+IF(X:X&gt;=3000,1,0)</f>
        <v>0</v>
      </c>
      <c r="X464" s="2">
        <f>(SUMIF(F:F,IF(H:H="福禄20两全",F:F,0),险种!R:R)-SUMIFS(R:R,F:F,F:F,M:M,"&lt;=1"))*_xlfn.IFS(G:G=4126,1,OR(G:G&gt;4126,G:G&lt;4126),0)</f>
        <v>0</v>
      </c>
      <c r="Y464" s="2">
        <f t="shared" si="40"/>
        <v>0</v>
      </c>
      <c r="Z464" s="2">
        <f t="shared" si="41"/>
        <v>0</v>
      </c>
      <c r="AA464" s="2">
        <f t="shared" si="39"/>
        <v>0</v>
      </c>
    </row>
    <row r="465" spans="22:27">
      <c r="V465" s="2">
        <f t="shared" si="42"/>
        <v>19000100</v>
      </c>
      <c r="W465" s="2">
        <f t="shared" si="43"/>
        <v>0</v>
      </c>
      <c r="X465" s="2">
        <f>(SUMIF(F:F,IF(H:H="福禄20两全",F:F,0),险种!R:R)-SUMIFS(R:R,F:F,F:F,M:M,"&lt;=1"))*_xlfn.IFS(G:G=4126,1,OR(G:G&gt;4126,G:G&lt;4126),0)</f>
        <v>0</v>
      </c>
      <c r="Y465" s="2">
        <f t="shared" si="40"/>
        <v>0</v>
      </c>
      <c r="Z465" s="2">
        <f t="shared" si="41"/>
        <v>0</v>
      </c>
      <c r="AA465" s="2">
        <f t="shared" si="39"/>
        <v>0</v>
      </c>
    </row>
    <row r="466" spans="22:27">
      <c r="V466" s="2">
        <f t="shared" si="42"/>
        <v>19000100</v>
      </c>
      <c r="W466" s="2">
        <f t="shared" si="43"/>
        <v>0</v>
      </c>
      <c r="X466" s="2">
        <f>(SUMIF(F:F,IF(H:H="福禄20两全",F:F,0),险种!R:R)-SUMIFS(R:R,F:F,F:F,M:M,"&lt;=1"))*_xlfn.IFS(G:G=4126,1,OR(G:G&gt;4126,G:G&lt;4126),0)</f>
        <v>0</v>
      </c>
      <c r="Y466" s="2">
        <f t="shared" si="40"/>
        <v>0</v>
      </c>
      <c r="Z466" s="2">
        <f t="shared" si="41"/>
        <v>0</v>
      </c>
      <c r="AA466" s="2">
        <f t="shared" si="39"/>
        <v>0</v>
      </c>
    </row>
    <row r="467" spans="22:27">
      <c r="V467" s="2">
        <f t="shared" si="42"/>
        <v>19000100</v>
      </c>
      <c r="W467" s="2">
        <f t="shared" si="43"/>
        <v>0</v>
      </c>
      <c r="X467" s="2">
        <f>(SUMIF(F:F,IF(H:H="福禄20两全",F:F,0),险种!R:R)-SUMIFS(R:R,F:F,F:F,M:M,"&lt;=1"))*_xlfn.IFS(G:G=4126,1,OR(G:G&gt;4126,G:G&lt;4126),0)</f>
        <v>0</v>
      </c>
      <c r="Y467" s="2">
        <f t="shared" si="40"/>
        <v>0</v>
      </c>
      <c r="Z467" s="2">
        <f t="shared" si="41"/>
        <v>0</v>
      </c>
      <c r="AA467" s="2">
        <f t="shared" si="39"/>
        <v>0</v>
      </c>
    </row>
    <row r="468" spans="22:27">
      <c r="V468" s="2">
        <f t="shared" si="42"/>
        <v>19000100</v>
      </c>
      <c r="W468" s="2">
        <f t="shared" si="43"/>
        <v>0</v>
      </c>
      <c r="X468" s="2">
        <f>(SUMIF(F:F,IF(H:H="福禄20两全",F:F,0),险种!R:R)-SUMIFS(R:R,F:F,F:F,M:M,"&lt;=1"))*_xlfn.IFS(G:G=4126,1,OR(G:G&gt;4126,G:G&lt;4126),0)</f>
        <v>0</v>
      </c>
      <c r="Y468" s="2">
        <f t="shared" si="40"/>
        <v>0</v>
      </c>
      <c r="Z468" s="2">
        <f t="shared" si="41"/>
        <v>0</v>
      </c>
      <c r="AA468" s="2">
        <f t="shared" si="39"/>
        <v>0</v>
      </c>
    </row>
    <row r="469" spans="22:27">
      <c r="V469" s="2">
        <f t="shared" si="42"/>
        <v>19000100</v>
      </c>
      <c r="W469" s="2">
        <f t="shared" si="43"/>
        <v>0</v>
      </c>
      <c r="X469" s="2">
        <f>(SUMIF(F:F,IF(H:H="福禄20两全",F:F,0),险种!R:R)-SUMIFS(R:R,F:F,F:F,M:M,"&lt;=1"))*_xlfn.IFS(G:G=4126,1,OR(G:G&gt;4126,G:G&lt;4126),0)</f>
        <v>0</v>
      </c>
      <c r="Y469" s="2">
        <f t="shared" si="40"/>
        <v>0</v>
      </c>
      <c r="Z469" s="2">
        <f t="shared" si="41"/>
        <v>0</v>
      </c>
      <c r="AA469" s="2">
        <f t="shared" si="39"/>
        <v>0</v>
      </c>
    </row>
    <row r="470" spans="22:27">
      <c r="V470" s="2">
        <f t="shared" si="42"/>
        <v>19000100</v>
      </c>
      <c r="W470" s="2">
        <f t="shared" si="43"/>
        <v>0</v>
      </c>
      <c r="X470" s="2">
        <f>(SUMIF(F:F,IF(H:H="福禄20两全",F:F,0),险种!R:R)-SUMIFS(R:R,F:F,F:F,M:M,"&lt;=1"))*_xlfn.IFS(G:G=4126,1,OR(G:G&gt;4126,G:G&lt;4126),0)</f>
        <v>0</v>
      </c>
      <c r="Y470" s="2">
        <f t="shared" si="40"/>
        <v>0</v>
      </c>
      <c r="Z470" s="2">
        <f t="shared" si="41"/>
        <v>0</v>
      </c>
      <c r="AA470" s="2">
        <f t="shared" si="39"/>
        <v>0</v>
      </c>
    </row>
    <row r="471" spans="22:27">
      <c r="V471" s="2">
        <f t="shared" si="42"/>
        <v>19000100</v>
      </c>
      <c r="W471" s="2">
        <f t="shared" si="43"/>
        <v>0</v>
      </c>
      <c r="X471" s="2">
        <f>(SUMIF(F:F,IF(H:H="福禄20两全",F:F,0),险种!R:R)-SUMIFS(R:R,F:F,F:F,M:M,"&lt;=1"))*_xlfn.IFS(G:G=4126,1,OR(G:G&gt;4126,G:G&lt;4126),0)</f>
        <v>0</v>
      </c>
      <c r="Y471" s="2">
        <f t="shared" si="40"/>
        <v>0</v>
      </c>
      <c r="Z471" s="2">
        <f t="shared" si="41"/>
        <v>0</v>
      </c>
      <c r="AA471" s="2">
        <f t="shared" si="39"/>
        <v>0</v>
      </c>
    </row>
    <row r="472" spans="22:27">
      <c r="V472" s="2">
        <f t="shared" si="42"/>
        <v>19000100</v>
      </c>
      <c r="W472" s="2">
        <f t="shared" si="43"/>
        <v>0</v>
      </c>
      <c r="X472" s="2">
        <f>(SUMIF(F:F,IF(H:H="福禄20两全",F:F,0),险种!R:R)-SUMIFS(R:R,F:F,F:F,M:M,"&lt;=1"))*_xlfn.IFS(G:G=4126,1,OR(G:G&gt;4126,G:G&lt;4126),0)</f>
        <v>0</v>
      </c>
      <c r="Y472" s="2">
        <f t="shared" si="40"/>
        <v>0</v>
      </c>
      <c r="Z472" s="2">
        <f t="shared" si="41"/>
        <v>0</v>
      </c>
      <c r="AA472" s="2">
        <f t="shared" si="39"/>
        <v>0</v>
      </c>
    </row>
    <row r="473" spans="22:27">
      <c r="V473" s="2">
        <f t="shared" si="42"/>
        <v>19000100</v>
      </c>
      <c r="W473" s="2">
        <f t="shared" si="43"/>
        <v>0</v>
      </c>
      <c r="X473" s="2">
        <f>(SUMIF(F:F,IF(H:H="福禄20两全",F:F,0),险种!R:R)-SUMIFS(R:R,F:F,F:F,M:M,"&lt;=1"))*_xlfn.IFS(G:G=4126,1,OR(G:G&gt;4126,G:G&lt;4126),0)</f>
        <v>0</v>
      </c>
      <c r="Y473" s="2">
        <f t="shared" si="40"/>
        <v>0</v>
      </c>
      <c r="Z473" s="2">
        <f t="shared" si="41"/>
        <v>0</v>
      </c>
      <c r="AA473" s="2">
        <f t="shared" si="39"/>
        <v>0</v>
      </c>
    </row>
    <row r="474" spans="22:27">
      <c r="V474" s="2">
        <f t="shared" si="42"/>
        <v>19000100</v>
      </c>
      <c r="W474" s="2">
        <f t="shared" si="43"/>
        <v>0</v>
      </c>
      <c r="X474" s="2">
        <f>(SUMIF(F:F,IF(H:H="福禄20两全",F:F,0),险种!R:R)-SUMIFS(R:R,F:F,F:F,M:M,"&lt;=1"))*_xlfn.IFS(G:G=4126,1,OR(G:G&gt;4126,G:G&lt;4126),0)</f>
        <v>0</v>
      </c>
      <c r="Y474" s="2">
        <f t="shared" si="40"/>
        <v>0</v>
      </c>
      <c r="Z474" s="2">
        <f t="shared" si="41"/>
        <v>0</v>
      </c>
      <c r="AA474" s="2">
        <f t="shared" si="39"/>
        <v>0</v>
      </c>
    </row>
    <row r="475" spans="22:27">
      <c r="V475" s="2">
        <f t="shared" si="42"/>
        <v>19000100</v>
      </c>
      <c r="W475" s="2">
        <f t="shared" si="43"/>
        <v>0</v>
      </c>
      <c r="X475" s="2">
        <f>(SUMIF(F:F,IF(H:H="福禄20两全",F:F,0),险种!R:R)-SUMIFS(R:R,F:F,F:F,M:M,"&lt;=1"))*_xlfn.IFS(G:G=4126,1,OR(G:G&gt;4126,G:G&lt;4126),0)</f>
        <v>0</v>
      </c>
      <c r="Y475" s="2">
        <f t="shared" si="40"/>
        <v>0</v>
      </c>
      <c r="Z475" s="2">
        <f t="shared" si="41"/>
        <v>0</v>
      </c>
      <c r="AA475" s="2">
        <f t="shared" si="39"/>
        <v>0</v>
      </c>
    </row>
    <row r="476" spans="22:27">
      <c r="V476" s="2">
        <f t="shared" si="42"/>
        <v>19000100</v>
      </c>
      <c r="W476" s="2">
        <f t="shared" si="43"/>
        <v>0</v>
      </c>
      <c r="X476" s="2">
        <f>(SUMIF(F:F,IF(H:H="福禄20两全",F:F,0),险种!R:R)-SUMIFS(R:R,F:F,F:F,M:M,"&lt;=1"))*_xlfn.IFS(G:G=4126,1,OR(G:G&gt;4126,G:G&lt;4126),0)</f>
        <v>0</v>
      </c>
      <c r="Y476" s="2">
        <f t="shared" si="40"/>
        <v>0</v>
      </c>
      <c r="Z476" s="2">
        <f t="shared" si="41"/>
        <v>0</v>
      </c>
      <c r="AA476" s="2">
        <f t="shared" si="39"/>
        <v>0</v>
      </c>
    </row>
    <row r="477" spans="22:27">
      <c r="V477" s="2">
        <f t="shared" si="42"/>
        <v>19000100</v>
      </c>
      <c r="W477" s="2">
        <f t="shared" si="43"/>
        <v>0</v>
      </c>
      <c r="X477" s="2">
        <f>(SUMIF(F:F,IF(H:H="福禄20两全",F:F,0),险种!R:R)-SUMIFS(R:R,F:F,F:F,M:M,"&lt;=1"))*_xlfn.IFS(G:G=4126,1,OR(G:G&gt;4126,G:G&lt;4126),0)</f>
        <v>0</v>
      </c>
      <c r="Y477" s="2">
        <f t="shared" si="40"/>
        <v>0</v>
      </c>
      <c r="Z477" s="2">
        <f t="shared" si="41"/>
        <v>0</v>
      </c>
      <c r="AA477" s="2">
        <f t="shared" si="39"/>
        <v>0</v>
      </c>
    </row>
    <row r="478" spans="22:27">
      <c r="V478" s="2">
        <f t="shared" si="42"/>
        <v>19000100</v>
      </c>
      <c r="W478" s="2">
        <f t="shared" si="43"/>
        <v>0</v>
      </c>
      <c r="X478" s="2">
        <f>(SUMIF(F:F,IF(H:H="福禄20两全",F:F,0),险种!R:R)-SUMIFS(R:R,F:F,F:F,M:M,"&lt;=1"))*_xlfn.IFS(G:G=4126,1,OR(G:G&gt;4126,G:G&lt;4126),0)</f>
        <v>0</v>
      </c>
      <c r="Y478" s="2">
        <f t="shared" si="40"/>
        <v>0</v>
      </c>
      <c r="Z478" s="2">
        <f t="shared" si="41"/>
        <v>0</v>
      </c>
      <c r="AA478" s="2">
        <f t="shared" si="39"/>
        <v>0</v>
      </c>
    </row>
    <row r="479" spans="22:27">
      <c r="V479" s="2">
        <f t="shared" si="42"/>
        <v>19000100</v>
      </c>
      <c r="W479" s="2">
        <f t="shared" si="43"/>
        <v>0</v>
      </c>
      <c r="X479" s="2">
        <f>(SUMIF(F:F,IF(H:H="福禄20两全",F:F,0),险种!R:R)-SUMIFS(R:R,F:F,F:F,M:M,"&lt;=1"))*_xlfn.IFS(G:G=4126,1,OR(G:G&gt;4126,G:G&lt;4126),0)</f>
        <v>0</v>
      </c>
      <c r="Y479" s="2">
        <f t="shared" si="40"/>
        <v>0</v>
      </c>
      <c r="Z479" s="2">
        <f t="shared" si="41"/>
        <v>0</v>
      </c>
      <c r="AA479" s="2">
        <f t="shared" si="39"/>
        <v>0</v>
      </c>
    </row>
    <row r="480" spans="22:27">
      <c r="V480" s="2">
        <f t="shared" si="42"/>
        <v>19000100</v>
      </c>
      <c r="W480" s="2">
        <f t="shared" si="43"/>
        <v>0</v>
      </c>
      <c r="X480" s="2">
        <f>(SUMIF(F:F,IF(H:H="福禄20两全",F:F,0),险种!R:R)-SUMIFS(R:R,F:F,F:F,M:M,"&lt;=1"))*_xlfn.IFS(G:G=4126,1,OR(G:G&gt;4126,G:G&lt;4126),0)</f>
        <v>0</v>
      </c>
      <c r="Y480" s="2">
        <f t="shared" si="40"/>
        <v>0</v>
      </c>
      <c r="Z480" s="2">
        <f t="shared" si="41"/>
        <v>0</v>
      </c>
      <c r="AA480" s="2">
        <f t="shared" si="39"/>
        <v>0</v>
      </c>
    </row>
    <row r="481" spans="22:27">
      <c r="V481" s="2">
        <f t="shared" si="42"/>
        <v>19000100</v>
      </c>
      <c r="W481" s="2">
        <f t="shared" si="43"/>
        <v>0</v>
      </c>
      <c r="X481" s="2">
        <f>(SUMIF(F:F,IF(H:H="福禄20两全",F:F,0),险种!R:R)-SUMIFS(R:R,F:F,F:F,M:M,"&lt;=1"))*_xlfn.IFS(G:G=4126,1,OR(G:G&gt;4126,G:G&lt;4126),0)</f>
        <v>0</v>
      </c>
      <c r="Y481" s="2">
        <f t="shared" si="40"/>
        <v>0</v>
      </c>
      <c r="Z481" s="2">
        <f t="shared" si="41"/>
        <v>0</v>
      </c>
      <c r="AA481" s="2">
        <f t="shared" si="39"/>
        <v>0</v>
      </c>
    </row>
    <row r="482" spans="22:27">
      <c r="V482" s="2">
        <f t="shared" si="42"/>
        <v>19000100</v>
      </c>
      <c r="W482" s="2">
        <f t="shared" si="43"/>
        <v>0</v>
      </c>
      <c r="X482" s="2">
        <f>(SUMIF(F:F,IF(H:H="福禄20两全",F:F,0),险种!R:R)-SUMIFS(R:R,F:F,F:F,M:M,"&lt;=1"))*_xlfn.IFS(G:G=4126,1,OR(G:G&gt;4126,G:G&lt;4126),0)</f>
        <v>0</v>
      </c>
      <c r="Y482" s="2">
        <f t="shared" si="40"/>
        <v>0</v>
      </c>
      <c r="Z482" s="2">
        <f t="shared" si="41"/>
        <v>0</v>
      </c>
      <c r="AA482" s="2">
        <f t="shared" si="39"/>
        <v>0</v>
      </c>
    </row>
    <row r="483" spans="22:27">
      <c r="V483" s="2">
        <f t="shared" si="42"/>
        <v>19000100</v>
      </c>
      <c r="W483" s="2">
        <f t="shared" si="43"/>
        <v>0</v>
      </c>
      <c r="X483" s="2">
        <f>(SUMIF(F:F,IF(H:H="福禄20两全",F:F,0),险种!R:R)-SUMIFS(R:R,F:F,F:F,M:M,"&lt;=1"))*_xlfn.IFS(G:G=4126,1,OR(G:G&gt;4126,G:G&lt;4126),0)</f>
        <v>0</v>
      </c>
      <c r="Y483" s="2">
        <f t="shared" si="40"/>
        <v>0</v>
      </c>
      <c r="Z483" s="2">
        <f t="shared" si="41"/>
        <v>0</v>
      </c>
      <c r="AA483" s="2">
        <f>ROUNDDOWN(IF(AND(R:R&gt;=1000,M:M&gt;1),R:R,0)/1000,0)*IF(OR(G:G=4126,G:G=4127),0,1)+ROUNDDOWN(X:X/1000,)</f>
        <v>0</v>
      </c>
    </row>
    <row r="484" spans="22:27">
      <c r="V484" s="2">
        <f t="shared" si="42"/>
        <v>19000100</v>
      </c>
      <c r="W484" s="2">
        <f t="shared" si="43"/>
        <v>0</v>
      </c>
      <c r="X484" s="2">
        <f>(SUMIF(F:F,IF(H:H="福禄20两全",F:F,0),险种!R:R)-SUMIFS(R:R,F:F,F:F,M:M,"&lt;=1"))*_xlfn.IFS(G:G=4126,1,OR(G:G&gt;4126,G:G&lt;4126),0)</f>
        <v>0</v>
      </c>
      <c r="Y484" s="2">
        <f t="shared" si="40"/>
        <v>0</v>
      </c>
      <c r="Z484" s="2">
        <f t="shared" si="41"/>
        <v>0</v>
      </c>
      <c r="AA484" s="2">
        <f>ROUNDDOWN(IF(AND(R:R&gt;=1000,M:M&gt;1),R:R,0)/1000,0)*IF(OR(G:G=4126,G:G=4127),0,1)+ROUNDDOWN(X:X/1000,)</f>
        <v>0</v>
      </c>
    </row>
    <row r="485" spans="22:27">
      <c r="V485" s="2">
        <f t="shared" si="42"/>
        <v>19000100</v>
      </c>
      <c r="W485" s="2">
        <f t="shared" si="43"/>
        <v>0</v>
      </c>
      <c r="X485" s="2">
        <f>(SUMIF(F:F,IF(H:H="福禄20两全",F:F,0),险种!R:R)-SUMIFS(R:R,F:F,F:F,M:M,"&lt;=1"))*_xlfn.IFS(G:G=4126,1,OR(G:G&gt;4126,G:G&lt;4126),0)</f>
        <v>0</v>
      </c>
      <c r="Y485" s="2">
        <f t="shared" si="40"/>
        <v>0</v>
      </c>
      <c r="Z485" s="2">
        <f t="shared" si="41"/>
        <v>0</v>
      </c>
      <c r="AA485" s="2">
        <f>ROUNDDOWN(IF(AND(R:R&gt;=1000,M:M&gt;1),R:R,0)/1000,0)*IF(OR(G:G=4126,G:G=4127),0,1)+ROUNDDOWN(X:X/1000,)</f>
        <v>0</v>
      </c>
    </row>
    <row r="486" spans="22:27">
      <c r="V486" s="2">
        <f t="shared" si="42"/>
        <v>19000100</v>
      </c>
      <c r="W486" s="2">
        <f t="shared" si="43"/>
        <v>0</v>
      </c>
      <c r="X486" s="2">
        <f>(SUMIF(F:F,IF(H:H="福禄20两全",F:F,0),险种!R:R)-SUMIFS(R:R,F:F,F:F,M:M,"&lt;=1"))*_xlfn.IFS(G:G=4126,1,OR(G:G&gt;4126,G:G&lt;4126),0)</f>
        <v>0</v>
      </c>
      <c r="Y486" s="2">
        <f t="shared" si="40"/>
        <v>0</v>
      </c>
      <c r="Z486" s="2">
        <f t="shared" si="41"/>
        <v>0</v>
      </c>
      <c r="AA486" s="2">
        <f>ROUNDDOWN(IF(AND(R:R&gt;=1000,M:M&gt;1),R:R,0)/1000,0)*IF(OR(G:G=4126,G:G=4127),0,1)+ROUNDDOWN(X:X/1000,)</f>
        <v>0</v>
      </c>
    </row>
    <row r="487" spans="22:27">
      <c r="V487" s="2">
        <f t="shared" si="42"/>
        <v>19000100</v>
      </c>
      <c r="W487" s="2">
        <f t="shared" si="43"/>
        <v>0</v>
      </c>
      <c r="X487" s="2">
        <f>(SUMIF(F:F,IF(H:H="福禄20两全",F:F,0),险种!R:R)-SUMIFS(R:R,F:F,F:F,M:M,"&lt;=1"))*_xlfn.IFS(G:G=4126,1,OR(G:G&gt;4126,G:G&lt;4126),0)</f>
        <v>0</v>
      </c>
      <c r="Y487" s="2">
        <f t="shared" si="40"/>
        <v>0</v>
      </c>
      <c r="Z487" s="2">
        <f t="shared" si="41"/>
        <v>0</v>
      </c>
      <c r="AA487" s="2">
        <f>ROUNDDOWN(IF(AND(R:R&gt;=1000,M:M&gt;1),R:R,0)/1000,0)*IF(OR(G:G=4126,G:G=4127),0,1)+ROUNDDOWN(X:X/1000,)</f>
        <v>0</v>
      </c>
    </row>
    <row r="488" spans="22:27">
      <c r="V488" s="2">
        <f t="shared" si="42"/>
        <v>19000100</v>
      </c>
      <c r="W488" s="2">
        <f t="shared" si="43"/>
        <v>0</v>
      </c>
      <c r="X488" s="2">
        <f>(SUMIF(F:F,IF(H:H="福禄20两全",F:F,0),险种!R:R)-SUMIFS(R:R,F:F,F:F,M:M,"&lt;=1"))*_xlfn.IFS(G:G=4126,1,OR(G:G&gt;4126,G:G&lt;4126),0)</f>
        <v>0</v>
      </c>
      <c r="Y488" s="2">
        <f t="shared" si="40"/>
        <v>0</v>
      </c>
      <c r="Z488" s="2">
        <f t="shared" si="41"/>
        <v>0</v>
      </c>
      <c r="AA488" s="2">
        <f>ROUNDDOWN(IF(AND(R:R&gt;=1000,M:M&gt;1),R:R,0)/1000,0)*IF(OR(G:G=4126,G:G=4127),0,1)+ROUNDDOWN(X:X/1000,)</f>
        <v>0</v>
      </c>
    </row>
    <row r="489" spans="22:27">
      <c r="V489" s="2">
        <f t="shared" si="42"/>
        <v>19000100</v>
      </c>
      <c r="W489" s="2">
        <f t="shared" si="43"/>
        <v>0</v>
      </c>
      <c r="X489" s="2">
        <f>(SUMIF(F:F,IF(H:H="福禄20两全",F:F,0),险种!R:R)-SUMIFS(R:R,F:F,F:F,M:M,"&lt;=1"))*_xlfn.IFS(G:G=4126,1,OR(G:G&gt;4126,G:G&lt;4126),0)</f>
        <v>0</v>
      </c>
      <c r="Y489" s="2">
        <f t="shared" si="40"/>
        <v>0</v>
      </c>
      <c r="Z489" s="2">
        <f t="shared" si="41"/>
        <v>0</v>
      </c>
      <c r="AA489" s="2">
        <f>ROUNDDOWN(IF(AND(R:R&gt;=1000,M:M&gt;1),R:R,0)/1000,0)*IF(OR(G:G=4126,G:G=4127),0,1)+ROUNDDOWN(X:X/1000,)</f>
        <v>0</v>
      </c>
    </row>
    <row r="490" spans="22:27">
      <c r="V490" s="2">
        <f t="shared" si="42"/>
        <v>19000100</v>
      </c>
      <c r="W490" s="2">
        <f t="shared" si="43"/>
        <v>0</v>
      </c>
      <c r="X490" s="2">
        <f>(SUMIF(F:F,IF(H:H="福禄20两全",F:F,0),险种!R:R)-SUMIFS(R:R,F:F,F:F,M:M,"&lt;=1"))*_xlfn.IFS(G:G=4126,1,OR(G:G&gt;4126,G:G&lt;4126),0)</f>
        <v>0</v>
      </c>
      <c r="Y490" s="2">
        <f t="shared" si="40"/>
        <v>0</v>
      </c>
      <c r="Z490" s="2">
        <f t="shared" si="41"/>
        <v>0</v>
      </c>
      <c r="AA490" s="2">
        <f>ROUNDDOWN(IF(AND(R:R&gt;=1000,M:M&gt;1),R:R,0)/1000,0)*IF(OR(G:G=4126,G:G=4127),0,1)+ROUNDDOWN(X:X/1000,)</f>
        <v>0</v>
      </c>
    </row>
    <row r="491" spans="22:27">
      <c r="V491" s="2">
        <f t="shared" si="42"/>
        <v>19000100</v>
      </c>
      <c r="W491" s="2">
        <f t="shared" si="43"/>
        <v>0</v>
      </c>
      <c r="X491" s="2">
        <f>(SUMIF(F:F,IF(H:H="福禄20两全",F:F,0),险种!R:R)-SUMIFS(R:R,F:F,F:F,M:M,"&lt;=1"))*_xlfn.IFS(G:G=4126,1,OR(G:G&gt;4126,G:G&lt;4126),0)</f>
        <v>0</v>
      </c>
      <c r="Y491" s="2">
        <f t="shared" si="40"/>
        <v>0</v>
      </c>
      <c r="Z491" s="2">
        <f t="shared" si="41"/>
        <v>0</v>
      </c>
      <c r="AA491" s="2">
        <f>ROUNDDOWN(IF(AND(R:R&gt;=1000,M:M&gt;1),R:R,0)/1000,0)*IF(OR(G:G=4126,G:G=4127),0,1)+ROUNDDOWN(X:X/1000,)</f>
        <v>0</v>
      </c>
    </row>
    <row r="492" spans="22:27">
      <c r="V492" s="2">
        <f t="shared" si="42"/>
        <v>19000100</v>
      </c>
      <c r="W492" s="2">
        <f t="shared" si="43"/>
        <v>0</v>
      </c>
      <c r="X492" s="2">
        <f>(SUMIF(F:F,IF(H:H="福禄20两全",F:F,0),险种!R:R)-SUMIFS(R:R,F:F,F:F,M:M,"&lt;=1"))*_xlfn.IFS(G:G=4126,1,OR(G:G&gt;4126,G:G&lt;4126),0)</f>
        <v>0</v>
      </c>
      <c r="Y492" s="2">
        <f t="shared" si="40"/>
        <v>0</v>
      </c>
      <c r="Z492" s="2">
        <f t="shared" si="41"/>
        <v>0</v>
      </c>
      <c r="AA492" s="2">
        <f>ROUNDDOWN(IF(AND(R:R&gt;=1000,M:M&gt;1),R:R,0)/1000,0)*IF(OR(G:G=4126,G:G=4127),0,1)+ROUNDDOWN(X:X/1000,)</f>
        <v>0</v>
      </c>
    </row>
    <row r="493" spans="22:27">
      <c r="V493" s="2">
        <f t="shared" si="42"/>
        <v>19000100</v>
      </c>
      <c r="W493" s="2">
        <f t="shared" si="43"/>
        <v>0</v>
      </c>
      <c r="X493" s="2">
        <f>(SUMIF(F:F,IF(H:H="福禄20两全",F:F,0),险种!R:R)-SUMIFS(R:R,F:F,F:F,M:M,"&lt;=1"))*_xlfn.IFS(G:G=4126,1,OR(G:G&gt;4126,G:G&lt;4126),0)</f>
        <v>0</v>
      </c>
      <c r="Y493" s="2">
        <f t="shared" si="40"/>
        <v>0</v>
      </c>
      <c r="Z493" s="2">
        <f t="shared" si="41"/>
        <v>0</v>
      </c>
      <c r="AA493" s="2">
        <f>ROUNDDOWN(IF(AND(R:R&gt;=1000,M:M&gt;1),R:R,0)/1000,0)*IF(OR(G:G=4126,G:G=4127),0,1)+ROUNDDOWN(X:X/1000,)</f>
        <v>0</v>
      </c>
    </row>
    <row r="494" spans="22:27">
      <c r="V494" s="2">
        <f t="shared" si="42"/>
        <v>19000100</v>
      </c>
      <c r="W494" s="2">
        <f t="shared" si="43"/>
        <v>0</v>
      </c>
      <c r="X494" s="2">
        <f>(SUMIF(F:F,IF(H:H="福禄20两全",F:F,0),险种!R:R)-SUMIFS(R:R,F:F,F:F,M:M,"&lt;=1"))*_xlfn.IFS(G:G=4126,1,OR(G:G&gt;4126,G:G&lt;4126),0)</f>
        <v>0</v>
      </c>
      <c r="Y494" s="2">
        <f t="shared" si="40"/>
        <v>0</v>
      </c>
      <c r="Z494" s="2">
        <f t="shared" si="41"/>
        <v>0</v>
      </c>
      <c r="AA494" s="2">
        <f>ROUNDDOWN(IF(AND(R:R&gt;=1000,M:M&gt;1),R:R,0)/1000,0)*IF(OR(G:G=4126,G:G=4127),0,1)+ROUNDDOWN(X:X/1000,)</f>
        <v>0</v>
      </c>
    </row>
    <row r="495" spans="22:27">
      <c r="V495" s="2">
        <f t="shared" si="42"/>
        <v>19000100</v>
      </c>
      <c r="W495" s="2">
        <f t="shared" si="43"/>
        <v>0</v>
      </c>
      <c r="X495" s="2">
        <f>(SUMIF(F:F,IF(H:H="福禄20两全",F:F,0),险种!R:R)-SUMIFS(R:R,F:F,F:F,M:M,"&lt;=1"))*_xlfn.IFS(G:G=4126,1,OR(G:G&gt;4126,G:G&lt;4126),0)</f>
        <v>0</v>
      </c>
      <c r="Y495" s="2">
        <f t="shared" si="40"/>
        <v>0</v>
      </c>
      <c r="Z495" s="2">
        <f t="shared" si="41"/>
        <v>0</v>
      </c>
      <c r="AA495" s="2">
        <f>ROUNDDOWN(IF(AND(R:R&gt;=1000,M:M&gt;1),R:R,0)/1000,0)*IF(OR(G:G=4126,G:G=4127),0,1)+ROUNDDOWN(X:X/1000,)</f>
        <v>0</v>
      </c>
    </row>
    <row r="496" spans="22:27">
      <c r="V496" s="2">
        <f t="shared" si="42"/>
        <v>19000100</v>
      </c>
      <c r="W496" s="2">
        <f t="shared" si="43"/>
        <v>0</v>
      </c>
      <c r="X496" s="2">
        <f>(SUMIF(F:F,IF(H:H="福禄20两全",F:F,0),险种!R:R)-SUMIFS(R:R,F:F,F:F,M:M,"&lt;=1"))*_xlfn.IFS(G:G=4126,1,OR(G:G&gt;4126,G:G&lt;4126),0)</f>
        <v>0</v>
      </c>
      <c r="Y496" s="2">
        <f t="shared" si="40"/>
        <v>0</v>
      </c>
      <c r="Z496" s="2">
        <f t="shared" si="41"/>
        <v>0</v>
      </c>
      <c r="AA496" s="2">
        <f>ROUNDDOWN(IF(AND(R:R&gt;=1000,M:M&gt;1),R:R,0)/1000,0)*IF(OR(G:G=4126,G:G=4127),0,1)+ROUNDDOWN(X:X/1000,)</f>
        <v>0</v>
      </c>
    </row>
    <row r="497" spans="22:27">
      <c r="V497" s="2">
        <f t="shared" si="42"/>
        <v>19000100</v>
      </c>
      <c r="W497" s="2">
        <f t="shared" si="43"/>
        <v>0</v>
      </c>
      <c r="X497" s="2">
        <f>(SUMIF(F:F,IF(H:H="福禄20两全",F:F,0),险种!R:R)-SUMIFS(R:R,F:F,F:F,M:M,"&lt;=1"))*_xlfn.IFS(G:G=4126,1,OR(G:G&gt;4126,G:G&lt;4126),0)</f>
        <v>0</v>
      </c>
      <c r="Y497" s="2">
        <f t="shared" si="40"/>
        <v>0</v>
      </c>
      <c r="Z497" s="2">
        <f t="shared" si="41"/>
        <v>0</v>
      </c>
      <c r="AA497" s="2">
        <f>ROUNDDOWN(IF(AND(R:R&gt;=1000,M:M&gt;1),R:R,0)/1000,0)*IF(OR(G:G=4126,G:G=4127),0,1)+ROUNDDOWN(X:X/1000,)</f>
        <v>0</v>
      </c>
    </row>
    <row r="498" spans="22:27">
      <c r="V498" s="2">
        <f t="shared" si="42"/>
        <v>19000100</v>
      </c>
      <c r="W498" s="2">
        <f t="shared" si="43"/>
        <v>0</v>
      </c>
      <c r="X498" s="2">
        <f>(SUMIF(F:F,IF(H:H="福禄20两全",F:F,0),险种!R:R)-SUMIFS(R:R,F:F,F:F,M:M,"&lt;=1"))*_xlfn.IFS(G:G=4126,1,OR(G:G&gt;4126,G:G&lt;4126),0)</f>
        <v>0</v>
      </c>
      <c r="Y498" s="2">
        <f t="shared" si="40"/>
        <v>0</v>
      </c>
      <c r="Z498" s="2">
        <f t="shared" si="41"/>
        <v>0</v>
      </c>
      <c r="AA498" s="2">
        <f>ROUNDDOWN(IF(AND(R:R&gt;=1000,M:M&gt;1),R:R,0)/1000,0)*IF(OR(G:G=4126,G:G=4127),0,1)+ROUNDDOWN(X:X/1000,)</f>
        <v>0</v>
      </c>
    </row>
    <row r="499" spans="22:27">
      <c r="V499" s="2">
        <f t="shared" si="42"/>
        <v>19000100</v>
      </c>
      <c r="W499" s="2">
        <f t="shared" si="43"/>
        <v>0</v>
      </c>
      <c r="X499" s="2">
        <f>(SUMIF(F:F,IF(H:H="福禄20两全",F:F,0),险种!R:R)-SUMIFS(R:R,F:F,F:F,M:M,"&lt;=1"))*_xlfn.IFS(G:G=4126,1,OR(G:G&gt;4126,G:G&lt;4126),0)</f>
        <v>0</v>
      </c>
      <c r="Y499" s="2">
        <f t="shared" si="40"/>
        <v>0</v>
      </c>
      <c r="Z499" s="2">
        <f t="shared" si="41"/>
        <v>0</v>
      </c>
      <c r="AA499" s="2">
        <f>ROUNDDOWN(IF(AND(R:R&gt;=1000,M:M&gt;1),R:R,0)/1000,0)*IF(OR(G:G=4126,G:G=4127),0,1)+ROUNDDOWN(X:X/1000,)</f>
        <v>0</v>
      </c>
    </row>
    <row r="500" spans="22:27">
      <c r="V500" s="2">
        <f t="shared" si="42"/>
        <v>19000100</v>
      </c>
      <c r="W500" s="2">
        <f t="shared" si="43"/>
        <v>0</v>
      </c>
      <c r="X500" s="2">
        <f>(SUMIF(F:F,IF(H:H="福禄20两全",F:F,0),险种!R:R)-SUMIFS(R:R,F:F,F:F,M:M,"&lt;=1"))*_xlfn.IFS(G:G=4126,1,OR(G:G&gt;4126,G:G&lt;4126),0)</f>
        <v>0</v>
      </c>
      <c r="Y500" s="2">
        <f t="shared" si="40"/>
        <v>0</v>
      </c>
      <c r="Z500" s="2">
        <f t="shared" si="41"/>
        <v>0</v>
      </c>
      <c r="AA500" s="2">
        <f>ROUNDDOWN(IF(AND(R:R&gt;=1000,M:M&gt;1),R:R,0)/1000,0)*IF(OR(G:G=4126,G:G=4127),0,1)+ROUNDDOWN(X:X/1000,)</f>
        <v>0</v>
      </c>
    </row>
    <row r="501" spans="22:27">
      <c r="V501" s="2">
        <f t="shared" si="42"/>
        <v>19000100</v>
      </c>
      <c r="W501" s="2">
        <f t="shared" si="43"/>
        <v>0</v>
      </c>
      <c r="X501" s="2">
        <f>(SUMIF(F:F,IF(H:H="福禄20两全",F:F,0),险种!R:R)-SUMIFS(R:R,F:F,F:F,M:M,"&lt;=1"))*_xlfn.IFS(G:G=4126,1,OR(G:G&gt;4126,G:G&lt;4126),0)</f>
        <v>0</v>
      </c>
      <c r="Y501" s="2">
        <f t="shared" si="40"/>
        <v>0</v>
      </c>
      <c r="Z501" s="2">
        <f t="shared" si="41"/>
        <v>0</v>
      </c>
      <c r="AA501" s="2">
        <f>ROUNDDOWN(IF(AND(R:R&gt;=1000,M:M&gt;1),R:R,0)/1000,0)*IF(OR(G:G=4126,G:G=4127),0,1)+ROUNDDOWN(X:X/1000,)</f>
        <v>0</v>
      </c>
    </row>
    <row r="502" spans="22:27">
      <c r="V502" s="2">
        <f t="shared" si="42"/>
        <v>19000100</v>
      </c>
      <c r="W502" s="2">
        <f t="shared" si="43"/>
        <v>0</v>
      </c>
      <c r="X502" s="2">
        <f>(SUMIF(F:F,IF(H:H="福禄20两全",F:F,0),险种!R:R)-SUMIFS(R:R,F:F,F:F,M:M,"&lt;=1"))*_xlfn.IFS(G:G=4126,1,OR(G:G&gt;4126,G:G&lt;4126),0)</f>
        <v>0</v>
      </c>
      <c r="Y502" s="2">
        <f t="shared" si="40"/>
        <v>0</v>
      </c>
      <c r="Z502" s="2">
        <f t="shared" si="41"/>
        <v>0</v>
      </c>
      <c r="AA502" s="2">
        <f>ROUNDDOWN(IF(AND(R:R&gt;=1000,M:M&gt;1),R:R,0)/1000,0)*IF(OR(G:G=4126,G:G=4127),0,1)+ROUNDDOWN(X:X/1000,)</f>
        <v>0</v>
      </c>
    </row>
  </sheetData>
  <autoFilter ref="A1:AA502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4">
    <tabColor rgb="FFFFFF00"/>
  </sheetPr>
  <dimension ref="A1:F72"/>
  <sheetViews>
    <sheetView workbookViewId="0">
      <selection activeCell="A1" sqref="A1:F72"/>
    </sheetView>
  </sheetViews>
  <sheetFormatPr defaultColWidth="9" defaultRowHeight="15" outlineLevelCol="5"/>
  <cols>
    <col min="1" max="3" width="13.75" style="25" customWidth="1"/>
    <col min="4" max="4" width="15.125" style="25" hidden="1" customWidth="1"/>
    <col min="5" max="6" width="18.25" style="25" customWidth="1"/>
    <col min="7" max="16384" width="9" style="26"/>
  </cols>
  <sheetData>
    <row r="1" ht="36.75" spans="1:6">
      <c r="A1" s="27" t="s">
        <v>545</v>
      </c>
      <c r="B1" s="27"/>
      <c r="C1" s="27"/>
      <c r="D1" s="27"/>
      <c r="E1" s="27"/>
      <c r="F1" s="27"/>
    </row>
    <row r="2" ht="44" customHeight="1" spans="1:6">
      <c r="A2" s="28" t="s">
        <v>177</v>
      </c>
      <c r="B2" s="28" t="s">
        <v>532</v>
      </c>
      <c r="C2" s="28" t="s">
        <v>533</v>
      </c>
      <c r="D2" s="28" t="s">
        <v>534</v>
      </c>
      <c r="E2" s="28" t="s">
        <v>546</v>
      </c>
      <c r="F2" s="28" t="s">
        <v>547</v>
      </c>
    </row>
    <row r="3" ht="28" customHeight="1" spans="1:6">
      <c r="A3" s="4" t="s">
        <v>27</v>
      </c>
      <c r="B3" s="4" t="s">
        <v>214</v>
      </c>
      <c r="C3" s="4" t="s">
        <v>60</v>
      </c>
      <c r="D3" s="4">
        <v>51137372</v>
      </c>
      <c r="E3" s="4">
        <f>VLOOKUP(D:D,代理人!E:AJ,30,0)</f>
        <v>200</v>
      </c>
      <c r="F3" s="4" t="str">
        <f>VLOOKUP(D:D,代理人!E:AK,31,0)</f>
        <v>凤台刘康丽伙伴冲锋队缴费金额200元，目前预收价值8161.2，预收拟返还200元，承保拟返还200元</v>
      </c>
    </row>
    <row r="4" ht="28" customHeight="1" spans="1:6">
      <c r="A4" s="4" t="s">
        <v>213</v>
      </c>
      <c r="B4" s="4" t="s">
        <v>43</v>
      </c>
      <c r="C4" s="4" t="s">
        <v>71</v>
      </c>
      <c r="D4" s="4">
        <v>5689072702</v>
      </c>
      <c r="E4" s="4">
        <f>VLOOKUP(D:D,代理人!E:AJ,30,0)</f>
        <v>200</v>
      </c>
      <c r="F4" s="4" t="str">
        <f>VLOOKUP(D:D,代理人!E:AK,31,0)</f>
        <v>淮南本部方林主管冲锋队缴费金额200元，目前预收价值9786.6，预收拟返还200元，承保拟返还200元</v>
      </c>
    </row>
    <row r="5" ht="28" customHeight="1" spans="1:6">
      <c r="A5" s="4" t="s">
        <v>48</v>
      </c>
      <c r="B5" s="4" t="s">
        <v>49</v>
      </c>
      <c r="C5" s="4" t="s">
        <v>91</v>
      </c>
      <c r="D5" s="4">
        <v>157576102</v>
      </c>
      <c r="E5" s="4">
        <f>VLOOKUP(D:D,代理人!E:AJ,30,0)</f>
        <v>0</v>
      </c>
      <c r="F5" s="4" t="str">
        <f>VLOOKUP(D:D,代理人!E:AK,31,0)</f>
        <v>谢家集杨琴伙伴冲锋队缴费金额200元，目前预收价值8298.5，预收拟返还200元，承保拟返还0元</v>
      </c>
    </row>
    <row r="6" ht="28" customHeight="1" spans="1:6">
      <c r="A6" s="4" t="s">
        <v>48</v>
      </c>
      <c r="B6" s="4" t="s">
        <v>49</v>
      </c>
      <c r="C6" s="4" t="s">
        <v>104</v>
      </c>
      <c r="D6" s="4">
        <v>5449941392</v>
      </c>
      <c r="E6" s="4">
        <f>VLOOKUP(D:D,代理人!E:AJ,30,0)</f>
        <v>400</v>
      </c>
      <c r="F6" s="4" t="str">
        <f>VLOOKUP(D:D,代理人!E:AK,31,0)</f>
        <v>谢家集杨娟主管冲锋队缴费金额400元，目前预收价值5584.1，预收拟返还400元，承保拟返还400元</v>
      </c>
    </row>
    <row r="7" ht="28" customHeight="1" spans="1:6">
      <c r="A7" s="4" t="s">
        <v>213</v>
      </c>
      <c r="B7" s="4" t="s">
        <v>43</v>
      </c>
      <c r="C7" s="4" t="s">
        <v>45</v>
      </c>
      <c r="D7" s="4">
        <v>51108342</v>
      </c>
      <c r="E7" s="4">
        <f>VLOOKUP(D:D,代理人!E:AJ,30,0)</f>
        <v>100</v>
      </c>
      <c r="F7" s="4" t="str">
        <f>VLOOKUP(D:D,代理人!E:AK,31,0)</f>
        <v>淮南本部陈宏霞主管冲锋队缴费金额200元，目前预收价值6605.1，预收拟返还200元，承保拟返还100元</v>
      </c>
    </row>
    <row r="8" ht="28" customHeight="1" spans="1:6">
      <c r="A8" s="29" t="s">
        <v>48</v>
      </c>
      <c r="B8" s="29" t="s">
        <v>49</v>
      </c>
      <c r="C8" s="29" t="s">
        <v>83</v>
      </c>
      <c r="D8" s="29">
        <v>6549480842</v>
      </c>
      <c r="E8" s="4">
        <f>VLOOKUP(D:D,代理人!E:AJ,30,0)</f>
        <v>100</v>
      </c>
      <c r="F8" s="4" t="str">
        <f>VLOOKUP(D:D,代理人!E:AK,31,0)</f>
        <v>谢家集刘锐伙伴冲锋队缴费金额200元，目前预收价值3478.4，预收拟返还100元，承保拟返还100元</v>
      </c>
    </row>
    <row r="9" ht="28" customHeight="1" spans="1:6">
      <c r="A9" s="4" t="s">
        <v>213</v>
      </c>
      <c r="B9" s="4" t="s">
        <v>62</v>
      </c>
      <c r="C9" s="4" t="s">
        <v>73</v>
      </c>
      <c r="D9" s="4">
        <v>6487584872</v>
      </c>
      <c r="E9" s="4">
        <f>VLOOKUP(D:D,代理人!E:AJ,30,0)</f>
        <v>0</v>
      </c>
      <c r="F9" s="4" t="str">
        <f>VLOOKUP(D:D,代理人!E:AK,31,0)</f>
        <v>淮南本部程梅伙伴冲锋队缴费金额200元，目前预收价值5341.3，预收拟返还200元，承保拟返还0元</v>
      </c>
    </row>
    <row r="10" ht="28" hidden="1" customHeight="1" spans="1:6">
      <c r="A10" s="29" t="s">
        <v>213</v>
      </c>
      <c r="B10" s="29" t="s">
        <v>62</v>
      </c>
      <c r="C10" s="29" t="s">
        <v>87</v>
      </c>
      <c r="D10" s="29">
        <v>214639732</v>
      </c>
      <c r="E10" s="4">
        <f>VLOOKUP(D:D,代理人!E:AJ,30,0)</f>
        <v>0</v>
      </c>
      <c r="F10" s="4" t="str">
        <f>VLOOKUP(D:D,代理人!E:AK,31,0)</f>
        <v>淮南本部程文侠主管冲锋队缴费金额200元，目前预收价值1825，预收拟返还0元，承保拟返还0元</v>
      </c>
    </row>
    <row r="11" ht="28" hidden="1" customHeight="1" spans="1:6">
      <c r="A11" s="29" t="s">
        <v>213</v>
      </c>
      <c r="B11" s="29" t="s">
        <v>43</v>
      </c>
      <c r="C11" s="29" t="s">
        <v>76</v>
      </c>
      <c r="D11" s="29">
        <v>5671371552</v>
      </c>
      <c r="E11" s="4">
        <f>VLOOKUP(D:D,代理人!E:AJ,30,0)</f>
        <v>0</v>
      </c>
      <c r="F11" s="4" t="str">
        <f>VLOOKUP(D:D,代理人!E:AK,31,0)</f>
        <v>淮南本部吴苑主管冲锋队缴费金额200元，目前预收价值385.1，预收拟返还0元，承保拟返还0元</v>
      </c>
    </row>
    <row r="12" ht="28" hidden="1" customHeight="1" spans="1:6">
      <c r="A12" s="29" t="s">
        <v>27</v>
      </c>
      <c r="B12" s="29" t="s">
        <v>214</v>
      </c>
      <c r="C12" s="29" t="s">
        <v>54</v>
      </c>
      <c r="D12" s="29">
        <v>531925062</v>
      </c>
      <c r="E12" s="4">
        <f>VLOOKUP(D:D,代理人!E:AJ,30,0)</f>
        <v>0</v>
      </c>
      <c r="F12" s="4" t="str">
        <f>VLOOKUP(D:D,代理人!E:AK,31,0)</f>
        <v>凤台康菊伙伴冲锋队缴费金额200元，目前预收价值341.8，预收拟返还0元，承保拟返还0元</v>
      </c>
    </row>
    <row r="13" ht="28" hidden="1" customHeight="1" spans="1:6">
      <c r="A13" s="29" t="s">
        <v>27</v>
      </c>
      <c r="B13" s="29" t="s">
        <v>214</v>
      </c>
      <c r="C13" s="29" t="s">
        <v>107</v>
      </c>
      <c r="D13" s="29">
        <v>484039162</v>
      </c>
      <c r="E13" s="4">
        <f>VLOOKUP(D:D,代理人!E:AJ,30,0)</f>
        <v>0</v>
      </c>
      <c r="F13" s="4" t="str">
        <f>VLOOKUP(D:D,代理人!E:AK,31,0)</f>
        <v>凤台张文粉伙伴冲锋队缴费金额200元，目前预收价值5.2，预收拟返还0元，承保拟返还0元</v>
      </c>
    </row>
    <row r="14" ht="28" customHeight="1" spans="1:6">
      <c r="A14" s="29" t="s">
        <v>213</v>
      </c>
      <c r="B14" s="29" t="s">
        <v>62</v>
      </c>
      <c r="C14" s="29" t="s">
        <v>64</v>
      </c>
      <c r="D14" s="29">
        <v>6550500692</v>
      </c>
      <c r="E14" s="4">
        <f>VLOOKUP(D:D,代理人!E:AJ,30,0)</f>
        <v>0</v>
      </c>
      <c r="F14" s="4" t="str">
        <f>VLOOKUP(D:D,代理人!E:AK,31,0)</f>
        <v>淮南本部程楠伙伴冲锋队缴费金额200元，目前预收价值11168.7，预收拟返还200元，承保拟返还0元</v>
      </c>
    </row>
    <row r="15" ht="28" hidden="1" customHeight="1" spans="1:6">
      <c r="A15" s="29" t="s">
        <v>213</v>
      </c>
      <c r="B15" s="29" t="s">
        <v>62</v>
      </c>
      <c r="C15" s="29" t="s">
        <v>362</v>
      </c>
      <c r="D15" s="29">
        <v>6425876532</v>
      </c>
      <c r="E15" s="4">
        <f>VLOOKUP(D:D,代理人!E:AJ,30,0)</f>
        <v>0</v>
      </c>
      <c r="F15" s="4" t="str">
        <f>VLOOKUP(D:D,代理人!E:AK,31,0)</f>
        <v>淮南本部刘翠伙伴冲锋队缴费金额200元，目前预收价值0，预收拟返还0元，承保拟返还0元</v>
      </c>
    </row>
    <row r="16" ht="28" hidden="1" customHeight="1" spans="1:6">
      <c r="A16" s="29" t="s">
        <v>213</v>
      </c>
      <c r="B16" s="29" t="s">
        <v>43</v>
      </c>
      <c r="C16" s="29" t="s">
        <v>220</v>
      </c>
      <c r="D16" s="29">
        <v>362775482</v>
      </c>
      <c r="E16" s="4">
        <f>VLOOKUP(D:D,代理人!E:AJ,30,0)</f>
        <v>0</v>
      </c>
      <c r="F16" s="4" t="str">
        <f>VLOOKUP(D:D,代理人!E:AK,31,0)</f>
        <v>淮南本部刘继英主管冲锋队缴费金额200元，目前预收价值0，预收拟返还0元，承保拟返还0元</v>
      </c>
    </row>
    <row r="17" ht="28" hidden="1" customHeight="1" spans="1:6">
      <c r="A17" s="29" t="s">
        <v>213</v>
      </c>
      <c r="B17" s="29" t="s">
        <v>43</v>
      </c>
      <c r="C17" s="29" t="s">
        <v>78</v>
      </c>
      <c r="D17" s="29">
        <v>430700742</v>
      </c>
      <c r="E17" s="4">
        <f>VLOOKUP(D:D,代理人!E:AJ,30,0)</f>
        <v>0</v>
      </c>
      <c r="F17" s="4" t="str">
        <f>VLOOKUP(D:D,代理人!E:AK,31,0)</f>
        <v>淮南本部宗林伙伴冲锋队缴费金额200元，目前预收价值157.7，预收拟返还0元，承保拟返还0元</v>
      </c>
    </row>
    <row r="18" ht="28" hidden="1" customHeight="1" spans="1:6">
      <c r="A18" s="29" t="s">
        <v>213</v>
      </c>
      <c r="B18" s="29" t="s">
        <v>62</v>
      </c>
      <c r="C18" s="29" t="s">
        <v>222</v>
      </c>
      <c r="D18" s="29">
        <v>5722340032</v>
      </c>
      <c r="E18" s="4">
        <f>VLOOKUP(D:D,代理人!E:AJ,30,0)</f>
        <v>0</v>
      </c>
      <c r="F18" s="4" t="str">
        <f>VLOOKUP(D:D,代理人!E:AK,31,0)</f>
        <v>淮南本部童会主管冲锋队缴费金额200元，目前预收价值0，预收拟返还0元，承保拟返还0元</v>
      </c>
    </row>
    <row r="19" ht="28" hidden="1" customHeight="1" spans="1:6">
      <c r="A19" s="29" t="s">
        <v>213</v>
      </c>
      <c r="B19" s="29" t="s">
        <v>62</v>
      </c>
      <c r="C19" s="29" t="s">
        <v>304</v>
      </c>
      <c r="D19" s="29">
        <v>6526885242</v>
      </c>
      <c r="E19" s="4">
        <f>VLOOKUP(D:D,代理人!E:AJ,30,0)</f>
        <v>0</v>
      </c>
      <c r="F19" s="4" t="str">
        <f>VLOOKUP(D:D,代理人!E:AK,31,0)</f>
        <v>淮南本部沈金悦伙伴冲锋队缴费金额200元，目前预收价值0，预收拟返还0元，承保拟返还0元</v>
      </c>
    </row>
    <row r="20" ht="28" hidden="1" customHeight="1" spans="1:6">
      <c r="A20" s="29" t="s">
        <v>213</v>
      </c>
      <c r="B20" s="29" t="s">
        <v>62</v>
      </c>
      <c r="C20" s="29" t="s">
        <v>216</v>
      </c>
      <c r="D20" s="29">
        <v>6396788302</v>
      </c>
      <c r="E20" s="4">
        <f>VLOOKUP(D:D,代理人!E:AJ,30,0)</f>
        <v>0</v>
      </c>
      <c r="F20" s="4" t="str">
        <f>VLOOKUP(D:D,代理人!E:AK,31,0)</f>
        <v>淮南本部王沁主管冲锋队缴费金额200元，目前预收价值0，预收拟返还0元，承保拟返还0元</v>
      </c>
    </row>
    <row r="21" ht="28" hidden="1" customHeight="1" spans="1:6">
      <c r="A21" s="29" t="s">
        <v>213</v>
      </c>
      <c r="B21" s="29" t="s">
        <v>62</v>
      </c>
      <c r="C21" s="29" t="s">
        <v>316</v>
      </c>
      <c r="D21" s="29">
        <v>6493243482</v>
      </c>
      <c r="E21" s="4">
        <f>VLOOKUP(D:D,代理人!E:AJ,30,0)</f>
        <v>0</v>
      </c>
      <c r="F21" s="4" t="str">
        <f>VLOOKUP(D:D,代理人!E:AK,31,0)</f>
        <v>淮南本部徐基云伙伴冲锋队缴费金额200元，目前预收价值0，预收拟返还0元，承保拟返还0元</v>
      </c>
    </row>
    <row r="22" ht="28" hidden="1" customHeight="1" spans="1:6">
      <c r="A22" s="29" t="s">
        <v>213</v>
      </c>
      <c r="B22" s="29" t="s">
        <v>62</v>
      </c>
      <c r="C22" s="29" t="s">
        <v>399</v>
      </c>
      <c r="D22" s="29">
        <v>6328797672</v>
      </c>
      <c r="E22" s="4">
        <f>VLOOKUP(D:D,代理人!E:AJ,30,0)</f>
        <v>0</v>
      </c>
      <c r="F22" s="4" t="str">
        <f>VLOOKUP(D:D,代理人!E:AK,31,0)</f>
        <v>淮南本部程业云伙伴冲锋队缴费金额200元，目前预收价值0，预收拟返还0元，承保拟返还0元</v>
      </c>
    </row>
    <row r="23" ht="28" hidden="1" customHeight="1" spans="1:6">
      <c r="A23" s="29" t="s">
        <v>213</v>
      </c>
      <c r="B23" s="29" t="s">
        <v>43</v>
      </c>
      <c r="C23" s="29" t="s">
        <v>479</v>
      </c>
      <c r="D23" s="29">
        <v>5596364242</v>
      </c>
      <c r="E23" s="4">
        <f>VLOOKUP(D:D,代理人!E:AJ,30,0)</f>
        <v>0</v>
      </c>
      <c r="F23" s="4" t="str">
        <f>VLOOKUP(D:D,代理人!E:AK,31,0)</f>
        <v>淮南本部胡孝萍伙伴冲锋队缴费金额200元，目前预收价值0，预收拟返还0元，承保拟返还0元</v>
      </c>
    </row>
    <row r="24" ht="28" customHeight="1" spans="1:6">
      <c r="A24" s="29" t="s">
        <v>213</v>
      </c>
      <c r="B24" s="29" t="s">
        <v>66</v>
      </c>
      <c r="C24" s="29" t="s">
        <v>68</v>
      </c>
      <c r="D24" s="29">
        <v>55996582</v>
      </c>
      <c r="E24" s="4">
        <f>VLOOKUP(D:D,代理人!E:AJ,30,0)</f>
        <v>100</v>
      </c>
      <c r="F24" s="4" t="str">
        <f>VLOOKUP(D:D,代理人!E:AK,31,0)</f>
        <v>淮南本部杨书珍主管冲锋队缴费金额200元，目前预收价值3151.8，预收拟返还100元，承保拟返还100元</v>
      </c>
    </row>
    <row r="25" ht="28" hidden="1" customHeight="1" spans="1:6">
      <c r="A25" s="29" t="s">
        <v>213</v>
      </c>
      <c r="B25" s="29" t="s">
        <v>43</v>
      </c>
      <c r="C25" s="29" t="s">
        <v>415</v>
      </c>
      <c r="D25" s="29">
        <v>6270653892</v>
      </c>
      <c r="E25" s="4">
        <f>VLOOKUP(D:D,代理人!E:AJ,30,0)</f>
        <v>0</v>
      </c>
      <c r="F25" s="4" t="str">
        <f>VLOOKUP(D:D,代理人!E:AK,31,0)</f>
        <v>淮南本部吴程程伙伴冲锋队缴费金额200元，目前预收价值0，预收拟返还0元，承保拟返还0元</v>
      </c>
    </row>
    <row r="26" ht="28" hidden="1" customHeight="1" spans="1:6">
      <c r="A26" s="29" t="s">
        <v>213</v>
      </c>
      <c r="B26" s="29" t="s">
        <v>62</v>
      </c>
      <c r="C26" s="29" t="s">
        <v>223</v>
      </c>
      <c r="D26" s="29">
        <v>5228523972</v>
      </c>
      <c r="E26" s="4">
        <f>VLOOKUP(D:D,代理人!E:AJ,30,0)</f>
        <v>0</v>
      </c>
      <c r="F26" s="4" t="str">
        <f>VLOOKUP(D:D,代理人!E:AK,31,0)</f>
        <v>淮南本部何静主管冲锋队缴费金额200元，目前预收价值0，预收拟返还0元，承保拟返还0元</v>
      </c>
    </row>
    <row r="27" ht="28" hidden="1" customHeight="1" spans="1:6">
      <c r="A27" s="29" t="s">
        <v>213</v>
      </c>
      <c r="B27" s="29" t="s">
        <v>62</v>
      </c>
      <c r="C27" s="29" t="s">
        <v>334</v>
      </c>
      <c r="D27" s="29">
        <v>6448088632</v>
      </c>
      <c r="E27" s="4">
        <f>VLOOKUP(D:D,代理人!E:AJ,30,0)</f>
        <v>0</v>
      </c>
      <c r="F27" s="4" t="str">
        <f>VLOOKUP(D:D,代理人!E:AK,31,0)</f>
        <v>淮南本部褚孝妹伙伴冲锋队缴费金额200元，目前预收价值0，预收拟返还0元，承保拟返还0元</v>
      </c>
    </row>
    <row r="28" ht="28" hidden="1" customHeight="1" spans="1:6">
      <c r="A28" s="29" t="s">
        <v>213</v>
      </c>
      <c r="B28" s="29" t="s">
        <v>62</v>
      </c>
      <c r="C28" s="29" t="s">
        <v>285</v>
      </c>
      <c r="D28" s="29">
        <v>6554680762</v>
      </c>
      <c r="E28" s="4">
        <f>VLOOKUP(D:D,代理人!E:AJ,30,0)</f>
        <v>0</v>
      </c>
      <c r="F28" s="4" t="str">
        <f>VLOOKUP(D:D,代理人!E:AK,31,0)</f>
        <v>淮南本部褚恋恋伙伴冲锋队缴费金额200元，目前预收价值0，预收拟返还0元，承保拟返还0元</v>
      </c>
    </row>
    <row r="29" ht="28" hidden="1" customHeight="1" spans="1:6">
      <c r="A29" s="29" t="s">
        <v>213</v>
      </c>
      <c r="B29" s="29" t="s">
        <v>43</v>
      </c>
      <c r="C29" s="29" t="s">
        <v>524</v>
      </c>
      <c r="D29" s="29">
        <v>164606852</v>
      </c>
      <c r="E29" s="4">
        <f>VLOOKUP(D:D,代理人!E:AJ,30,0)</f>
        <v>0</v>
      </c>
      <c r="F29" s="4" t="str">
        <f>VLOOKUP(D:D,代理人!E:AK,31,0)</f>
        <v>淮南本部杨会玲伙伴冲锋队缴费金额200元，目前预收价值0，预收拟返还0元，承保拟返还0元</v>
      </c>
    </row>
    <row r="30" ht="28" hidden="1" customHeight="1" spans="1:6">
      <c r="A30" s="29" t="s">
        <v>213</v>
      </c>
      <c r="B30" s="29" t="s">
        <v>43</v>
      </c>
      <c r="C30" s="29" t="s">
        <v>528</v>
      </c>
      <c r="D30" s="29">
        <v>86051232</v>
      </c>
      <c r="E30" s="4">
        <f>VLOOKUP(D:D,代理人!E:AJ,30,0)</f>
        <v>0</v>
      </c>
      <c r="F30" s="4" t="str">
        <f>VLOOKUP(D:D,代理人!E:AK,31,0)</f>
        <v>淮南本部蔡士兰伙伴冲锋队缴费金额200元，目前预收价值0，预收拟返还0元，承保拟返还0元</v>
      </c>
    </row>
    <row r="31" ht="28" hidden="1" customHeight="1" spans="1:6">
      <c r="A31" s="29" t="s">
        <v>213</v>
      </c>
      <c r="B31" s="29" t="s">
        <v>62</v>
      </c>
      <c r="C31" s="29" t="s">
        <v>300</v>
      </c>
      <c r="D31" s="29">
        <v>6547517232</v>
      </c>
      <c r="E31" s="4">
        <f>VLOOKUP(D:D,代理人!E:AJ,30,0)</f>
        <v>0</v>
      </c>
      <c r="F31" s="4" t="str">
        <f>VLOOKUP(D:D,代理人!E:AK,31,0)</f>
        <v>淮南本部程单单伙伴冲锋队缴费金额200元，目前预收价值0，预收拟返还0元，承保拟返还0元</v>
      </c>
    </row>
    <row r="32" ht="28" hidden="1" customHeight="1" spans="1:6">
      <c r="A32" s="29" t="s">
        <v>213</v>
      </c>
      <c r="B32" s="29" t="s">
        <v>66</v>
      </c>
      <c r="C32" s="29" t="s">
        <v>485</v>
      </c>
      <c r="D32" s="29">
        <v>5495685512</v>
      </c>
      <c r="E32" s="4">
        <f>VLOOKUP(D:D,代理人!E:AJ,30,0)</f>
        <v>0</v>
      </c>
      <c r="F32" s="4" t="str">
        <f>VLOOKUP(D:D,代理人!E:AK,31,0)</f>
        <v>淮南本部孙雅莉伙伴冲锋队缴费金额200元，目前预收价值0，预收拟返还0元，承保拟返还0元</v>
      </c>
    </row>
    <row r="33" ht="28" hidden="1" customHeight="1" spans="1:6">
      <c r="A33" s="29" t="s">
        <v>213</v>
      </c>
      <c r="B33" s="29" t="s">
        <v>62</v>
      </c>
      <c r="C33" s="29" t="s">
        <v>301</v>
      </c>
      <c r="D33" s="29">
        <v>6547493692</v>
      </c>
      <c r="E33" s="4">
        <f>VLOOKUP(D:D,代理人!E:AJ,30,0)</f>
        <v>0</v>
      </c>
      <c r="F33" s="4" t="str">
        <f>VLOOKUP(D:D,代理人!E:AK,31,0)</f>
        <v>淮南本部夏海力伙伴冲锋队缴费金额200元，目前预收价值0，预收拟返还0元，承保拟返还0元</v>
      </c>
    </row>
    <row r="34" ht="28" hidden="1" customHeight="1" spans="1:6">
      <c r="A34" s="29" t="s">
        <v>213</v>
      </c>
      <c r="B34" s="29" t="s">
        <v>62</v>
      </c>
      <c r="C34" s="29" t="s">
        <v>218</v>
      </c>
      <c r="D34" s="29">
        <v>6409592302</v>
      </c>
      <c r="E34" s="4">
        <f>VLOOKUP(D:D,代理人!E:AJ,30,0)</f>
        <v>0</v>
      </c>
      <c r="F34" s="4" t="str">
        <f>VLOOKUP(D:D,代理人!E:AK,31,0)</f>
        <v>淮南本部宋业凤主管冲锋队缴费金额200元，目前预收价值0，预收拟返还0元，承保拟返还0元</v>
      </c>
    </row>
    <row r="35" ht="28" hidden="1" customHeight="1" spans="1:6">
      <c r="A35" s="29" t="s">
        <v>213</v>
      </c>
      <c r="B35" s="29" t="s">
        <v>62</v>
      </c>
      <c r="C35" s="29" t="s">
        <v>269</v>
      </c>
      <c r="D35" s="29">
        <v>6575257432</v>
      </c>
      <c r="E35" s="4">
        <f>VLOOKUP(D:D,代理人!E:AJ,30,0)</f>
        <v>0</v>
      </c>
      <c r="F35" s="4" t="str">
        <f>VLOOKUP(D:D,代理人!E:AK,31,0)</f>
        <v>淮南本部杨海山伙伴冲锋队缴费金额200元，目前预收价值0，预收拟返还0元，承保拟返还0元</v>
      </c>
    </row>
    <row r="36" ht="28" hidden="1" customHeight="1" spans="1:6">
      <c r="A36" s="29" t="s">
        <v>27</v>
      </c>
      <c r="B36" s="29" t="s">
        <v>214</v>
      </c>
      <c r="C36" s="29" t="s">
        <v>526</v>
      </c>
      <c r="D36" s="29">
        <v>105176282</v>
      </c>
      <c r="E36" s="4">
        <f>VLOOKUP(D:D,代理人!E:AJ,30,0)</f>
        <v>0</v>
      </c>
      <c r="F36" s="4" t="str">
        <f>VLOOKUP(D:D,代理人!E:AK,31,0)</f>
        <v>凤台武保米伙伴冲锋队缴费金额200元，目前预收价值0，预收拟返还0元，承保拟返还0元</v>
      </c>
    </row>
    <row r="37" ht="28" hidden="1" customHeight="1" spans="1:6">
      <c r="A37" s="29" t="s">
        <v>27</v>
      </c>
      <c r="B37" s="29" t="s">
        <v>214</v>
      </c>
      <c r="C37" s="29" t="s">
        <v>429</v>
      </c>
      <c r="D37" s="29">
        <v>6165252972</v>
      </c>
      <c r="E37" s="4">
        <f>VLOOKUP(D:D,代理人!E:AJ,30,0)</f>
        <v>0</v>
      </c>
      <c r="F37" s="4" t="str">
        <f>VLOOKUP(D:D,代理人!E:AK,31,0)</f>
        <v>凤台叶永艳伙伴冲锋队缴费金额200元，目前预收价值0，预收拟返还0元，承保拟返还0元</v>
      </c>
    </row>
    <row r="38" ht="28" hidden="1" customHeight="1" spans="1:6">
      <c r="A38" s="29" t="s">
        <v>27</v>
      </c>
      <c r="B38" s="29" t="s">
        <v>28</v>
      </c>
      <c r="C38" s="29" t="s">
        <v>309</v>
      </c>
      <c r="D38" s="29">
        <v>6501704222</v>
      </c>
      <c r="E38" s="4">
        <f>VLOOKUP(D:D,代理人!E:AJ,30,0)</f>
        <v>0</v>
      </c>
      <c r="F38" s="4" t="str">
        <f>VLOOKUP(D:D,代理人!E:AK,31,0)</f>
        <v>凤台李悦伙伴冲锋队缴费金额200元，目前预收价值0，预收拟返还0元，承保拟返还0元</v>
      </c>
    </row>
    <row r="39" ht="28" hidden="1" customHeight="1" spans="1:6">
      <c r="A39" s="29" t="s">
        <v>27</v>
      </c>
      <c r="B39" s="29" t="s">
        <v>28</v>
      </c>
      <c r="C39" s="29" t="s">
        <v>30</v>
      </c>
      <c r="D39" s="29">
        <v>588442562</v>
      </c>
      <c r="E39" s="4">
        <f>VLOOKUP(D:D,代理人!E:AJ,30,0)</f>
        <v>0</v>
      </c>
      <c r="F39" s="4" t="str">
        <f>VLOOKUP(D:D,代理人!E:AK,31,0)</f>
        <v>凤台陈桂美主管冲锋队缴费金额400元，目前预收价值0，预收拟返还0元，承保拟返还0元</v>
      </c>
    </row>
    <row r="40" ht="28" hidden="1" customHeight="1" spans="1:6">
      <c r="A40" s="29" t="s">
        <v>27</v>
      </c>
      <c r="B40" s="29" t="s">
        <v>28</v>
      </c>
      <c r="C40" s="29" t="s">
        <v>289</v>
      </c>
      <c r="D40" s="29">
        <v>6551184192</v>
      </c>
      <c r="E40" s="4">
        <f>VLOOKUP(D:D,代理人!E:AJ,30,0)</f>
        <v>0</v>
      </c>
      <c r="F40" s="4" t="str">
        <f>VLOOKUP(D:D,代理人!E:AK,31,0)</f>
        <v>凤台王朋伙伴冲锋队缴费金额200元，目前预收价值0，预收拟返还0元，承保拟返还0元</v>
      </c>
    </row>
    <row r="41" ht="28" hidden="1" customHeight="1" spans="1:6">
      <c r="A41" s="29" t="s">
        <v>27</v>
      </c>
      <c r="B41" s="29" t="s">
        <v>28</v>
      </c>
      <c r="C41" s="29" t="s">
        <v>350</v>
      </c>
      <c r="D41" s="29">
        <v>6434509532</v>
      </c>
      <c r="E41" s="4">
        <f>VLOOKUP(D:D,代理人!E:AJ,30,0)</f>
        <v>0</v>
      </c>
      <c r="F41" s="4" t="str">
        <f>VLOOKUP(D:D,代理人!E:AK,31,0)</f>
        <v>凤台叶艳伙伴冲锋队缴费金额200元，目前预收价值0，预收拟返还0元，承保拟返还0元</v>
      </c>
    </row>
    <row r="42" ht="28" hidden="1" customHeight="1" spans="1:6">
      <c r="A42" s="29" t="s">
        <v>27</v>
      </c>
      <c r="B42" s="29" t="s">
        <v>28</v>
      </c>
      <c r="C42" s="29" t="s">
        <v>264</v>
      </c>
      <c r="D42" s="29">
        <v>6578633392</v>
      </c>
      <c r="E42" s="4">
        <f>VLOOKUP(D:D,代理人!E:AJ,30,0)</f>
        <v>0</v>
      </c>
      <c r="F42" s="4" t="str">
        <f>VLOOKUP(D:D,代理人!E:AK,31,0)</f>
        <v>凤台任永生伙伴冲锋队缴费金额200元，目前预收价值0，预收拟返还0元，承保拟返还0元</v>
      </c>
    </row>
    <row r="43" ht="28" hidden="1" customHeight="1" spans="1:6">
      <c r="A43" s="29" t="s">
        <v>27</v>
      </c>
      <c r="B43" s="29" t="s">
        <v>28</v>
      </c>
      <c r="C43" s="29" t="s">
        <v>225</v>
      </c>
      <c r="D43" s="29">
        <v>6025005442</v>
      </c>
      <c r="E43" s="4">
        <f>VLOOKUP(D:D,代理人!E:AJ,30,0)</f>
        <v>0</v>
      </c>
      <c r="F43" s="4" t="str">
        <f>VLOOKUP(D:D,代理人!E:AK,31,0)</f>
        <v>凤台陈娟主管冲锋队缴费金额200元，目前预收价值0，预收拟返还0元，承保拟返还0元</v>
      </c>
    </row>
    <row r="44" ht="28" hidden="1" customHeight="1" spans="1:6">
      <c r="A44" s="29" t="s">
        <v>27</v>
      </c>
      <c r="B44" s="29" t="s">
        <v>28</v>
      </c>
      <c r="C44" s="29" t="s">
        <v>341</v>
      </c>
      <c r="D44" s="29">
        <v>6438319742</v>
      </c>
      <c r="E44" s="4">
        <f>VLOOKUP(D:D,代理人!E:AJ,30,0)</f>
        <v>0</v>
      </c>
      <c r="F44" s="4" t="str">
        <f>VLOOKUP(D:D,代理人!E:AK,31,0)</f>
        <v>凤台米莲伙伴冲锋队缴费金额200元，目前预收价值0，预收拟返还0元，承保拟返还0元</v>
      </c>
    </row>
    <row r="45" ht="28" hidden="1" customHeight="1" spans="1:6">
      <c r="A45" s="29" t="s">
        <v>27</v>
      </c>
      <c r="B45" s="29" t="s">
        <v>28</v>
      </c>
      <c r="C45" s="29" t="s">
        <v>79</v>
      </c>
      <c r="D45" s="29">
        <v>6554611872</v>
      </c>
      <c r="E45" s="4">
        <f>VLOOKUP(D:D,代理人!E:AJ,30,0)</f>
        <v>0</v>
      </c>
      <c r="F45" s="4" t="str">
        <f>VLOOKUP(D:D,代理人!E:AK,31,0)</f>
        <v>凤台柏祖林伙伴冲锋队缴费金额200元，目前预收价值0，预收拟返还0元，承保拟返还0元</v>
      </c>
    </row>
    <row r="46" ht="28" hidden="1" customHeight="1" spans="1:6">
      <c r="A46" s="29" t="s">
        <v>27</v>
      </c>
      <c r="B46" s="29" t="s">
        <v>214</v>
      </c>
      <c r="C46" s="29" t="s">
        <v>515</v>
      </c>
      <c r="D46" s="29">
        <v>553691302</v>
      </c>
      <c r="E46" s="4">
        <f>VLOOKUP(D:D,代理人!E:AJ,30,0)</f>
        <v>0</v>
      </c>
      <c r="F46" s="4" t="str">
        <f>VLOOKUP(D:D,代理人!E:AK,31,0)</f>
        <v>凤台万传秀伙伴冲锋队缴费金额200元，目前预收价值0，预收拟返还0元，承保拟返还0元</v>
      </c>
    </row>
    <row r="47" ht="28" hidden="1" customHeight="1" spans="1:6">
      <c r="A47" s="29" t="s">
        <v>27</v>
      </c>
      <c r="B47" s="29" t="s">
        <v>37</v>
      </c>
      <c r="C47" s="29" t="s">
        <v>39</v>
      </c>
      <c r="D47" s="29">
        <v>68852502</v>
      </c>
      <c r="E47" s="4">
        <f>VLOOKUP(D:D,代理人!E:AJ,30,0)</f>
        <v>0</v>
      </c>
      <c r="F47" s="4" t="str">
        <f>VLOOKUP(D:D,代理人!E:AK,31,0)</f>
        <v>凤台胡本阁主管冲锋队缴费金额400元，目前预收价值4.6，预收拟返还0元，承保拟返还0元</v>
      </c>
    </row>
    <row r="48" ht="28" hidden="1" customHeight="1" spans="1:6">
      <c r="A48" s="29" t="s">
        <v>27</v>
      </c>
      <c r="B48" s="29" t="s">
        <v>37</v>
      </c>
      <c r="C48" s="29" t="s">
        <v>366</v>
      </c>
      <c r="D48" s="29">
        <v>6425025272</v>
      </c>
      <c r="E48" s="4">
        <f>VLOOKUP(D:D,代理人!E:AJ,30,0)</f>
        <v>0</v>
      </c>
      <c r="F48" s="4" t="str">
        <f>VLOOKUP(D:D,代理人!E:AK,31,0)</f>
        <v>凤台陈利萍伙伴冲锋队缴费金额200元，目前预收价值0，预收拟返还0元，承保拟返还0元</v>
      </c>
    </row>
    <row r="49" ht="28" hidden="1" customHeight="1" spans="1:6">
      <c r="A49" s="29" t="s">
        <v>27</v>
      </c>
      <c r="B49" s="29" t="s">
        <v>37</v>
      </c>
      <c r="C49" s="29" t="s">
        <v>368</v>
      </c>
      <c r="D49" s="29">
        <v>6424700762</v>
      </c>
      <c r="E49" s="4">
        <f>VLOOKUP(D:D,代理人!E:AJ,30,0)</f>
        <v>0</v>
      </c>
      <c r="F49" s="4" t="str">
        <f>VLOOKUP(D:D,代理人!E:AK,31,0)</f>
        <v>凤台孙艳伙伴冲锋队缴费金额200元，目前预收价值0，预收拟返还0元，承保拟返还0元</v>
      </c>
    </row>
    <row r="50" ht="28" hidden="1" customHeight="1" spans="1:6">
      <c r="A50" s="29" t="s">
        <v>27</v>
      </c>
      <c r="B50" s="29" t="s">
        <v>37</v>
      </c>
      <c r="C50" s="29" t="s">
        <v>347</v>
      </c>
      <c r="D50" s="29">
        <v>6438544552</v>
      </c>
      <c r="E50" s="4">
        <f>VLOOKUP(D:D,代理人!E:AJ,30,0)</f>
        <v>0</v>
      </c>
      <c r="F50" s="4" t="str">
        <f>VLOOKUP(D:D,代理人!E:AK,31,0)</f>
        <v>凤台彭丽杰伙伴冲锋队缴费金额200元，目前预收价值0，预收拟返还0元，承保拟返还0元</v>
      </c>
    </row>
    <row r="51" ht="28" hidden="1" customHeight="1" spans="1:6">
      <c r="A51" s="29" t="s">
        <v>27</v>
      </c>
      <c r="B51" s="29" t="s">
        <v>37</v>
      </c>
      <c r="C51" s="29" t="s">
        <v>227</v>
      </c>
      <c r="D51" s="29">
        <v>5323989142</v>
      </c>
      <c r="E51" s="4">
        <f>VLOOKUP(D:D,代理人!E:AJ,30,0)</f>
        <v>0</v>
      </c>
      <c r="F51" s="4" t="str">
        <f>VLOOKUP(D:D,代理人!E:AK,31,0)</f>
        <v>凤台李开梅主管冲锋队缴费金额200元，目前预收价值0，预收拟返还0元，承保拟返还0元</v>
      </c>
    </row>
    <row r="52" ht="28" hidden="1" customHeight="1" spans="1:6">
      <c r="A52" s="29" t="s">
        <v>27</v>
      </c>
      <c r="B52" s="29" t="s">
        <v>214</v>
      </c>
      <c r="C52" s="29" t="s">
        <v>266</v>
      </c>
      <c r="D52" s="29">
        <v>6579086682</v>
      </c>
      <c r="E52" s="4">
        <f>VLOOKUP(D:D,代理人!E:AJ,30,0)</f>
        <v>0</v>
      </c>
      <c r="F52" s="4" t="str">
        <f>VLOOKUP(D:D,代理人!E:AK,31,0)</f>
        <v>凤台谢丽伙伴冲锋队缴费金额200元，目前预收价值0，预收拟返还0元，承保拟返还0元</v>
      </c>
    </row>
    <row r="53" ht="28" hidden="1" customHeight="1" spans="1:6">
      <c r="A53" s="29" t="s">
        <v>27</v>
      </c>
      <c r="B53" s="29" t="s">
        <v>214</v>
      </c>
      <c r="C53" s="29" t="s">
        <v>297</v>
      </c>
      <c r="D53" s="29">
        <v>6549227922</v>
      </c>
      <c r="E53" s="4">
        <f>VLOOKUP(D:D,代理人!E:AJ,30,0)</f>
        <v>0</v>
      </c>
      <c r="F53" s="4" t="str">
        <f>VLOOKUP(D:D,代理人!E:AK,31,0)</f>
        <v>凤台黄玲伙伴冲锋队缴费金额200元，目前预收价值0，预收拟返还0元，承保拟返还0元</v>
      </c>
    </row>
    <row r="54" ht="28" hidden="1" customHeight="1" spans="1:6">
      <c r="A54" s="29" t="s">
        <v>27</v>
      </c>
      <c r="B54" s="29" t="s">
        <v>214</v>
      </c>
      <c r="C54" s="29" t="s">
        <v>221</v>
      </c>
      <c r="D54" s="29">
        <v>283558582</v>
      </c>
      <c r="E54" s="4">
        <f>VLOOKUP(D:D,代理人!E:AJ,30,0)</f>
        <v>0</v>
      </c>
      <c r="F54" s="4" t="str">
        <f>VLOOKUP(D:D,代理人!E:AK,31,0)</f>
        <v>凤台左颖主管冲锋队缴费金额200元，目前预收价值0，预收拟返还0元，承保拟返还0元</v>
      </c>
    </row>
    <row r="55" ht="28" hidden="1" customHeight="1" spans="1:6">
      <c r="A55" s="29" t="s">
        <v>27</v>
      </c>
      <c r="B55" s="29" t="s">
        <v>214</v>
      </c>
      <c r="C55" s="29" t="s">
        <v>453</v>
      </c>
      <c r="D55" s="29">
        <v>5829841442</v>
      </c>
      <c r="E55" s="4">
        <f>VLOOKUP(D:D,代理人!E:AJ,30,0)</f>
        <v>0</v>
      </c>
      <c r="F55" s="4" t="str">
        <f>VLOOKUP(D:D,代理人!E:AK,31,0)</f>
        <v>凤台缪侠伙伴冲锋队缴费金额200元，目前预收价值0，预收拟返还0元，承保拟返还0元</v>
      </c>
    </row>
    <row r="56" ht="28" hidden="1" customHeight="1" spans="1:6">
      <c r="A56" s="29" t="s">
        <v>27</v>
      </c>
      <c r="B56" s="29" t="s">
        <v>214</v>
      </c>
      <c r="C56" s="29" t="s">
        <v>106</v>
      </c>
      <c r="D56" s="29">
        <v>6550456242</v>
      </c>
      <c r="E56" s="4">
        <f>VLOOKUP(D:D,代理人!E:AJ,30,0)</f>
        <v>0</v>
      </c>
      <c r="F56" s="4" t="str">
        <f>VLOOKUP(D:D,代理人!E:AK,31,0)</f>
        <v>凤台郑皓月伙伴冲锋队缴费金额200元，目前预收价值0，预收拟返还0元，承保拟返还0元</v>
      </c>
    </row>
    <row r="57" ht="28" hidden="1" customHeight="1" spans="1:6">
      <c r="A57" s="29" t="s">
        <v>48</v>
      </c>
      <c r="B57" s="29" t="s">
        <v>49</v>
      </c>
      <c r="C57" s="29" t="s">
        <v>217</v>
      </c>
      <c r="D57" s="29">
        <v>51103872</v>
      </c>
      <c r="E57" s="4">
        <f>VLOOKUP(D:D,代理人!E:AJ,30,0)</f>
        <v>0</v>
      </c>
      <c r="F57" s="4" t="str">
        <f>VLOOKUP(D:D,代理人!E:AK,31,0)</f>
        <v>谢家集叶琳主管冲锋队缴费金额400元，目前预收价值0，预收拟返还0元，承保拟返还0元</v>
      </c>
    </row>
    <row r="58" ht="28" hidden="1" customHeight="1" spans="1:6">
      <c r="A58" s="29" t="s">
        <v>48</v>
      </c>
      <c r="B58" s="29" t="s">
        <v>49</v>
      </c>
      <c r="C58" s="29" t="s">
        <v>219</v>
      </c>
      <c r="D58" s="29">
        <v>5159113652</v>
      </c>
      <c r="E58" s="4">
        <f>VLOOKUP(D:D,代理人!E:AJ,30,0)</f>
        <v>0</v>
      </c>
      <c r="F58" s="4" t="str">
        <f>VLOOKUP(D:D,代理人!E:AK,31,0)</f>
        <v>谢家集陆彬主管冲锋队缴费金额400元，目前预收价值0，预收拟返还0元，承保拟返还0元</v>
      </c>
    </row>
    <row r="59" ht="28" hidden="1" customHeight="1" spans="1:6">
      <c r="A59" s="29" t="s">
        <v>48</v>
      </c>
      <c r="B59" s="29" t="s">
        <v>49</v>
      </c>
      <c r="C59" s="29" t="s">
        <v>426</v>
      </c>
      <c r="D59" s="29">
        <v>6173444452</v>
      </c>
      <c r="E59" s="4">
        <f>VLOOKUP(D:D,代理人!E:AJ,30,0)</f>
        <v>0</v>
      </c>
      <c r="F59" s="4" t="str">
        <f>VLOOKUP(D:D,代理人!E:AK,31,0)</f>
        <v>谢家集吴家美伙伴冲锋队缴费金额200元，目前预收价值0，预收拟返还0元，承保拟返还0元</v>
      </c>
    </row>
    <row r="60" ht="28" hidden="1" customHeight="1" spans="1:6">
      <c r="A60" s="29" t="s">
        <v>48</v>
      </c>
      <c r="B60" s="29" t="s">
        <v>49</v>
      </c>
      <c r="C60" s="29" t="s">
        <v>428</v>
      </c>
      <c r="D60" s="29">
        <v>6170483702</v>
      </c>
      <c r="E60" s="4">
        <f>VLOOKUP(D:D,代理人!E:AJ,30,0)</f>
        <v>0</v>
      </c>
      <c r="F60" s="4" t="str">
        <f>VLOOKUP(D:D,代理人!E:AK,31,0)</f>
        <v>谢家集陈榕华伙伴冲锋队缴费金额200元，目前预收价值0，预收拟返还0元，承保拟返还0元</v>
      </c>
    </row>
    <row r="61" ht="28" hidden="1" customHeight="1" spans="1:6">
      <c r="A61" s="29" t="s">
        <v>48</v>
      </c>
      <c r="B61" s="29" t="s">
        <v>49</v>
      </c>
      <c r="C61" s="29" t="s">
        <v>434</v>
      </c>
      <c r="D61" s="29">
        <v>6124158482</v>
      </c>
      <c r="E61" s="4">
        <f>VLOOKUP(D:D,代理人!E:AJ,30,0)</f>
        <v>0</v>
      </c>
      <c r="F61" s="4" t="str">
        <f>VLOOKUP(D:D,代理人!E:AK,31,0)</f>
        <v>谢家集马强伙伴冲锋队缴费金额200元，目前预收价值0，预收拟返还0元，承保拟返还0元</v>
      </c>
    </row>
    <row r="62" ht="28" hidden="1" customHeight="1" spans="1:6">
      <c r="A62" s="29" t="s">
        <v>48</v>
      </c>
      <c r="B62" s="29" t="s">
        <v>49</v>
      </c>
      <c r="C62" s="29" t="s">
        <v>400</v>
      </c>
      <c r="D62" s="29">
        <v>6328391532</v>
      </c>
      <c r="E62" s="4">
        <f>VLOOKUP(D:D,代理人!E:AJ,30,0)</f>
        <v>0</v>
      </c>
      <c r="F62" s="4" t="str">
        <f>VLOOKUP(D:D,代理人!E:AK,31,0)</f>
        <v>谢家集倪小平伙伴冲锋队缴费金额200元，目前预收价值0，预收拟返还0元，承保拟返还0元</v>
      </c>
    </row>
    <row r="63" ht="28" hidden="1" customHeight="1" spans="1:6">
      <c r="A63" s="29" t="s">
        <v>48</v>
      </c>
      <c r="B63" s="29" t="s">
        <v>49</v>
      </c>
      <c r="C63" s="29" t="s">
        <v>275</v>
      </c>
      <c r="D63" s="29">
        <v>6560423702</v>
      </c>
      <c r="E63" s="4">
        <f>VLOOKUP(D:D,代理人!E:AJ,30,0)</f>
        <v>0</v>
      </c>
      <c r="F63" s="4" t="str">
        <f>VLOOKUP(D:D,代理人!E:AK,31,0)</f>
        <v>谢家集单红侠伙伴冲锋队缴费金额200元，目前预收价值0，预收拟返还0元，承保拟返还0元</v>
      </c>
    </row>
    <row r="64" ht="28" hidden="1" customHeight="1" spans="1:6">
      <c r="A64" s="29" t="s">
        <v>48</v>
      </c>
      <c r="B64" s="29" t="s">
        <v>49</v>
      </c>
      <c r="C64" s="29" t="s">
        <v>465</v>
      </c>
      <c r="D64" s="29">
        <v>5793398452</v>
      </c>
      <c r="E64" s="4">
        <f>VLOOKUP(D:D,代理人!E:AJ,30,0)</f>
        <v>0</v>
      </c>
      <c r="F64" s="4" t="str">
        <f>VLOOKUP(D:D,代理人!E:AK,31,0)</f>
        <v>谢家集施燕群伙伴冲锋队缴费金额200元，目前预收价值0，预收拟返还0元，承保拟返还0元</v>
      </c>
    </row>
    <row r="65" ht="28" hidden="1" customHeight="1" spans="1:6">
      <c r="A65" s="29" t="s">
        <v>48</v>
      </c>
      <c r="B65" s="29" t="s">
        <v>49</v>
      </c>
      <c r="C65" s="29" t="s">
        <v>387</v>
      </c>
      <c r="D65" s="29">
        <v>6360574692</v>
      </c>
      <c r="E65" s="4">
        <f>VLOOKUP(D:D,代理人!E:AJ,30,0)</f>
        <v>0</v>
      </c>
      <c r="F65" s="4" t="str">
        <f>VLOOKUP(D:D,代理人!E:AK,31,0)</f>
        <v>谢家集吴怀兰伙伴冲锋队缴费金额200元，目前预收价值0，预收拟返还0元，承保拟返还0元</v>
      </c>
    </row>
    <row r="66" ht="28" hidden="1" customHeight="1" spans="1:6">
      <c r="A66" s="29" t="s">
        <v>48</v>
      </c>
      <c r="B66" s="29" t="s">
        <v>49</v>
      </c>
      <c r="C66" s="29" t="s">
        <v>282</v>
      </c>
      <c r="D66" s="29">
        <v>6556490182</v>
      </c>
      <c r="E66" s="4">
        <f>VLOOKUP(D:D,代理人!E:AJ,30,0)</f>
        <v>0</v>
      </c>
      <c r="F66" s="4" t="str">
        <f>VLOOKUP(D:D,代理人!E:AK,31,0)</f>
        <v>谢家集杨晶晶伙伴冲锋队缴费金额200元，目前预收价值0，预收拟返还0元，承保拟返还0元</v>
      </c>
    </row>
    <row r="67" ht="28" hidden="1" customHeight="1" spans="1:6">
      <c r="A67" s="29" t="s">
        <v>48</v>
      </c>
      <c r="B67" s="29" t="s">
        <v>49</v>
      </c>
      <c r="C67" s="29" t="s">
        <v>90</v>
      </c>
      <c r="D67" s="29">
        <v>6137982332</v>
      </c>
      <c r="E67" s="4">
        <f>VLOOKUP(D:D,代理人!E:AJ,30,0)</f>
        <v>0</v>
      </c>
      <c r="F67" s="4" t="str">
        <f>VLOOKUP(D:D,代理人!E:AK,31,0)</f>
        <v>谢家集樊琦伙伴冲锋队缴费金额200元，目前预收价值-45.8，预收拟返还0元，承保拟返还0元</v>
      </c>
    </row>
    <row r="68" ht="28" hidden="1" customHeight="1" spans="1:6">
      <c r="A68" s="29" t="s">
        <v>48</v>
      </c>
      <c r="B68" s="29" t="s">
        <v>49</v>
      </c>
      <c r="C68" s="29" t="s">
        <v>99</v>
      </c>
      <c r="D68" s="29">
        <v>6183615882</v>
      </c>
      <c r="E68" s="4">
        <f>VLOOKUP(D:D,代理人!E:AJ,30,0)</f>
        <v>0</v>
      </c>
      <c r="F68" s="4" t="str">
        <f>VLOOKUP(D:D,代理人!E:AK,31,0)</f>
        <v>谢家集王新雯伙伴冲锋队缴费金额200元，目前预收价值-128，预收拟返还0元，承保拟返还0元</v>
      </c>
    </row>
    <row r="69" ht="28" hidden="1" customHeight="1" spans="1:6">
      <c r="A69" s="29" t="s">
        <v>27</v>
      </c>
      <c r="B69" s="29" t="s">
        <v>214</v>
      </c>
      <c r="C69" s="29" t="s">
        <v>96</v>
      </c>
      <c r="D69" s="29">
        <v>480193632</v>
      </c>
      <c r="E69" s="4">
        <f>VLOOKUP(D:D,代理人!E:AJ,30,0)</f>
        <v>0</v>
      </c>
      <c r="F69" s="4" t="str">
        <f>VLOOKUP(D:D,代理人!E:AK,31,0)</f>
        <v>凤台缪玉玲伙伴冲锋队缴费金额200元，目前预收价值-231.3，预收拟返还0元，承保拟返还0元</v>
      </c>
    </row>
    <row r="70" ht="31.5" spans="1:6">
      <c r="A70" s="30" t="s">
        <v>538</v>
      </c>
      <c r="B70" s="31" t="str">
        <f>"本部目前已有"&amp;COUNTIFS(A:A,"本部",E:E,"&gt;0")&amp;"人预收获得开单有礼方案"</f>
        <v>本部目前已有3人预收获得开单有礼方案</v>
      </c>
      <c r="C70" s="32"/>
      <c r="D70" s="32"/>
      <c r="E70" s="32"/>
      <c r="F70" s="32"/>
    </row>
    <row r="71" ht="31.5" spans="1:6">
      <c r="A71" s="30" t="s">
        <v>539</v>
      </c>
      <c r="B71" s="31" t="str">
        <f>"凤台目前已有"&amp;COUNTIFS(A:A,"凤台",E:E,"&gt;0")&amp;"人预收获得开单有礼方案"</f>
        <v>凤台目前已有1人预收获得开单有礼方案</v>
      </c>
      <c r="C71" s="32"/>
      <c r="D71" s="32"/>
      <c r="E71" s="32"/>
      <c r="F71" s="32"/>
    </row>
    <row r="72" ht="31.5" spans="1:6">
      <c r="A72" s="30" t="s">
        <v>540</v>
      </c>
      <c r="B72" s="31" t="str">
        <f>"谢家集目前已有"&amp;COUNTIFS(A:A,"谢家集",E:E,"&gt;0")&amp;"人预收获得开单有礼方案"</f>
        <v>谢家集目前已有2人预收获得开单有礼方案</v>
      </c>
      <c r="C72" s="32"/>
      <c r="D72" s="32"/>
      <c r="E72" s="32"/>
      <c r="F72" s="32"/>
    </row>
  </sheetData>
  <autoFilter ref="A2:F72">
    <filterColumn colId="4">
      <filters blank="1">
        <filter val="1"/>
        <filter val="2"/>
      </filters>
    </filterColumn>
    <sortState ref="A2:F72">
      <sortCondition ref="E2" descending="1"/>
    </sortState>
    <extLst/>
  </autoFilter>
  <mergeCells count="1">
    <mergeCell ref="A1:F1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"/>
  <sheetViews>
    <sheetView workbookViewId="0">
      <selection activeCell="G3" sqref="G3"/>
    </sheetView>
  </sheetViews>
  <sheetFormatPr defaultColWidth="9" defaultRowHeight="13.5" outlineLevelRow="4" outlineLevelCol="4"/>
  <cols>
    <col min="1" max="5" width="37" customWidth="1"/>
  </cols>
  <sheetData>
    <row r="1" ht="80" customHeight="1" spans="1:5">
      <c r="A1" s="19" t="s">
        <v>548</v>
      </c>
      <c r="B1" s="19" t="s">
        <v>179</v>
      </c>
      <c r="C1" s="19" t="s">
        <v>549</v>
      </c>
      <c r="D1" s="19" t="s">
        <v>550</v>
      </c>
      <c r="E1" s="19" t="s">
        <v>551</v>
      </c>
    </row>
    <row r="2" ht="80" customHeight="1" spans="1:5">
      <c r="A2" s="20" t="s">
        <v>156</v>
      </c>
      <c r="B2" s="20">
        <v>128</v>
      </c>
      <c r="C2" s="20"/>
      <c r="D2" s="20"/>
      <c r="E2" s="21"/>
    </row>
    <row r="3" ht="80" customHeight="1" spans="1:5">
      <c r="A3" s="20" t="s">
        <v>27</v>
      </c>
      <c r="B3" s="20">
        <v>115</v>
      </c>
      <c r="C3" s="20"/>
      <c r="D3" s="20"/>
      <c r="E3" s="22"/>
    </row>
    <row r="4" ht="80" customHeight="1" spans="1:5">
      <c r="A4" s="20" t="s">
        <v>48</v>
      </c>
      <c r="B4" s="20">
        <v>59</v>
      </c>
      <c r="C4" s="20"/>
      <c r="D4" s="20"/>
      <c r="E4" s="21"/>
    </row>
    <row r="5" ht="80" customHeight="1" spans="1:5">
      <c r="A5" s="23" t="s">
        <v>192</v>
      </c>
      <c r="B5" s="23">
        <v>306</v>
      </c>
      <c r="C5" s="23"/>
      <c r="D5" s="23"/>
      <c r="E5" s="2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9" defaultRowHeight="13.5" outlineLevelCol="2"/>
  <cols>
    <col min="1" max="3" width="13.5"/>
    <col min="4" max="4" width="23.875"/>
    <col min="5" max="8" width="12.875"/>
    <col min="9" max="9" width="5.125"/>
  </cols>
  <sheetData>
    <row r="3" spans="1:3">
      <c r="A3" s="10"/>
      <c r="B3" s="11"/>
      <c r="C3" s="12"/>
    </row>
    <row r="4" spans="1:3">
      <c r="A4" s="13"/>
      <c r="B4" s="14"/>
      <c r="C4" s="15"/>
    </row>
    <row r="5" spans="1:3">
      <c r="A5" s="13"/>
      <c r="B5" s="14"/>
      <c r="C5" s="15"/>
    </row>
    <row r="6" spans="1:3">
      <c r="A6" s="13"/>
      <c r="B6" s="14"/>
      <c r="C6" s="15"/>
    </row>
    <row r="7" spans="1:3">
      <c r="A7" s="13"/>
      <c r="B7" s="14"/>
      <c r="C7" s="15"/>
    </row>
    <row r="8" spans="1:3">
      <c r="A8" s="13"/>
      <c r="B8" s="14"/>
      <c r="C8" s="15"/>
    </row>
    <row r="9" spans="1:3">
      <c r="A9" s="13"/>
      <c r="B9" s="14"/>
      <c r="C9" s="15"/>
    </row>
    <row r="10" spans="1:3">
      <c r="A10" s="13"/>
      <c r="B10" s="14"/>
      <c r="C10" s="15"/>
    </row>
    <row r="11" spans="1:3">
      <c r="A11" s="13"/>
      <c r="B11" s="14"/>
      <c r="C11" s="15"/>
    </row>
    <row r="12" spans="1:3">
      <c r="A12" s="13"/>
      <c r="B12" s="14"/>
      <c r="C12" s="15"/>
    </row>
    <row r="13" spans="1:3">
      <c r="A13" s="13"/>
      <c r="B13" s="14"/>
      <c r="C13" s="15"/>
    </row>
    <row r="14" spans="1:3">
      <c r="A14" s="13"/>
      <c r="B14" s="14"/>
      <c r="C14" s="15"/>
    </row>
    <row r="15" spans="1:3">
      <c r="A15" s="13"/>
      <c r="B15" s="14"/>
      <c r="C15" s="15"/>
    </row>
    <row r="16" spans="1:3">
      <c r="A16" s="13"/>
      <c r="B16" s="14"/>
      <c r="C16" s="15"/>
    </row>
    <row r="17" spans="1:3">
      <c r="A17" s="13"/>
      <c r="B17" s="14"/>
      <c r="C17" s="15"/>
    </row>
    <row r="18" spans="1:3">
      <c r="A18" s="13"/>
      <c r="B18" s="14"/>
      <c r="C18" s="15"/>
    </row>
    <row r="19" spans="1:3">
      <c r="A19" s="13"/>
      <c r="B19" s="14"/>
      <c r="C19" s="15"/>
    </row>
    <row r="20" spans="1:3">
      <c r="A20" s="16"/>
      <c r="B20" s="17"/>
      <c r="C20" s="18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1"/>
  </sheetPr>
  <dimension ref="A1:B10"/>
  <sheetViews>
    <sheetView workbookViewId="0">
      <selection activeCell="B3" sqref="B3"/>
    </sheetView>
  </sheetViews>
  <sheetFormatPr defaultColWidth="9" defaultRowHeight="13.5" outlineLevelCol="1"/>
  <cols>
    <col min="1" max="1" width="12.125" style="2" customWidth="1"/>
    <col min="2" max="2" width="87.125" customWidth="1"/>
  </cols>
  <sheetData>
    <row r="1" s="6" customFormat="1" spans="1:2">
      <c r="A1" s="7" t="s">
        <v>552</v>
      </c>
      <c r="B1" s="8" t="s">
        <v>553</v>
      </c>
    </row>
    <row r="2" s="6" customFormat="1" spans="1:2">
      <c r="A2" s="7" t="s">
        <v>554</v>
      </c>
      <c r="B2" s="8" t="s">
        <v>555</v>
      </c>
    </row>
    <row r="3" s="6" customFormat="1" spans="1:2">
      <c r="A3" s="7" t="s">
        <v>556</v>
      </c>
      <c r="B3" s="8" t="s">
        <v>557</v>
      </c>
    </row>
    <row r="8" spans="1:2">
      <c r="A8" s="2" t="s">
        <v>558</v>
      </c>
      <c r="B8" s="9"/>
    </row>
    <row r="9" spans="1:2">
      <c r="A9" s="2" t="s">
        <v>559</v>
      </c>
      <c r="B9" s="9"/>
    </row>
    <row r="10" spans="1:2">
      <c r="A10" s="2" t="s">
        <v>560</v>
      </c>
      <c r="B10" t="s">
        <v>561</v>
      </c>
    </row>
  </sheetData>
  <hyperlinks>
    <hyperlink ref="B1" r:id="rId1" display="http://10.25.2.2/rptapp/#main?id=8546135924535795498&amp;type=share" tooltip="http://10.25.2.2/rptapp/#main?id=8546135924535795498&amp;type=share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A1" sqref="A1:H68"/>
    </sheetView>
  </sheetViews>
  <sheetFormatPr defaultColWidth="9" defaultRowHeight="13.5" outlineLevelCol="7"/>
  <cols>
    <col min="1" max="3" width="22.25" customWidth="1"/>
    <col min="4" max="5" width="22.25" hidden="1" customWidth="1"/>
    <col min="6" max="6" width="22.25" customWidth="1"/>
    <col min="7" max="7" width="22.25" style="2" customWidth="1"/>
    <col min="8" max="8" width="22.25" style="3" customWidth="1"/>
  </cols>
  <sheetData>
    <row r="1" ht="15" spans="1:8">
      <c r="A1" s="4" t="s">
        <v>177</v>
      </c>
      <c r="B1" s="4" t="s">
        <v>532</v>
      </c>
      <c r="C1" s="4" t="s">
        <v>533</v>
      </c>
      <c r="D1" s="4" t="s">
        <v>534</v>
      </c>
      <c r="E1" s="4" t="s">
        <v>535</v>
      </c>
      <c r="F1" s="4" t="s">
        <v>562</v>
      </c>
      <c r="G1" s="4" t="s">
        <v>563</v>
      </c>
      <c r="H1" s="5" t="s">
        <v>564</v>
      </c>
    </row>
    <row r="2" ht="15" hidden="1" spans="1:8">
      <c r="A2" s="4" t="s">
        <v>213</v>
      </c>
      <c r="B2" s="4" t="s">
        <v>43</v>
      </c>
      <c r="C2" s="4" t="s">
        <v>220</v>
      </c>
      <c r="D2" s="4">
        <v>362775482</v>
      </c>
      <c r="E2" s="4">
        <v>200</v>
      </c>
      <c r="F2" s="4">
        <f>IF(E:E=400,10,5)</f>
        <v>5</v>
      </c>
      <c r="G2" s="4">
        <v>18</v>
      </c>
      <c r="H2" s="5">
        <f t="shared" ref="H2:H65" si="0">G2/F2</f>
        <v>3.6</v>
      </c>
    </row>
    <row r="3" ht="15" hidden="1" spans="1:8">
      <c r="A3" s="4" t="s">
        <v>213</v>
      </c>
      <c r="B3" s="4" t="s">
        <v>43</v>
      </c>
      <c r="C3" s="4" t="s">
        <v>71</v>
      </c>
      <c r="D3" s="4">
        <v>5689072702</v>
      </c>
      <c r="E3" s="4">
        <v>200</v>
      </c>
      <c r="F3" s="4">
        <f>IF(E:E=400,10,5)</f>
        <v>5</v>
      </c>
      <c r="G3" s="4">
        <v>15</v>
      </c>
      <c r="H3" s="5">
        <f t="shared" si="0"/>
        <v>3</v>
      </c>
    </row>
    <row r="4" ht="15" hidden="1" spans="1:8">
      <c r="A4" s="4" t="s">
        <v>213</v>
      </c>
      <c r="B4" s="4" t="s">
        <v>66</v>
      </c>
      <c r="C4" s="4" t="s">
        <v>68</v>
      </c>
      <c r="D4" s="4">
        <v>55996582</v>
      </c>
      <c r="E4" s="4">
        <v>200</v>
      </c>
      <c r="F4" s="4">
        <f>IF(E:E=400,10,5)</f>
        <v>5</v>
      </c>
      <c r="G4" s="4">
        <v>13</v>
      </c>
      <c r="H4" s="5">
        <f t="shared" si="0"/>
        <v>2.6</v>
      </c>
    </row>
    <row r="5" ht="15" hidden="1" spans="1:8">
      <c r="A5" s="4" t="s">
        <v>213</v>
      </c>
      <c r="B5" s="4" t="s">
        <v>62</v>
      </c>
      <c r="C5" s="4" t="s">
        <v>87</v>
      </c>
      <c r="D5" s="4">
        <v>214639732</v>
      </c>
      <c r="E5" s="4">
        <v>200</v>
      </c>
      <c r="F5" s="4">
        <f>IF(E:E=400,10,5)</f>
        <v>5</v>
      </c>
      <c r="G5" s="4">
        <v>10</v>
      </c>
      <c r="H5" s="5">
        <f t="shared" si="0"/>
        <v>2</v>
      </c>
    </row>
    <row r="6" ht="15" hidden="1" spans="1:8">
      <c r="A6" s="4" t="s">
        <v>213</v>
      </c>
      <c r="B6" s="4" t="s">
        <v>66</v>
      </c>
      <c r="C6" s="4" t="s">
        <v>485</v>
      </c>
      <c r="D6" s="4">
        <v>5495685512</v>
      </c>
      <c r="E6" s="4">
        <v>200</v>
      </c>
      <c r="F6" s="4">
        <f>IF(E:E=400,10,5)</f>
        <v>5</v>
      </c>
      <c r="G6" s="4">
        <v>8</v>
      </c>
      <c r="H6" s="5">
        <f t="shared" si="0"/>
        <v>1.6</v>
      </c>
    </row>
    <row r="7" ht="15" hidden="1" spans="1:8">
      <c r="A7" s="4" t="s">
        <v>213</v>
      </c>
      <c r="B7" s="4" t="s">
        <v>43</v>
      </c>
      <c r="C7" s="4" t="s">
        <v>45</v>
      </c>
      <c r="D7" s="4">
        <v>51108342</v>
      </c>
      <c r="E7" s="4">
        <v>200</v>
      </c>
      <c r="F7" s="4">
        <f>IF(E:E=400,10,5)</f>
        <v>5</v>
      </c>
      <c r="G7" s="4">
        <v>7</v>
      </c>
      <c r="H7" s="5">
        <f t="shared" si="0"/>
        <v>1.4</v>
      </c>
    </row>
    <row r="8" ht="15" hidden="1" spans="1:8">
      <c r="A8" s="4" t="s">
        <v>213</v>
      </c>
      <c r="B8" s="4" t="s">
        <v>43</v>
      </c>
      <c r="C8" s="4" t="s">
        <v>524</v>
      </c>
      <c r="D8" s="4">
        <v>164606852</v>
      </c>
      <c r="E8" s="4">
        <v>200</v>
      </c>
      <c r="F8" s="4">
        <f>IF(E:E=400,10,5)</f>
        <v>5</v>
      </c>
      <c r="G8" s="4">
        <v>7</v>
      </c>
      <c r="H8" s="5">
        <f t="shared" si="0"/>
        <v>1.4</v>
      </c>
    </row>
    <row r="9" ht="15" hidden="1" spans="1:8">
      <c r="A9" s="4" t="s">
        <v>213</v>
      </c>
      <c r="B9" s="4" t="s">
        <v>43</v>
      </c>
      <c r="C9" s="4" t="s">
        <v>76</v>
      </c>
      <c r="D9" s="4">
        <v>5671371552</v>
      </c>
      <c r="E9" s="4">
        <v>200</v>
      </c>
      <c r="F9" s="4">
        <f>IF(E:E=400,10,5)</f>
        <v>5</v>
      </c>
      <c r="G9" s="4">
        <v>6</v>
      </c>
      <c r="H9" s="5">
        <f t="shared" si="0"/>
        <v>1.2</v>
      </c>
    </row>
    <row r="10" ht="15" hidden="1" spans="1:8">
      <c r="A10" s="4" t="s">
        <v>213</v>
      </c>
      <c r="B10" s="4" t="s">
        <v>43</v>
      </c>
      <c r="C10" s="4" t="s">
        <v>528</v>
      </c>
      <c r="D10" s="4">
        <v>86051232</v>
      </c>
      <c r="E10" s="4">
        <v>200</v>
      </c>
      <c r="F10" s="4">
        <f>IF(E:E=400,10,5)</f>
        <v>5</v>
      </c>
      <c r="G10" s="4">
        <v>5</v>
      </c>
      <c r="H10" s="5">
        <f t="shared" si="0"/>
        <v>1</v>
      </c>
    </row>
    <row r="11" ht="15" hidden="1" spans="1:8">
      <c r="A11" s="4" t="s">
        <v>213</v>
      </c>
      <c r="B11" s="4" t="s">
        <v>62</v>
      </c>
      <c r="C11" s="4" t="s">
        <v>73</v>
      </c>
      <c r="D11" s="4">
        <v>6487584872</v>
      </c>
      <c r="E11" s="4">
        <v>200</v>
      </c>
      <c r="F11" s="4">
        <f>IF(E:E=400,10,5)</f>
        <v>5</v>
      </c>
      <c r="G11" s="4">
        <v>4</v>
      </c>
      <c r="H11" s="5">
        <f t="shared" si="0"/>
        <v>0.8</v>
      </c>
    </row>
    <row r="12" ht="15" hidden="1" spans="1:8">
      <c r="A12" s="4" t="s">
        <v>213</v>
      </c>
      <c r="B12" s="4" t="s">
        <v>62</v>
      </c>
      <c r="C12" s="4" t="s">
        <v>285</v>
      </c>
      <c r="D12" s="4">
        <v>6554680762</v>
      </c>
      <c r="E12" s="4">
        <v>200</v>
      </c>
      <c r="F12" s="4">
        <f>IF(E:E=400,10,5)</f>
        <v>5</v>
      </c>
      <c r="G12" s="4">
        <v>4</v>
      </c>
      <c r="H12" s="5">
        <f t="shared" si="0"/>
        <v>0.8</v>
      </c>
    </row>
    <row r="13" ht="15" hidden="1" spans="1:8">
      <c r="A13" s="4" t="s">
        <v>213</v>
      </c>
      <c r="B13" s="4" t="s">
        <v>62</v>
      </c>
      <c r="C13" s="4" t="s">
        <v>362</v>
      </c>
      <c r="D13" s="4">
        <v>6425876532</v>
      </c>
      <c r="E13" s="4">
        <v>200</v>
      </c>
      <c r="F13" s="4">
        <f>IF(E:E=400,10,5)</f>
        <v>5</v>
      </c>
      <c r="G13" s="4">
        <v>3</v>
      </c>
      <c r="H13" s="5">
        <f t="shared" si="0"/>
        <v>0.6</v>
      </c>
    </row>
    <row r="14" ht="15" hidden="1" spans="1:8">
      <c r="A14" s="4" t="s">
        <v>213</v>
      </c>
      <c r="B14" s="4" t="s">
        <v>62</v>
      </c>
      <c r="C14" s="4" t="s">
        <v>222</v>
      </c>
      <c r="D14" s="4">
        <v>5722340032</v>
      </c>
      <c r="E14" s="4">
        <v>200</v>
      </c>
      <c r="F14" s="4">
        <f>IF(E:E=400,10,5)</f>
        <v>5</v>
      </c>
      <c r="G14" s="4">
        <v>3</v>
      </c>
      <c r="H14" s="5">
        <f t="shared" si="0"/>
        <v>0.6</v>
      </c>
    </row>
    <row r="15" ht="15" hidden="1" spans="1:8">
      <c r="A15" s="4" t="s">
        <v>213</v>
      </c>
      <c r="B15" s="4" t="s">
        <v>62</v>
      </c>
      <c r="C15" s="4" t="s">
        <v>216</v>
      </c>
      <c r="D15" s="4">
        <v>6396788302</v>
      </c>
      <c r="E15" s="4">
        <v>200</v>
      </c>
      <c r="F15" s="4">
        <f>IF(E:E=400,10,5)</f>
        <v>5</v>
      </c>
      <c r="G15" s="4">
        <v>3</v>
      </c>
      <c r="H15" s="5">
        <f t="shared" si="0"/>
        <v>0.6</v>
      </c>
    </row>
    <row r="16" ht="15" hidden="1" spans="1:8">
      <c r="A16" s="4" t="s">
        <v>213</v>
      </c>
      <c r="B16" s="4" t="s">
        <v>62</v>
      </c>
      <c r="C16" s="4" t="s">
        <v>64</v>
      </c>
      <c r="D16" s="4">
        <v>6550500692</v>
      </c>
      <c r="E16" s="4">
        <v>200</v>
      </c>
      <c r="F16" s="4">
        <f>IF(E:E=400,10,5)</f>
        <v>5</v>
      </c>
      <c r="G16" s="4">
        <v>2</v>
      </c>
      <c r="H16" s="5">
        <f t="shared" si="0"/>
        <v>0.4</v>
      </c>
    </row>
    <row r="17" ht="15" hidden="1" spans="1:8">
      <c r="A17" s="4" t="s">
        <v>213</v>
      </c>
      <c r="B17" s="4" t="s">
        <v>62</v>
      </c>
      <c r="C17" s="4" t="s">
        <v>223</v>
      </c>
      <c r="D17" s="4">
        <v>5228523972</v>
      </c>
      <c r="E17" s="4">
        <v>200</v>
      </c>
      <c r="F17" s="4">
        <f>IF(E:E=400,10,5)</f>
        <v>5</v>
      </c>
      <c r="G17" s="4">
        <v>2</v>
      </c>
      <c r="H17" s="5">
        <f t="shared" si="0"/>
        <v>0.4</v>
      </c>
    </row>
    <row r="18" ht="15" hidden="1" spans="1:8">
      <c r="A18" s="4" t="s">
        <v>213</v>
      </c>
      <c r="B18" s="4" t="s">
        <v>62</v>
      </c>
      <c r="C18" s="4" t="s">
        <v>301</v>
      </c>
      <c r="D18" s="4">
        <v>6547493692</v>
      </c>
      <c r="E18" s="4">
        <v>200</v>
      </c>
      <c r="F18" s="4">
        <f>IF(E:E=400,10,5)</f>
        <v>5</v>
      </c>
      <c r="G18" s="4">
        <v>2</v>
      </c>
      <c r="H18" s="5">
        <f t="shared" si="0"/>
        <v>0.4</v>
      </c>
    </row>
    <row r="19" ht="15" hidden="1" spans="1:8">
      <c r="A19" s="4" t="s">
        <v>213</v>
      </c>
      <c r="B19" s="4" t="s">
        <v>62</v>
      </c>
      <c r="C19" s="4" t="s">
        <v>300</v>
      </c>
      <c r="D19" s="4">
        <v>6547517232</v>
      </c>
      <c r="E19" s="4">
        <v>200</v>
      </c>
      <c r="F19" s="4">
        <f>IF(E:E=400,10,5)</f>
        <v>5</v>
      </c>
      <c r="G19" s="4">
        <v>0</v>
      </c>
      <c r="H19" s="5">
        <f t="shared" si="0"/>
        <v>0</v>
      </c>
    </row>
    <row r="20" ht="15" hidden="1" spans="1:8">
      <c r="A20" s="4" t="s">
        <v>213</v>
      </c>
      <c r="B20" s="4" t="s">
        <v>62</v>
      </c>
      <c r="C20" s="4" t="s">
        <v>399</v>
      </c>
      <c r="D20" s="4">
        <v>6328797672</v>
      </c>
      <c r="E20" s="4">
        <v>200</v>
      </c>
      <c r="F20" s="4">
        <f>IF(E:E=400,10,5)</f>
        <v>5</v>
      </c>
      <c r="G20" s="4">
        <v>0</v>
      </c>
      <c r="H20" s="5">
        <f t="shared" si="0"/>
        <v>0</v>
      </c>
    </row>
    <row r="21" ht="15" hidden="1" spans="1:8">
      <c r="A21" s="4" t="s">
        <v>213</v>
      </c>
      <c r="B21" s="4" t="s">
        <v>62</v>
      </c>
      <c r="C21" s="4" t="s">
        <v>334</v>
      </c>
      <c r="D21" s="4">
        <v>6448088632</v>
      </c>
      <c r="E21" s="4">
        <v>200</v>
      </c>
      <c r="F21" s="4">
        <f>IF(E:E=400,10,5)</f>
        <v>5</v>
      </c>
      <c r="G21" s="4">
        <v>0</v>
      </c>
      <c r="H21" s="5">
        <f t="shared" si="0"/>
        <v>0</v>
      </c>
    </row>
    <row r="22" ht="15" hidden="1" spans="1:8">
      <c r="A22" s="4" t="s">
        <v>213</v>
      </c>
      <c r="B22" s="4" t="s">
        <v>43</v>
      </c>
      <c r="C22" s="4" t="s">
        <v>479</v>
      </c>
      <c r="D22" s="4">
        <v>5596364242</v>
      </c>
      <c r="E22" s="4">
        <v>200</v>
      </c>
      <c r="F22" s="4">
        <f>IF(E:E=400,10,5)</f>
        <v>5</v>
      </c>
      <c r="G22" s="4">
        <v>0</v>
      </c>
      <c r="H22" s="5">
        <f t="shared" si="0"/>
        <v>0</v>
      </c>
    </row>
    <row r="23" ht="15" hidden="1" spans="1:8">
      <c r="A23" s="4" t="s">
        <v>213</v>
      </c>
      <c r="B23" s="4" t="s">
        <v>62</v>
      </c>
      <c r="C23" s="4" t="s">
        <v>304</v>
      </c>
      <c r="D23" s="4">
        <v>6526885242</v>
      </c>
      <c r="E23" s="4">
        <v>200</v>
      </c>
      <c r="F23" s="4">
        <f>IF(E:E=400,10,5)</f>
        <v>5</v>
      </c>
      <c r="G23" s="4">
        <v>0</v>
      </c>
      <c r="H23" s="5">
        <f t="shared" si="0"/>
        <v>0</v>
      </c>
    </row>
    <row r="24" ht="15" hidden="1" spans="1:8">
      <c r="A24" s="4" t="s">
        <v>213</v>
      </c>
      <c r="B24" s="4" t="s">
        <v>62</v>
      </c>
      <c r="C24" s="4" t="s">
        <v>218</v>
      </c>
      <c r="D24" s="4">
        <v>6409592302</v>
      </c>
      <c r="E24" s="4">
        <v>200</v>
      </c>
      <c r="F24" s="4">
        <f>IF(E:E=400,10,5)</f>
        <v>5</v>
      </c>
      <c r="G24" s="4">
        <v>0</v>
      </c>
      <c r="H24" s="5">
        <f t="shared" si="0"/>
        <v>0</v>
      </c>
    </row>
    <row r="25" ht="15" hidden="1" spans="1:8">
      <c r="A25" s="4" t="s">
        <v>213</v>
      </c>
      <c r="B25" s="4" t="s">
        <v>43</v>
      </c>
      <c r="C25" s="4" t="s">
        <v>415</v>
      </c>
      <c r="D25" s="4">
        <v>6270653892</v>
      </c>
      <c r="E25" s="4">
        <v>200</v>
      </c>
      <c r="F25" s="4">
        <f>IF(E:E=400,10,5)</f>
        <v>5</v>
      </c>
      <c r="G25" s="4">
        <v>0</v>
      </c>
      <c r="H25" s="5">
        <f t="shared" si="0"/>
        <v>0</v>
      </c>
    </row>
    <row r="26" ht="15" hidden="1" spans="1:8">
      <c r="A26" s="4" t="s">
        <v>213</v>
      </c>
      <c r="B26" s="4" t="s">
        <v>62</v>
      </c>
      <c r="C26" s="4" t="s">
        <v>316</v>
      </c>
      <c r="D26" s="4">
        <v>6493243482</v>
      </c>
      <c r="E26" s="4">
        <v>200</v>
      </c>
      <c r="F26" s="4">
        <f>IF(E:E=400,10,5)</f>
        <v>5</v>
      </c>
      <c r="G26" s="4">
        <v>0</v>
      </c>
      <c r="H26" s="5">
        <f t="shared" si="0"/>
        <v>0</v>
      </c>
    </row>
    <row r="27" ht="15" hidden="1" spans="1:8">
      <c r="A27" s="4" t="s">
        <v>213</v>
      </c>
      <c r="B27" s="4" t="s">
        <v>62</v>
      </c>
      <c r="C27" s="4" t="s">
        <v>269</v>
      </c>
      <c r="D27" s="4">
        <v>6575257432</v>
      </c>
      <c r="E27" s="4">
        <v>200</v>
      </c>
      <c r="F27" s="4">
        <f>IF(E:E=400,10,5)</f>
        <v>5</v>
      </c>
      <c r="G27" s="4">
        <v>0</v>
      </c>
      <c r="H27" s="5">
        <f t="shared" si="0"/>
        <v>0</v>
      </c>
    </row>
    <row r="28" ht="15" hidden="1" spans="1:8">
      <c r="A28" s="4" t="s">
        <v>213</v>
      </c>
      <c r="B28" s="4" t="s">
        <v>43</v>
      </c>
      <c r="C28" s="4" t="s">
        <v>78</v>
      </c>
      <c r="D28" s="4">
        <v>430700742</v>
      </c>
      <c r="E28" s="4">
        <v>200</v>
      </c>
      <c r="F28" s="4">
        <f>IF(E:E=400,10,5)</f>
        <v>5</v>
      </c>
      <c r="G28" s="4">
        <v>0</v>
      </c>
      <c r="H28" s="5">
        <f t="shared" si="0"/>
        <v>0</v>
      </c>
    </row>
    <row r="29" ht="15" hidden="1" spans="1:8">
      <c r="A29" s="4" t="s">
        <v>27</v>
      </c>
      <c r="B29" s="4" t="s">
        <v>214</v>
      </c>
      <c r="C29" s="4" t="s">
        <v>266</v>
      </c>
      <c r="D29" s="4">
        <v>6579086682</v>
      </c>
      <c r="E29" s="4">
        <v>200</v>
      </c>
      <c r="F29" s="4">
        <f>IF(E:E=400,10,5)</f>
        <v>5</v>
      </c>
      <c r="G29" s="4">
        <v>9</v>
      </c>
      <c r="H29" s="5">
        <f t="shared" si="0"/>
        <v>1.8</v>
      </c>
    </row>
    <row r="30" ht="15" hidden="1" spans="1:8">
      <c r="A30" s="4" t="s">
        <v>27</v>
      </c>
      <c r="B30" s="4" t="s">
        <v>37</v>
      </c>
      <c r="C30" s="4" t="s">
        <v>366</v>
      </c>
      <c r="D30" s="4">
        <v>6425025272</v>
      </c>
      <c r="E30" s="4">
        <v>200</v>
      </c>
      <c r="F30" s="4">
        <f>IF(E:E=400,10,5)</f>
        <v>5</v>
      </c>
      <c r="G30" s="4">
        <v>5</v>
      </c>
      <c r="H30" s="5">
        <f t="shared" si="0"/>
        <v>1</v>
      </c>
    </row>
    <row r="31" ht="15" hidden="1" spans="1:8">
      <c r="A31" s="4" t="s">
        <v>27</v>
      </c>
      <c r="B31" s="4" t="s">
        <v>37</v>
      </c>
      <c r="C31" s="4" t="s">
        <v>368</v>
      </c>
      <c r="D31" s="4">
        <v>6424700762</v>
      </c>
      <c r="E31" s="4">
        <v>200</v>
      </c>
      <c r="F31" s="4">
        <f>IF(E:E=400,10,5)</f>
        <v>5</v>
      </c>
      <c r="G31" s="4">
        <v>5</v>
      </c>
      <c r="H31" s="5">
        <f t="shared" si="0"/>
        <v>1</v>
      </c>
    </row>
    <row r="32" ht="15" hidden="1" spans="1:8">
      <c r="A32" s="4" t="s">
        <v>27</v>
      </c>
      <c r="B32" s="4" t="s">
        <v>214</v>
      </c>
      <c r="C32" s="4" t="s">
        <v>54</v>
      </c>
      <c r="D32" s="4">
        <v>531925062</v>
      </c>
      <c r="E32" s="4">
        <v>200</v>
      </c>
      <c r="F32" s="4">
        <f>IF(E:E=400,10,5)</f>
        <v>5</v>
      </c>
      <c r="G32" s="4">
        <v>4</v>
      </c>
      <c r="H32" s="5">
        <f t="shared" si="0"/>
        <v>0.8</v>
      </c>
    </row>
    <row r="33" ht="15" hidden="1" spans="1:8">
      <c r="A33" s="4" t="s">
        <v>27</v>
      </c>
      <c r="B33" s="4" t="s">
        <v>28</v>
      </c>
      <c r="C33" s="4" t="s">
        <v>309</v>
      </c>
      <c r="D33" s="4">
        <v>6501704222</v>
      </c>
      <c r="E33" s="4">
        <v>200</v>
      </c>
      <c r="F33" s="4">
        <f>IF(E:E=400,10,5)</f>
        <v>5</v>
      </c>
      <c r="G33" s="4">
        <v>4</v>
      </c>
      <c r="H33" s="5">
        <f t="shared" si="0"/>
        <v>0.8</v>
      </c>
    </row>
    <row r="34" ht="15" hidden="1" spans="1:8">
      <c r="A34" s="4" t="s">
        <v>27</v>
      </c>
      <c r="B34" s="4" t="s">
        <v>214</v>
      </c>
      <c r="C34" s="4" t="s">
        <v>96</v>
      </c>
      <c r="D34" s="4">
        <v>480193632</v>
      </c>
      <c r="E34" s="4">
        <v>200</v>
      </c>
      <c r="F34" s="4">
        <f>IF(E:E=400,10,5)</f>
        <v>5</v>
      </c>
      <c r="G34" s="4">
        <v>4</v>
      </c>
      <c r="H34" s="5">
        <f t="shared" si="0"/>
        <v>0.8</v>
      </c>
    </row>
    <row r="35" ht="15" hidden="1" spans="1:8">
      <c r="A35" s="4" t="s">
        <v>27</v>
      </c>
      <c r="B35" s="4" t="s">
        <v>214</v>
      </c>
      <c r="C35" s="4" t="s">
        <v>60</v>
      </c>
      <c r="D35" s="4">
        <v>51137372</v>
      </c>
      <c r="E35" s="4">
        <v>200</v>
      </c>
      <c r="F35" s="4">
        <f>IF(E:E=400,10,5)</f>
        <v>5</v>
      </c>
      <c r="G35" s="4">
        <v>3</v>
      </c>
      <c r="H35" s="5">
        <f t="shared" si="0"/>
        <v>0.6</v>
      </c>
    </row>
    <row r="36" ht="15" hidden="1" spans="1:8">
      <c r="A36" s="4" t="s">
        <v>27</v>
      </c>
      <c r="B36" s="4" t="s">
        <v>214</v>
      </c>
      <c r="C36" s="4" t="s">
        <v>515</v>
      </c>
      <c r="D36" s="4">
        <v>553691302</v>
      </c>
      <c r="E36" s="4">
        <v>200</v>
      </c>
      <c r="F36" s="4">
        <f>IF(E:E=400,10,5)</f>
        <v>5</v>
      </c>
      <c r="G36" s="4">
        <v>3</v>
      </c>
      <c r="H36" s="5">
        <f t="shared" si="0"/>
        <v>0.6</v>
      </c>
    </row>
    <row r="37" ht="15" hidden="1" spans="1:8">
      <c r="A37" s="4" t="s">
        <v>27</v>
      </c>
      <c r="B37" s="4" t="s">
        <v>214</v>
      </c>
      <c r="C37" s="4" t="s">
        <v>297</v>
      </c>
      <c r="D37" s="4">
        <v>6549227922</v>
      </c>
      <c r="E37" s="4">
        <v>200</v>
      </c>
      <c r="F37" s="4">
        <f>IF(E:E=400,10,5)</f>
        <v>5</v>
      </c>
      <c r="G37" s="4">
        <v>2</v>
      </c>
      <c r="H37" s="5">
        <f t="shared" si="0"/>
        <v>0.4</v>
      </c>
    </row>
    <row r="38" ht="15" hidden="1" spans="1:8">
      <c r="A38" s="4" t="s">
        <v>27</v>
      </c>
      <c r="B38" s="4" t="s">
        <v>214</v>
      </c>
      <c r="C38" s="4" t="s">
        <v>526</v>
      </c>
      <c r="D38" s="4">
        <v>105176282</v>
      </c>
      <c r="E38" s="4">
        <v>200</v>
      </c>
      <c r="F38" s="4">
        <f>IF(E:E=400,10,5)</f>
        <v>5</v>
      </c>
      <c r="G38" s="4">
        <v>2</v>
      </c>
      <c r="H38" s="5">
        <f t="shared" si="0"/>
        <v>0.4</v>
      </c>
    </row>
    <row r="39" ht="15" hidden="1" spans="1:8">
      <c r="A39" s="4" t="s">
        <v>27</v>
      </c>
      <c r="B39" s="4" t="s">
        <v>37</v>
      </c>
      <c r="C39" s="4" t="s">
        <v>39</v>
      </c>
      <c r="D39" s="4">
        <v>68852502</v>
      </c>
      <c r="E39" s="4">
        <v>400</v>
      </c>
      <c r="F39" s="4">
        <f>IF(E:E=400,10,5)</f>
        <v>10</v>
      </c>
      <c r="G39" s="4">
        <v>3</v>
      </c>
      <c r="H39" s="5">
        <f t="shared" si="0"/>
        <v>0.3</v>
      </c>
    </row>
    <row r="40" ht="15" hidden="1" spans="1:8">
      <c r="A40" s="4" t="s">
        <v>27</v>
      </c>
      <c r="B40" s="4" t="s">
        <v>214</v>
      </c>
      <c r="C40" s="4" t="s">
        <v>453</v>
      </c>
      <c r="D40" s="4">
        <v>5829841442</v>
      </c>
      <c r="E40" s="4">
        <v>200</v>
      </c>
      <c r="F40" s="4">
        <f>IF(E:E=400,10,5)</f>
        <v>5</v>
      </c>
      <c r="G40" s="4">
        <v>1</v>
      </c>
      <c r="H40" s="5">
        <f t="shared" si="0"/>
        <v>0.2</v>
      </c>
    </row>
    <row r="41" ht="15" hidden="1" spans="1:8">
      <c r="A41" s="4" t="s">
        <v>27</v>
      </c>
      <c r="B41" s="4" t="s">
        <v>28</v>
      </c>
      <c r="C41" s="4" t="s">
        <v>264</v>
      </c>
      <c r="D41" s="4">
        <v>6578633392</v>
      </c>
      <c r="E41" s="4">
        <v>200</v>
      </c>
      <c r="F41" s="4">
        <f>IF(E:E=400,10,5)</f>
        <v>5</v>
      </c>
      <c r="G41" s="4">
        <v>1</v>
      </c>
      <c r="H41" s="5">
        <f t="shared" si="0"/>
        <v>0.2</v>
      </c>
    </row>
    <row r="42" ht="15" hidden="1" spans="1:8">
      <c r="A42" s="4" t="s">
        <v>27</v>
      </c>
      <c r="B42" s="4" t="s">
        <v>214</v>
      </c>
      <c r="C42" s="4" t="s">
        <v>106</v>
      </c>
      <c r="D42" s="4">
        <v>6550456242</v>
      </c>
      <c r="E42" s="4">
        <v>200</v>
      </c>
      <c r="F42" s="4">
        <f>IF(E:E=400,10,5)</f>
        <v>5</v>
      </c>
      <c r="G42" s="4">
        <v>1</v>
      </c>
      <c r="H42" s="5">
        <f t="shared" si="0"/>
        <v>0.2</v>
      </c>
    </row>
    <row r="43" ht="15" hidden="1" spans="1:8">
      <c r="A43" s="4" t="s">
        <v>27</v>
      </c>
      <c r="B43" s="4" t="s">
        <v>28</v>
      </c>
      <c r="C43" s="4" t="s">
        <v>79</v>
      </c>
      <c r="D43" s="4">
        <v>6554611872</v>
      </c>
      <c r="E43" s="4">
        <v>200</v>
      </c>
      <c r="F43" s="4">
        <f>IF(E:E=400,10,5)</f>
        <v>5</v>
      </c>
      <c r="G43" s="4">
        <v>0</v>
      </c>
      <c r="H43" s="5">
        <f t="shared" si="0"/>
        <v>0</v>
      </c>
    </row>
    <row r="44" ht="15" hidden="1" spans="1:8">
      <c r="A44" s="4" t="s">
        <v>27</v>
      </c>
      <c r="B44" s="4" t="s">
        <v>28</v>
      </c>
      <c r="C44" s="4" t="s">
        <v>30</v>
      </c>
      <c r="D44" s="4">
        <v>588442562</v>
      </c>
      <c r="E44" s="4">
        <v>400</v>
      </c>
      <c r="F44" s="4">
        <f>IF(E:E=400,10,5)</f>
        <v>10</v>
      </c>
      <c r="G44" s="4">
        <v>0</v>
      </c>
      <c r="H44" s="5">
        <f t="shared" si="0"/>
        <v>0</v>
      </c>
    </row>
    <row r="45" ht="15" hidden="1" spans="1:8">
      <c r="A45" s="4" t="s">
        <v>27</v>
      </c>
      <c r="B45" s="4" t="s">
        <v>28</v>
      </c>
      <c r="C45" s="4" t="s">
        <v>225</v>
      </c>
      <c r="D45" s="4">
        <v>6025005442</v>
      </c>
      <c r="E45" s="4">
        <v>200</v>
      </c>
      <c r="F45" s="4">
        <f>IF(E:E=400,10,5)</f>
        <v>5</v>
      </c>
      <c r="G45" s="4">
        <v>0</v>
      </c>
      <c r="H45" s="5">
        <f t="shared" si="0"/>
        <v>0</v>
      </c>
    </row>
    <row r="46" ht="15" hidden="1" spans="1:8">
      <c r="A46" s="4" t="s">
        <v>27</v>
      </c>
      <c r="B46" s="4" t="s">
        <v>37</v>
      </c>
      <c r="C46" s="4" t="s">
        <v>227</v>
      </c>
      <c r="D46" s="4">
        <v>5323989142</v>
      </c>
      <c r="E46" s="4">
        <v>200</v>
      </c>
      <c r="F46" s="4">
        <f>IF(E:E=400,10,5)</f>
        <v>5</v>
      </c>
      <c r="G46" s="4">
        <v>0</v>
      </c>
      <c r="H46" s="5">
        <f t="shared" si="0"/>
        <v>0</v>
      </c>
    </row>
    <row r="47" ht="15" hidden="1" spans="1:8">
      <c r="A47" s="4" t="s">
        <v>27</v>
      </c>
      <c r="B47" s="4" t="s">
        <v>28</v>
      </c>
      <c r="C47" s="4" t="s">
        <v>341</v>
      </c>
      <c r="D47" s="4">
        <v>6438319742</v>
      </c>
      <c r="E47" s="4">
        <v>200</v>
      </c>
      <c r="F47" s="4">
        <f>IF(E:E=400,10,5)</f>
        <v>5</v>
      </c>
      <c r="G47" s="4">
        <v>0</v>
      </c>
      <c r="H47" s="5">
        <f t="shared" si="0"/>
        <v>0</v>
      </c>
    </row>
    <row r="48" ht="15" hidden="1" spans="1:8">
      <c r="A48" s="4" t="s">
        <v>27</v>
      </c>
      <c r="B48" s="4" t="s">
        <v>37</v>
      </c>
      <c r="C48" s="4" t="s">
        <v>347</v>
      </c>
      <c r="D48" s="4">
        <v>6438544552</v>
      </c>
      <c r="E48" s="4">
        <v>200</v>
      </c>
      <c r="F48" s="4">
        <f>IF(E:E=400,10,5)</f>
        <v>5</v>
      </c>
      <c r="G48" s="4">
        <v>0</v>
      </c>
      <c r="H48" s="5">
        <f t="shared" si="0"/>
        <v>0</v>
      </c>
    </row>
    <row r="49" ht="15" hidden="1" spans="1:8">
      <c r="A49" s="4" t="s">
        <v>27</v>
      </c>
      <c r="B49" s="4" t="s">
        <v>28</v>
      </c>
      <c r="C49" s="4" t="s">
        <v>289</v>
      </c>
      <c r="D49" s="4">
        <v>6551184192</v>
      </c>
      <c r="E49" s="4">
        <v>200</v>
      </c>
      <c r="F49" s="4">
        <f>IF(E:E=400,10,5)</f>
        <v>5</v>
      </c>
      <c r="G49" s="4">
        <v>0</v>
      </c>
      <c r="H49" s="5">
        <f t="shared" si="0"/>
        <v>0</v>
      </c>
    </row>
    <row r="50" ht="15" hidden="1" spans="1:8">
      <c r="A50" s="4" t="s">
        <v>27</v>
      </c>
      <c r="B50" s="4" t="s">
        <v>28</v>
      </c>
      <c r="C50" s="4" t="s">
        <v>350</v>
      </c>
      <c r="D50" s="4">
        <v>6434509532</v>
      </c>
      <c r="E50" s="4">
        <v>200</v>
      </c>
      <c r="F50" s="4">
        <f>IF(E:E=400,10,5)</f>
        <v>5</v>
      </c>
      <c r="G50" s="4">
        <v>0</v>
      </c>
      <c r="H50" s="5">
        <f t="shared" si="0"/>
        <v>0</v>
      </c>
    </row>
    <row r="51" ht="15" hidden="1" spans="1:8">
      <c r="A51" s="4" t="s">
        <v>27</v>
      </c>
      <c r="B51" s="4" t="s">
        <v>214</v>
      </c>
      <c r="C51" s="4" t="s">
        <v>429</v>
      </c>
      <c r="D51" s="4">
        <v>6165252972</v>
      </c>
      <c r="E51" s="4">
        <v>200</v>
      </c>
      <c r="F51" s="4">
        <f>IF(E:E=400,10,5)</f>
        <v>5</v>
      </c>
      <c r="G51" s="4">
        <v>0</v>
      </c>
      <c r="H51" s="5">
        <f t="shared" si="0"/>
        <v>0</v>
      </c>
    </row>
    <row r="52" ht="15" hidden="1" spans="1:8">
      <c r="A52" s="4" t="s">
        <v>27</v>
      </c>
      <c r="B52" s="4" t="s">
        <v>214</v>
      </c>
      <c r="C52" s="4" t="s">
        <v>107</v>
      </c>
      <c r="D52" s="4">
        <v>484039162</v>
      </c>
      <c r="E52" s="4">
        <v>200</v>
      </c>
      <c r="F52" s="4">
        <f>IF(E:E=400,10,5)</f>
        <v>5</v>
      </c>
      <c r="G52" s="4">
        <v>0</v>
      </c>
      <c r="H52" s="5">
        <f t="shared" si="0"/>
        <v>0</v>
      </c>
    </row>
    <row r="53" ht="15" hidden="1" spans="1:8">
      <c r="A53" s="4" t="s">
        <v>27</v>
      </c>
      <c r="B53" s="4" t="s">
        <v>214</v>
      </c>
      <c r="C53" s="4" t="s">
        <v>221</v>
      </c>
      <c r="D53" s="4">
        <v>283558582</v>
      </c>
      <c r="E53" s="4">
        <v>200</v>
      </c>
      <c r="F53" s="4">
        <f>IF(E:E=400,10,5)</f>
        <v>5</v>
      </c>
      <c r="G53" s="4">
        <v>0</v>
      </c>
      <c r="H53" s="5">
        <f t="shared" si="0"/>
        <v>0</v>
      </c>
    </row>
    <row r="54" ht="15" spans="1:8">
      <c r="A54" s="4" t="s">
        <v>48</v>
      </c>
      <c r="B54" s="4" t="s">
        <v>49</v>
      </c>
      <c r="C54" s="4" t="s">
        <v>91</v>
      </c>
      <c r="D54" s="4">
        <v>157576102</v>
      </c>
      <c r="E54" s="4">
        <v>200</v>
      </c>
      <c r="F54" s="4">
        <f>IF(E:E=400,10,5)</f>
        <v>5</v>
      </c>
      <c r="G54" s="4">
        <v>21</v>
      </c>
      <c r="H54" s="5">
        <f t="shared" si="0"/>
        <v>4.2</v>
      </c>
    </row>
    <row r="55" ht="15" spans="1:8">
      <c r="A55" s="4" t="s">
        <v>48</v>
      </c>
      <c r="B55" s="4" t="s">
        <v>49</v>
      </c>
      <c r="C55" s="4" t="s">
        <v>275</v>
      </c>
      <c r="D55" s="4">
        <v>6560423702</v>
      </c>
      <c r="E55" s="4">
        <v>200</v>
      </c>
      <c r="F55" s="4">
        <f>IF(E:E=400,10,5)</f>
        <v>5</v>
      </c>
      <c r="G55" s="4">
        <v>15</v>
      </c>
      <c r="H55" s="5">
        <f t="shared" si="0"/>
        <v>3</v>
      </c>
    </row>
    <row r="56" ht="15" spans="1:8">
      <c r="A56" s="4" t="s">
        <v>48</v>
      </c>
      <c r="B56" s="4" t="s">
        <v>49</v>
      </c>
      <c r="C56" s="4" t="s">
        <v>387</v>
      </c>
      <c r="D56" s="4">
        <v>6360574692</v>
      </c>
      <c r="E56" s="4">
        <v>200</v>
      </c>
      <c r="F56" s="4">
        <f>IF(E:E=400,10,5)</f>
        <v>5</v>
      </c>
      <c r="G56" s="4">
        <v>14</v>
      </c>
      <c r="H56" s="5">
        <f t="shared" si="0"/>
        <v>2.8</v>
      </c>
    </row>
    <row r="57" ht="15" spans="1:8">
      <c r="A57" s="4" t="s">
        <v>48</v>
      </c>
      <c r="B57" s="4" t="s">
        <v>49</v>
      </c>
      <c r="C57" s="4" t="s">
        <v>83</v>
      </c>
      <c r="D57" s="4">
        <v>6549480842</v>
      </c>
      <c r="E57" s="4">
        <v>200</v>
      </c>
      <c r="F57" s="4">
        <f>IF(E:E=400,10,5)</f>
        <v>5</v>
      </c>
      <c r="G57" s="4">
        <v>13</v>
      </c>
      <c r="H57" s="5">
        <f t="shared" si="0"/>
        <v>2.6</v>
      </c>
    </row>
    <row r="58" ht="15" spans="1:8">
      <c r="A58" s="4" t="s">
        <v>48</v>
      </c>
      <c r="B58" s="4" t="s">
        <v>49</v>
      </c>
      <c r="C58" s="4" t="s">
        <v>99</v>
      </c>
      <c r="D58" s="4">
        <v>6183615882</v>
      </c>
      <c r="E58" s="4">
        <v>200</v>
      </c>
      <c r="F58" s="4">
        <f>IF(E:E=400,10,5)</f>
        <v>5</v>
      </c>
      <c r="G58" s="4">
        <v>13</v>
      </c>
      <c r="H58" s="5">
        <f t="shared" si="0"/>
        <v>2.6</v>
      </c>
    </row>
    <row r="59" ht="15" spans="1:8">
      <c r="A59" s="4" t="s">
        <v>48</v>
      </c>
      <c r="B59" s="4" t="s">
        <v>49</v>
      </c>
      <c r="C59" s="4" t="s">
        <v>428</v>
      </c>
      <c r="D59" s="4">
        <v>6170483702</v>
      </c>
      <c r="E59" s="4">
        <v>200</v>
      </c>
      <c r="F59" s="4">
        <f>IF(E:E=400,10,5)</f>
        <v>5</v>
      </c>
      <c r="G59" s="4">
        <v>11</v>
      </c>
      <c r="H59" s="5">
        <f t="shared" si="0"/>
        <v>2.2</v>
      </c>
    </row>
    <row r="60" ht="15" spans="1:8">
      <c r="A60" s="4" t="s">
        <v>48</v>
      </c>
      <c r="B60" s="4" t="s">
        <v>49</v>
      </c>
      <c r="C60" s="4" t="s">
        <v>90</v>
      </c>
      <c r="D60" s="4">
        <v>6137982332</v>
      </c>
      <c r="E60" s="4">
        <v>200</v>
      </c>
      <c r="F60" s="4">
        <f>IF(E:E=400,10,5)</f>
        <v>5</v>
      </c>
      <c r="G60" s="4">
        <v>11</v>
      </c>
      <c r="H60" s="5">
        <f t="shared" si="0"/>
        <v>2.2</v>
      </c>
    </row>
    <row r="61" ht="15" spans="1:8">
      <c r="A61" s="4" t="s">
        <v>48</v>
      </c>
      <c r="B61" s="4" t="s">
        <v>49</v>
      </c>
      <c r="C61" s="4" t="s">
        <v>434</v>
      </c>
      <c r="D61" s="4">
        <v>6124158482</v>
      </c>
      <c r="E61" s="4">
        <v>200</v>
      </c>
      <c r="F61" s="4">
        <f>IF(E:E=400,10,5)</f>
        <v>5</v>
      </c>
      <c r="G61" s="4">
        <v>10</v>
      </c>
      <c r="H61" s="5">
        <f t="shared" si="0"/>
        <v>2</v>
      </c>
    </row>
    <row r="62" ht="15" spans="1:8">
      <c r="A62" s="4" t="s">
        <v>48</v>
      </c>
      <c r="B62" s="4" t="s">
        <v>49</v>
      </c>
      <c r="C62" s="4" t="s">
        <v>465</v>
      </c>
      <c r="D62" s="4">
        <v>5793398452</v>
      </c>
      <c r="E62" s="4">
        <v>200</v>
      </c>
      <c r="F62" s="4">
        <f>IF(E:E=400,10,5)</f>
        <v>5</v>
      </c>
      <c r="G62" s="4">
        <v>10</v>
      </c>
      <c r="H62" s="5">
        <f t="shared" si="0"/>
        <v>2</v>
      </c>
    </row>
    <row r="63" ht="15" spans="1:8">
      <c r="A63" s="4" t="s">
        <v>48</v>
      </c>
      <c r="B63" s="4" t="s">
        <v>49</v>
      </c>
      <c r="C63" s="4" t="s">
        <v>426</v>
      </c>
      <c r="D63" s="4">
        <v>6173444452</v>
      </c>
      <c r="E63" s="4">
        <v>200</v>
      </c>
      <c r="F63" s="4">
        <f>IF(E:E=400,10,5)</f>
        <v>5</v>
      </c>
      <c r="G63" s="4">
        <v>10</v>
      </c>
      <c r="H63" s="5">
        <f t="shared" si="0"/>
        <v>2</v>
      </c>
    </row>
    <row r="64" ht="15" spans="1:8">
      <c r="A64" s="4" t="s">
        <v>48</v>
      </c>
      <c r="B64" s="4" t="s">
        <v>49</v>
      </c>
      <c r="C64" s="4" t="s">
        <v>219</v>
      </c>
      <c r="D64" s="4">
        <v>5159113652</v>
      </c>
      <c r="E64" s="4">
        <v>400</v>
      </c>
      <c r="F64" s="4">
        <f>IF(E:E=400,10,5)</f>
        <v>10</v>
      </c>
      <c r="G64" s="4">
        <v>15</v>
      </c>
      <c r="H64" s="5">
        <f t="shared" si="0"/>
        <v>1.5</v>
      </c>
    </row>
    <row r="65" ht="15" spans="1:8">
      <c r="A65" s="4" t="s">
        <v>48</v>
      </c>
      <c r="B65" s="4" t="s">
        <v>49</v>
      </c>
      <c r="C65" s="4" t="s">
        <v>104</v>
      </c>
      <c r="D65" s="4">
        <v>5449941392</v>
      </c>
      <c r="E65" s="4">
        <v>400</v>
      </c>
      <c r="F65" s="4">
        <f>IF(E:E=400,10,5)</f>
        <v>10</v>
      </c>
      <c r="G65" s="4">
        <v>14</v>
      </c>
      <c r="H65" s="5">
        <f t="shared" si="0"/>
        <v>1.4</v>
      </c>
    </row>
    <row r="66" ht="15" spans="1:8">
      <c r="A66" s="4" t="s">
        <v>48</v>
      </c>
      <c r="B66" s="4" t="s">
        <v>49</v>
      </c>
      <c r="C66" s="4" t="s">
        <v>217</v>
      </c>
      <c r="D66" s="4">
        <v>51103872</v>
      </c>
      <c r="E66" s="4">
        <v>400</v>
      </c>
      <c r="F66" s="4">
        <f>IF(E:E=400,10,5)</f>
        <v>10</v>
      </c>
      <c r="G66" s="4">
        <v>14</v>
      </c>
      <c r="H66" s="5">
        <f>G66/F66</f>
        <v>1.4</v>
      </c>
    </row>
    <row r="67" ht="15" spans="1:8">
      <c r="A67" s="4" t="s">
        <v>48</v>
      </c>
      <c r="B67" s="4" t="s">
        <v>49</v>
      </c>
      <c r="C67" s="4" t="s">
        <v>400</v>
      </c>
      <c r="D67" s="4">
        <v>6328391532</v>
      </c>
      <c r="E67" s="4">
        <v>200</v>
      </c>
      <c r="F67" s="4">
        <f>IF(E:E=400,10,5)</f>
        <v>5</v>
      </c>
      <c r="G67" s="4">
        <v>6</v>
      </c>
      <c r="H67" s="5">
        <f>G67/F67</f>
        <v>1.2</v>
      </c>
    </row>
    <row r="68" ht="15" spans="1:8">
      <c r="A68" s="4" t="s">
        <v>48</v>
      </c>
      <c r="B68" s="4" t="s">
        <v>49</v>
      </c>
      <c r="C68" s="4" t="s">
        <v>282</v>
      </c>
      <c r="D68" s="4">
        <v>6556490182</v>
      </c>
      <c r="E68" s="4">
        <v>200</v>
      </c>
      <c r="F68" s="4">
        <f>IF(E:E=400,10,5)</f>
        <v>5</v>
      </c>
      <c r="G68" s="4">
        <v>1</v>
      </c>
      <c r="H68" s="5">
        <f>G68/F68</f>
        <v>0.2</v>
      </c>
    </row>
  </sheetData>
  <pageMargins left="0.75" right="0.75" top="1" bottom="1" header="0.5" footer="0.5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11"/>
  <sheetViews>
    <sheetView topLeftCell="K1" workbookViewId="0">
      <selection activeCell="A1" sqref="A1:AV111"/>
    </sheetView>
  </sheetViews>
  <sheetFormatPr defaultColWidth="9" defaultRowHeight="13.5"/>
  <sheetData>
    <row r="1" spans="1:37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0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</v>
      </c>
      <c r="M1" t="s">
        <v>123</v>
      </c>
      <c r="N1" t="s">
        <v>2</v>
      </c>
      <c r="O1" t="s">
        <v>124</v>
      </c>
      <c r="P1" t="s">
        <v>3</v>
      </c>
      <c r="Q1" t="s">
        <v>4</v>
      </c>
      <c r="R1" t="s">
        <v>125</v>
      </c>
      <c r="S1" t="s">
        <v>126</v>
      </c>
      <c r="T1" t="s">
        <v>127</v>
      </c>
      <c r="U1" t="s">
        <v>565</v>
      </c>
      <c r="V1" t="s">
        <v>566</v>
      </c>
      <c r="W1" t="s">
        <v>128</v>
      </c>
      <c r="X1" t="s">
        <v>132</v>
      </c>
      <c r="Y1" t="s">
        <v>133</v>
      </c>
      <c r="Z1" t="s">
        <v>134</v>
      </c>
      <c r="AA1" t="s">
        <v>135</v>
      </c>
      <c r="AB1" t="s">
        <v>567</v>
      </c>
      <c r="AC1" t="s">
        <v>568</v>
      </c>
      <c r="AD1" t="s">
        <v>569</v>
      </c>
      <c r="AE1" t="s">
        <v>570</v>
      </c>
      <c r="AF1" t="s">
        <v>571</v>
      </c>
      <c r="AG1" t="s">
        <v>572</v>
      </c>
      <c r="AH1" t="s">
        <v>573</v>
      </c>
      <c r="AI1" t="s">
        <v>574</v>
      </c>
      <c r="AJ1" t="s">
        <v>575</v>
      </c>
      <c r="AK1" t="s">
        <v>576</v>
      </c>
    </row>
    <row r="2" spans="1:13">
      <c r="A2" t="s">
        <v>577</v>
      </c>
      <c r="B2" t="s">
        <v>578</v>
      </c>
      <c r="C2" t="s">
        <v>579</v>
      </c>
      <c r="D2" t="s">
        <v>580</v>
      </c>
      <c r="E2" t="s">
        <v>581</v>
      </c>
      <c r="F2" t="s">
        <v>582</v>
      </c>
      <c r="G2" t="s">
        <v>583</v>
      </c>
      <c r="H2" t="s">
        <v>584</v>
      </c>
      <c r="I2" t="s">
        <v>585</v>
      </c>
      <c r="J2" t="s">
        <v>586</v>
      </c>
      <c r="K2" t="s">
        <v>587</v>
      </c>
      <c r="L2" t="s">
        <v>588</v>
      </c>
      <c r="M2" t="s">
        <v>581</v>
      </c>
    </row>
    <row r="3" spans="1:48">
      <c r="A3">
        <v>119</v>
      </c>
      <c r="B3" t="s">
        <v>154</v>
      </c>
      <c r="C3">
        <v>11901</v>
      </c>
      <c r="D3" t="s">
        <v>155</v>
      </c>
      <c r="E3">
        <v>1190100</v>
      </c>
      <c r="F3" t="s">
        <v>42</v>
      </c>
      <c r="G3">
        <v>119010000</v>
      </c>
      <c r="H3" t="s">
        <v>156</v>
      </c>
      <c r="I3">
        <v>2473</v>
      </c>
      <c r="J3" t="s">
        <v>157</v>
      </c>
      <c r="K3">
        <v>247321</v>
      </c>
      <c r="L3" t="s">
        <v>62</v>
      </c>
      <c r="M3">
        <v>24732101</v>
      </c>
      <c r="N3" t="s">
        <v>86</v>
      </c>
      <c r="O3">
        <v>801323030</v>
      </c>
      <c r="P3" t="s">
        <v>399</v>
      </c>
      <c r="Q3">
        <v>6328797672</v>
      </c>
      <c r="R3">
        <v>2</v>
      </c>
      <c r="S3" t="s">
        <v>168</v>
      </c>
      <c r="T3" s="1">
        <v>29418</v>
      </c>
      <c r="U3" s="1">
        <v>43887</v>
      </c>
      <c r="W3" t="s">
        <v>159</v>
      </c>
      <c r="X3" t="s">
        <v>160</v>
      </c>
      <c r="Y3">
        <v>4</v>
      </c>
      <c r="Z3" t="s">
        <v>161</v>
      </c>
      <c r="AA3" t="s">
        <v>162</v>
      </c>
      <c r="AB3" t="s">
        <v>32</v>
      </c>
      <c r="AC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V3">
        <v>1</v>
      </c>
    </row>
    <row r="4" spans="1:48">
      <c r="A4">
        <v>119</v>
      </c>
      <c r="B4" t="s">
        <v>154</v>
      </c>
      <c r="C4">
        <v>11901</v>
      </c>
      <c r="D4" t="s">
        <v>155</v>
      </c>
      <c r="E4">
        <v>1190101</v>
      </c>
      <c r="F4" t="s">
        <v>27</v>
      </c>
      <c r="G4">
        <v>119010101</v>
      </c>
      <c r="H4" t="s">
        <v>27</v>
      </c>
      <c r="I4">
        <v>2225</v>
      </c>
      <c r="J4" t="s">
        <v>169</v>
      </c>
      <c r="K4">
        <v>222523</v>
      </c>
      <c r="L4" t="s">
        <v>28</v>
      </c>
      <c r="M4">
        <v>22252301</v>
      </c>
      <c r="N4" t="s">
        <v>29</v>
      </c>
      <c r="O4">
        <v>801318295</v>
      </c>
      <c r="P4" t="s">
        <v>402</v>
      </c>
      <c r="Q4">
        <v>6324163412</v>
      </c>
      <c r="R4">
        <v>1</v>
      </c>
      <c r="S4" t="s">
        <v>158</v>
      </c>
      <c r="T4" s="1">
        <v>34949</v>
      </c>
      <c r="U4" s="1">
        <v>43887</v>
      </c>
      <c r="W4" t="s">
        <v>159</v>
      </c>
      <c r="X4" t="s">
        <v>160</v>
      </c>
      <c r="Y4">
        <v>7</v>
      </c>
      <c r="Z4" t="s">
        <v>170</v>
      </c>
      <c r="AA4" t="s">
        <v>162</v>
      </c>
      <c r="AB4" t="s">
        <v>32</v>
      </c>
      <c r="AC4">
        <v>1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V4">
        <v>1</v>
      </c>
    </row>
    <row r="5" spans="1:48">
      <c r="A5">
        <v>119</v>
      </c>
      <c r="B5" t="s">
        <v>154</v>
      </c>
      <c r="C5">
        <v>11901</v>
      </c>
      <c r="D5" t="s">
        <v>155</v>
      </c>
      <c r="E5">
        <v>1190100</v>
      </c>
      <c r="F5" t="s">
        <v>42</v>
      </c>
      <c r="G5">
        <v>119010000</v>
      </c>
      <c r="H5" t="s">
        <v>156</v>
      </c>
      <c r="I5">
        <v>2473</v>
      </c>
      <c r="J5" t="s">
        <v>157</v>
      </c>
      <c r="K5">
        <v>247320</v>
      </c>
      <c r="L5" t="s">
        <v>43</v>
      </c>
      <c r="M5">
        <v>24732001</v>
      </c>
      <c r="N5" t="s">
        <v>44</v>
      </c>
      <c r="O5">
        <v>19565512</v>
      </c>
      <c r="P5" t="s">
        <v>524</v>
      </c>
      <c r="Q5">
        <v>164606852</v>
      </c>
      <c r="R5">
        <v>2</v>
      </c>
      <c r="S5" t="s">
        <v>168</v>
      </c>
      <c r="T5" s="1">
        <v>23251</v>
      </c>
      <c r="U5" s="1">
        <v>39326</v>
      </c>
      <c r="W5" t="s">
        <v>159</v>
      </c>
      <c r="X5" t="s">
        <v>160</v>
      </c>
      <c r="Y5">
        <v>5</v>
      </c>
      <c r="Z5" t="s">
        <v>171</v>
      </c>
      <c r="AA5" t="s">
        <v>162</v>
      </c>
      <c r="AB5" t="s">
        <v>32</v>
      </c>
      <c r="AC5">
        <v>5</v>
      </c>
      <c r="AD5">
        <v>2</v>
      </c>
      <c r="AE5">
        <v>7</v>
      </c>
      <c r="AF5">
        <v>13</v>
      </c>
      <c r="AG5">
        <v>5</v>
      </c>
      <c r="AH5">
        <v>4</v>
      </c>
      <c r="AI5">
        <v>0</v>
      </c>
      <c r="AJ5">
        <v>0</v>
      </c>
      <c r="AK5">
        <v>4</v>
      </c>
      <c r="AL5">
        <v>2</v>
      </c>
      <c r="AM5">
        <v>1</v>
      </c>
      <c r="AN5">
        <v>3</v>
      </c>
      <c r="AO5">
        <v>1</v>
      </c>
      <c r="AP5">
        <v>0</v>
      </c>
      <c r="AQ5">
        <v>1</v>
      </c>
      <c r="AR5">
        <v>0</v>
      </c>
      <c r="AS5">
        <v>0</v>
      </c>
      <c r="AT5">
        <v>5</v>
      </c>
      <c r="AV5">
        <v>5</v>
      </c>
    </row>
    <row r="6" spans="1:48">
      <c r="A6">
        <v>119</v>
      </c>
      <c r="B6" t="s">
        <v>154</v>
      </c>
      <c r="C6">
        <v>11901</v>
      </c>
      <c r="D6" t="s">
        <v>155</v>
      </c>
      <c r="E6">
        <v>1190100</v>
      </c>
      <c r="F6" t="s">
        <v>42</v>
      </c>
      <c r="G6">
        <v>119010000</v>
      </c>
      <c r="H6" t="s">
        <v>156</v>
      </c>
      <c r="I6">
        <v>2473</v>
      </c>
      <c r="J6" t="s">
        <v>157</v>
      </c>
      <c r="K6">
        <v>247319</v>
      </c>
      <c r="L6" t="s">
        <v>66</v>
      </c>
      <c r="M6">
        <v>24731901</v>
      </c>
      <c r="N6" t="s">
        <v>343</v>
      </c>
      <c r="O6">
        <v>800122388</v>
      </c>
      <c r="P6" t="s">
        <v>498</v>
      </c>
      <c r="Q6">
        <v>5118165112</v>
      </c>
      <c r="R6">
        <v>10</v>
      </c>
      <c r="S6" t="s">
        <v>174</v>
      </c>
      <c r="T6" s="1">
        <v>31736</v>
      </c>
      <c r="U6" s="1">
        <v>42468</v>
      </c>
      <c r="W6" t="s">
        <v>159</v>
      </c>
      <c r="X6" t="s">
        <v>160</v>
      </c>
      <c r="Y6">
        <v>7</v>
      </c>
      <c r="Z6" t="s">
        <v>170</v>
      </c>
      <c r="AA6" t="s">
        <v>162</v>
      </c>
      <c r="AB6" t="s">
        <v>32</v>
      </c>
      <c r="AC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V6">
        <v>1</v>
      </c>
    </row>
    <row r="7" spans="1:48">
      <c r="A7">
        <v>119</v>
      </c>
      <c r="B7" t="s">
        <v>154</v>
      </c>
      <c r="C7">
        <v>11901</v>
      </c>
      <c r="D7" t="s">
        <v>155</v>
      </c>
      <c r="E7">
        <v>1190100</v>
      </c>
      <c r="F7" t="s">
        <v>42</v>
      </c>
      <c r="G7">
        <v>119010000</v>
      </c>
      <c r="H7" t="s">
        <v>156</v>
      </c>
      <c r="I7">
        <v>2473</v>
      </c>
      <c r="J7" t="s">
        <v>157</v>
      </c>
      <c r="K7">
        <v>247321</v>
      </c>
      <c r="L7" t="s">
        <v>62</v>
      </c>
      <c r="M7">
        <v>24732101</v>
      </c>
      <c r="N7" t="s">
        <v>86</v>
      </c>
      <c r="O7">
        <v>205437992</v>
      </c>
      <c r="P7" t="s">
        <v>89</v>
      </c>
      <c r="Q7">
        <v>584648952</v>
      </c>
      <c r="R7">
        <v>2</v>
      </c>
      <c r="S7" t="s">
        <v>168</v>
      </c>
      <c r="T7" s="1">
        <v>31199</v>
      </c>
      <c r="U7" s="1">
        <v>41596</v>
      </c>
      <c r="W7" t="s">
        <v>159</v>
      </c>
      <c r="X7" t="s">
        <v>160</v>
      </c>
      <c r="Y7">
        <v>4</v>
      </c>
      <c r="Z7" t="s">
        <v>161</v>
      </c>
      <c r="AA7" t="s">
        <v>162</v>
      </c>
      <c r="AB7" t="s">
        <v>32</v>
      </c>
      <c r="AC7">
        <v>1</v>
      </c>
      <c r="AD7">
        <v>1</v>
      </c>
      <c r="AE7">
        <v>2</v>
      </c>
      <c r="AF7">
        <v>4</v>
      </c>
      <c r="AG7">
        <v>0</v>
      </c>
      <c r="AH7">
        <v>2</v>
      </c>
      <c r="AI7">
        <v>2</v>
      </c>
      <c r="AJ7">
        <v>0</v>
      </c>
      <c r="AK7">
        <v>0</v>
      </c>
      <c r="AL7">
        <v>0</v>
      </c>
      <c r="AM7">
        <v>0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V7">
        <v>1</v>
      </c>
    </row>
    <row r="8" spans="1:48">
      <c r="A8">
        <v>119</v>
      </c>
      <c r="B8" t="s">
        <v>154</v>
      </c>
      <c r="C8">
        <v>11901</v>
      </c>
      <c r="D8" t="s">
        <v>155</v>
      </c>
      <c r="E8">
        <v>1190101</v>
      </c>
      <c r="F8" t="s">
        <v>27</v>
      </c>
      <c r="G8">
        <v>119010101</v>
      </c>
      <c r="H8" t="s">
        <v>27</v>
      </c>
      <c r="I8">
        <v>2225</v>
      </c>
      <c r="J8" t="s">
        <v>169</v>
      </c>
      <c r="K8">
        <v>222522</v>
      </c>
      <c r="L8" t="s">
        <v>100</v>
      </c>
      <c r="M8">
        <v>22252201</v>
      </c>
      <c r="N8" t="s">
        <v>101</v>
      </c>
      <c r="O8">
        <v>6722378</v>
      </c>
      <c r="P8" t="s">
        <v>102</v>
      </c>
      <c r="Q8">
        <v>61598022</v>
      </c>
      <c r="R8">
        <v>2</v>
      </c>
      <c r="S8" t="s">
        <v>168</v>
      </c>
      <c r="T8" s="1">
        <v>25984</v>
      </c>
      <c r="U8" s="1">
        <v>38626</v>
      </c>
      <c r="W8" t="s">
        <v>159</v>
      </c>
      <c r="X8" t="s">
        <v>160</v>
      </c>
      <c r="Y8">
        <v>7</v>
      </c>
      <c r="Z8" t="s">
        <v>170</v>
      </c>
      <c r="AA8" t="s">
        <v>162</v>
      </c>
      <c r="AB8" t="s">
        <v>32</v>
      </c>
      <c r="AC8">
        <v>1</v>
      </c>
      <c r="AE8">
        <v>0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V8">
        <v>1</v>
      </c>
    </row>
    <row r="9" spans="1:48">
      <c r="A9">
        <v>119</v>
      </c>
      <c r="B9" t="s">
        <v>154</v>
      </c>
      <c r="C9">
        <v>11901</v>
      </c>
      <c r="D9" t="s">
        <v>155</v>
      </c>
      <c r="E9">
        <v>1190101</v>
      </c>
      <c r="F9" t="s">
        <v>27</v>
      </c>
      <c r="G9">
        <v>119010101</v>
      </c>
      <c r="H9" t="s">
        <v>27</v>
      </c>
      <c r="I9">
        <v>2225</v>
      </c>
      <c r="J9" t="s">
        <v>169</v>
      </c>
      <c r="K9">
        <v>222522</v>
      </c>
      <c r="L9" t="s">
        <v>100</v>
      </c>
      <c r="M9">
        <v>22252201</v>
      </c>
      <c r="N9" t="s">
        <v>101</v>
      </c>
      <c r="O9">
        <v>30731084</v>
      </c>
      <c r="P9" t="s">
        <v>221</v>
      </c>
      <c r="Q9">
        <v>283558582</v>
      </c>
      <c r="R9">
        <v>3</v>
      </c>
      <c r="S9" t="s">
        <v>165</v>
      </c>
      <c r="T9" s="1">
        <v>26538</v>
      </c>
      <c r="U9" s="1">
        <v>39873</v>
      </c>
      <c r="W9" t="s">
        <v>159</v>
      </c>
      <c r="X9" t="s">
        <v>160</v>
      </c>
      <c r="Y9">
        <v>8</v>
      </c>
      <c r="Z9" t="s">
        <v>175</v>
      </c>
      <c r="AA9" t="s">
        <v>162</v>
      </c>
      <c r="AB9" t="s">
        <v>32</v>
      </c>
      <c r="AC9">
        <v>1</v>
      </c>
      <c r="AD9">
        <v>1</v>
      </c>
      <c r="AE9">
        <v>0</v>
      </c>
      <c r="AF9">
        <v>7</v>
      </c>
      <c r="AG9">
        <v>0</v>
      </c>
      <c r="AH9">
        <v>7</v>
      </c>
      <c r="AI9">
        <v>0</v>
      </c>
      <c r="AJ9">
        <v>0</v>
      </c>
      <c r="AK9">
        <v>0</v>
      </c>
      <c r="AL9">
        <v>0</v>
      </c>
      <c r="AM9">
        <v>0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V9">
        <v>1</v>
      </c>
    </row>
    <row r="10" spans="1:48">
      <c r="A10">
        <v>119</v>
      </c>
      <c r="B10" t="s">
        <v>154</v>
      </c>
      <c r="C10">
        <v>11901</v>
      </c>
      <c r="D10" t="s">
        <v>155</v>
      </c>
      <c r="E10">
        <v>1190101</v>
      </c>
      <c r="F10" t="s">
        <v>27</v>
      </c>
      <c r="G10">
        <v>119010101</v>
      </c>
      <c r="H10" t="s">
        <v>27</v>
      </c>
      <c r="I10">
        <v>2225</v>
      </c>
      <c r="J10" t="s">
        <v>169</v>
      </c>
      <c r="K10">
        <v>222523</v>
      </c>
      <c r="L10" t="s">
        <v>28</v>
      </c>
      <c r="M10">
        <v>22252301</v>
      </c>
      <c r="N10" t="s">
        <v>29</v>
      </c>
      <c r="O10">
        <v>801140852</v>
      </c>
      <c r="P10" t="s">
        <v>431</v>
      </c>
      <c r="Q10">
        <v>6148870842</v>
      </c>
      <c r="R10">
        <v>2</v>
      </c>
      <c r="S10" t="s">
        <v>168</v>
      </c>
      <c r="T10" s="1">
        <v>33666</v>
      </c>
      <c r="U10" s="1">
        <v>43570</v>
      </c>
      <c r="W10" t="s">
        <v>159</v>
      </c>
      <c r="X10" t="s">
        <v>160</v>
      </c>
      <c r="Y10">
        <v>7</v>
      </c>
      <c r="Z10" t="s">
        <v>170</v>
      </c>
      <c r="AA10" t="s">
        <v>162</v>
      </c>
      <c r="AB10" t="s">
        <v>32</v>
      </c>
      <c r="AC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V10">
        <v>1</v>
      </c>
    </row>
    <row r="11" spans="1:48">
      <c r="A11">
        <v>119</v>
      </c>
      <c r="B11" t="s">
        <v>154</v>
      </c>
      <c r="C11">
        <v>11901</v>
      </c>
      <c r="D11" t="s">
        <v>155</v>
      </c>
      <c r="E11">
        <v>1190101</v>
      </c>
      <c r="F11" t="s">
        <v>27</v>
      </c>
      <c r="G11">
        <v>119010101</v>
      </c>
      <c r="H11" t="s">
        <v>27</v>
      </c>
      <c r="I11">
        <v>2225</v>
      </c>
      <c r="J11" t="s">
        <v>169</v>
      </c>
      <c r="K11">
        <v>222523</v>
      </c>
      <c r="L11" t="s">
        <v>28</v>
      </c>
      <c r="M11">
        <v>22252301</v>
      </c>
      <c r="N11" t="s">
        <v>29</v>
      </c>
      <c r="O11">
        <v>801434275</v>
      </c>
      <c r="P11" t="s">
        <v>341</v>
      </c>
      <c r="Q11">
        <v>6438319742</v>
      </c>
      <c r="R11">
        <v>2</v>
      </c>
      <c r="S11" t="s">
        <v>168</v>
      </c>
      <c r="T11" s="1">
        <v>29990</v>
      </c>
      <c r="U11" s="1">
        <v>43970</v>
      </c>
      <c r="W11" t="s">
        <v>159</v>
      </c>
      <c r="X11" t="s">
        <v>160</v>
      </c>
      <c r="Y11">
        <v>4</v>
      </c>
      <c r="Z11" t="s">
        <v>161</v>
      </c>
      <c r="AA11" t="s">
        <v>162</v>
      </c>
      <c r="AB11" t="s">
        <v>32</v>
      </c>
      <c r="AC11">
        <v>5</v>
      </c>
      <c r="AD11">
        <v>2</v>
      </c>
      <c r="AE11">
        <v>0</v>
      </c>
      <c r="AF11">
        <v>10</v>
      </c>
      <c r="AG11">
        <v>3</v>
      </c>
      <c r="AH11">
        <v>5</v>
      </c>
      <c r="AI11">
        <v>0</v>
      </c>
      <c r="AJ11">
        <v>0</v>
      </c>
      <c r="AK11">
        <v>2</v>
      </c>
      <c r="AL11">
        <v>3</v>
      </c>
      <c r="AM11">
        <v>0</v>
      </c>
      <c r="AN11">
        <v>2</v>
      </c>
      <c r="AO11">
        <v>0</v>
      </c>
      <c r="AP11">
        <v>0</v>
      </c>
      <c r="AQ11">
        <v>3</v>
      </c>
      <c r="AR11">
        <v>0</v>
      </c>
      <c r="AS11">
        <v>0</v>
      </c>
      <c r="AT11">
        <v>5</v>
      </c>
      <c r="AV11">
        <v>5</v>
      </c>
    </row>
    <row r="12" spans="1:48">
      <c r="A12">
        <v>119</v>
      </c>
      <c r="B12" t="s">
        <v>154</v>
      </c>
      <c r="C12">
        <v>11901</v>
      </c>
      <c r="D12" t="s">
        <v>155</v>
      </c>
      <c r="E12">
        <v>1190100</v>
      </c>
      <c r="F12" t="s">
        <v>42</v>
      </c>
      <c r="G12">
        <v>119010000</v>
      </c>
      <c r="H12" t="s">
        <v>156</v>
      </c>
      <c r="I12">
        <v>2473</v>
      </c>
      <c r="J12" t="s">
        <v>157</v>
      </c>
      <c r="K12">
        <v>247321</v>
      </c>
      <c r="L12" t="s">
        <v>62</v>
      </c>
      <c r="M12">
        <v>24732104</v>
      </c>
      <c r="N12" t="s">
        <v>63</v>
      </c>
      <c r="O12">
        <v>801391945</v>
      </c>
      <c r="P12" t="s">
        <v>216</v>
      </c>
      <c r="Q12">
        <v>6396788302</v>
      </c>
      <c r="R12">
        <v>3</v>
      </c>
      <c r="S12" t="s">
        <v>165</v>
      </c>
      <c r="T12" s="1">
        <v>32788</v>
      </c>
      <c r="U12" s="1">
        <v>43916</v>
      </c>
      <c r="W12" t="s">
        <v>159</v>
      </c>
      <c r="X12" t="s">
        <v>160</v>
      </c>
      <c r="Y12">
        <v>7</v>
      </c>
      <c r="Z12" t="s">
        <v>170</v>
      </c>
      <c r="AA12" t="s">
        <v>162</v>
      </c>
      <c r="AB12" t="s">
        <v>32</v>
      </c>
      <c r="AC12">
        <v>6</v>
      </c>
      <c r="AD12">
        <v>3</v>
      </c>
      <c r="AE12">
        <v>3</v>
      </c>
      <c r="AF12">
        <v>17</v>
      </c>
      <c r="AG12">
        <v>2</v>
      </c>
      <c r="AH12">
        <v>1</v>
      </c>
      <c r="AI12">
        <v>6</v>
      </c>
      <c r="AJ12">
        <v>0</v>
      </c>
      <c r="AK12">
        <v>8</v>
      </c>
      <c r="AL12">
        <v>4</v>
      </c>
      <c r="AM12">
        <v>4</v>
      </c>
      <c r="AN12">
        <v>6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6</v>
      </c>
      <c r="AU12">
        <v>1</v>
      </c>
      <c r="AV12">
        <v>5</v>
      </c>
    </row>
    <row r="13" spans="1:48">
      <c r="A13">
        <v>119</v>
      </c>
      <c r="B13" t="s">
        <v>154</v>
      </c>
      <c r="C13">
        <v>11901</v>
      </c>
      <c r="D13" t="s">
        <v>155</v>
      </c>
      <c r="E13">
        <v>1190101</v>
      </c>
      <c r="F13" t="s">
        <v>27</v>
      </c>
      <c r="G13">
        <v>119010101</v>
      </c>
      <c r="H13" t="s">
        <v>27</v>
      </c>
      <c r="I13">
        <v>2225</v>
      </c>
      <c r="J13" t="s">
        <v>169</v>
      </c>
      <c r="K13">
        <v>222523</v>
      </c>
      <c r="L13" t="s">
        <v>28</v>
      </c>
      <c r="M13">
        <v>22252301</v>
      </c>
      <c r="N13" t="s">
        <v>29</v>
      </c>
      <c r="O13">
        <v>801391959</v>
      </c>
      <c r="P13" t="s">
        <v>375</v>
      </c>
      <c r="Q13">
        <v>6396799172</v>
      </c>
      <c r="R13">
        <v>1</v>
      </c>
      <c r="S13" t="s">
        <v>158</v>
      </c>
      <c r="T13" s="1">
        <v>32730</v>
      </c>
      <c r="U13" s="1">
        <v>43916</v>
      </c>
      <c r="W13" t="s">
        <v>164</v>
      </c>
      <c r="X13" t="s">
        <v>160</v>
      </c>
      <c r="Y13">
        <v>4</v>
      </c>
      <c r="Z13" t="s">
        <v>161</v>
      </c>
      <c r="AA13" t="s">
        <v>162</v>
      </c>
      <c r="AB13" t="s">
        <v>32</v>
      </c>
      <c r="AC13">
        <v>1</v>
      </c>
      <c r="AE13">
        <v>0</v>
      </c>
      <c r="AF13">
        <v>2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V13">
        <v>1</v>
      </c>
    </row>
    <row r="14" spans="1:48">
      <c r="A14">
        <v>119</v>
      </c>
      <c r="B14" t="s">
        <v>154</v>
      </c>
      <c r="C14">
        <v>11901</v>
      </c>
      <c r="D14" t="s">
        <v>155</v>
      </c>
      <c r="E14">
        <v>1190101</v>
      </c>
      <c r="F14" t="s">
        <v>27</v>
      </c>
      <c r="G14">
        <v>119010101</v>
      </c>
      <c r="H14" t="s">
        <v>27</v>
      </c>
      <c r="I14">
        <v>2225</v>
      </c>
      <c r="J14" t="s">
        <v>169</v>
      </c>
      <c r="K14">
        <v>222523</v>
      </c>
      <c r="L14" t="s">
        <v>28</v>
      </c>
      <c r="M14">
        <v>22252301</v>
      </c>
      <c r="N14" t="s">
        <v>29</v>
      </c>
      <c r="O14">
        <v>801387473</v>
      </c>
      <c r="P14" t="s">
        <v>377</v>
      </c>
      <c r="Q14">
        <v>6392046172</v>
      </c>
      <c r="R14">
        <v>10</v>
      </c>
      <c r="S14" t="s">
        <v>174</v>
      </c>
      <c r="T14" s="1">
        <v>26790</v>
      </c>
      <c r="U14" s="1">
        <v>43913</v>
      </c>
      <c r="W14" t="s">
        <v>159</v>
      </c>
      <c r="X14" t="s">
        <v>160</v>
      </c>
      <c r="Y14">
        <v>4</v>
      </c>
      <c r="Z14" t="s">
        <v>161</v>
      </c>
      <c r="AA14" t="s">
        <v>162</v>
      </c>
      <c r="AB14" t="s">
        <v>32</v>
      </c>
      <c r="AC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V14">
        <v>1</v>
      </c>
    </row>
    <row r="15" spans="1:48">
      <c r="A15">
        <v>119</v>
      </c>
      <c r="B15" t="s">
        <v>154</v>
      </c>
      <c r="C15">
        <v>11901</v>
      </c>
      <c r="D15" t="s">
        <v>155</v>
      </c>
      <c r="E15">
        <v>1190100</v>
      </c>
      <c r="F15" t="s">
        <v>42</v>
      </c>
      <c r="G15">
        <v>119010000</v>
      </c>
      <c r="H15" t="s">
        <v>156</v>
      </c>
      <c r="I15">
        <v>2473</v>
      </c>
      <c r="J15" t="s">
        <v>157</v>
      </c>
      <c r="K15">
        <v>247320</v>
      </c>
      <c r="L15" t="s">
        <v>43</v>
      </c>
      <c r="M15">
        <v>24732001</v>
      </c>
      <c r="N15" t="s">
        <v>44</v>
      </c>
      <c r="O15">
        <v>801386389</v>
      </c>
      <c r="P15" t="s">
        <v>380</v>
      </c>
      <c r="Q15">
        <v>6390424382</v>
      </c>
      <c r="R15">
        <v>10</v>
      </c>
      <c r="S15" t="s">
        <v>174</v>
      </c>
      <c r="T15" s="1">
        <v>26428</v>
      </c>
      <c r="U15" s="1">
        <v>43910</v>
      </c>
      <c r="W15" t="s">
        <v>159</v>
      </c>
      <c r="X15" t="s">
        <v>160</v>
      </c>
      <c r="Y15">
        <v>4</v>
      </c>
      <c r="Z15" t="s">
        <v>161</v>
      </c>
      <c r="AA15" t="s">
        <v>162</v>
      </c>
      <c r="AB15" t="s">
        <v>32</v>
      </c>
      <c r="AC15">
        <v>1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V15">
        <v>1</v>
      </c>
    </row>
    <row r="16" spans="1:48">
      <c r="A16">
        <v>119</v>
      </c>
      <c r="B16" t="s">
        <v>154</v>
      </c>
      <c r="C16">
        <v>11901</v>
      </c>
      <c r="D16" t="s">
        <v>155</v>
      </c>
      <c r="E16">
        <v>1190102</v>
      </c>
      <c r="F16" t="s">
        <v>48</v>
      </c>
      <c r="G16">
        <v>119010201</v>
      </c>
      <c r="H16" t="s">
        <v>48</v>
      </c>
      <c r="I16">
        <v>2473</v>
      </c>
      <c r="J16" t="s">
        <v>157</v>
      </c>
      <c r="K16">
        <v>247302</v>
      </c>
      <c r="L16" t="s">
        <v>49</v>
      </c>
      <c r="M16">
        <v>24730249</v>
      </c>
      <c r="N16" t="s">
        <v>98</v>
      </c>
      <c r="O16">
        <v>801322400</v>
      </c>
      <c r="P16" t="s">
        <v>400</v>
      </c>
      <c r="Q16">
        <v>6328391532</v>
      </c>
      <c r="R16">
        <v>2</v>
      </c>
      <c r="S16" t="s">
        <v>168</v>
      </c>
      <c r="T16" s="1">
        <v>25251</v>
      </c>
      <c r="U16" s="1">
        <v>43887</v>
      </c>
      <c r="W16" t="s">
        <v>159</v>
      </c>
      <c r="X16" t="s">
        <v>160</v>
      </c>
      <c r="Y16">
        <v>4</v>
      </c>
      <c r="Z16" t="s">
        <v>161</v>
      </c>
      <c r="AA16" t="s">
        <v>162</v>
      </c>
      <c r="AB16" t="s">
        <v>32</v>
      </c>
      <c r="AC16">
        <v>2</v>
      </c>
      <c r="AD16">
        <v>2</v>
      </c>
      <c r="AE16">
        <v>6</v>
      </c>
      <c r="AF16">
        <v>7</v>
      </c>
      <c r="AG16">
        <v>5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5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2</v>
      </c>
      <c r="AU16">
        <v>1</v>
      </c>
      <c r="AV16">
        <v>1</v>
      </c>
    </row>
    <row r="17" spans="1:48">
      <c r="A17">
        <v>119</v>
      </c>
      <c r="B17" t="s">
        <v>154</v>
      </c>
      <c r="C17">
        <v>11901</v>
      </c>
      <c r="D17" t="s">
        <v>155</v>
      </c>
      <c r="E17">
        <v>1190100</v>
      </c>
      <c r="F17" t="s">
        <v>42</v>
      </c>
      <c r="G17">
        <v>119010000</v>
      </c>
      <c r="H17" t="s">
        <v>156</v>
      </c>
      <c r="I17">
        <v>2473</v>
      </c>
      <c r="J17" t="s">
        <v>157</v>
      </c>
      <c r="K17">
        <v>247319</v>
      </c>
      <c r="L17" t="s">
        <v>66</v>
      </c>
      <c r="M17">
        <v>24731902</v>
      </c>
      <c r="N17" t="s">
        <v>67</v>
      </c>
      <c r="O17">
        <v>6141571</v>
      </c>
      <c r="P17" t="s">
        <v>68</v>
      </c>
      <c r="Q17">
        <v>55996582</v>
      </c>
      <c r="R17">
        <v>3</v>
      </c>
      <c r="S17" t="s">
        <v>165</v>
      </c>
      <c r="T17" s="1">
        <v>26640</v>
      </c>
      <c r="U17" s="1">
        <v>38565</v>
      </c>
      <c r="W17" t="s">
        <v>159</v>
      </c>
      <c r="X17" t="s">
        <v>160</v>
      </c>
      <c r="Y17">
        <v>4</v>
      </c>
      <c r="Z17" t="s">
        <v>161</v>
      </c>
      <c r="AA17" t="s">
        <v>162</v>
      </c>
      <c r="AB17" t="s">
        <v>32</v>
      </c>
      <c r="AC17">
        <v>4</v>
      </c>
      <c r="AE17">
        <v>13</v>
      </c>
      <c r="AF17">
        <v>7</v>
      </c>
      <c r="AG17">
        <v>2</v>
      </c>
      <c r="AH17">
        <v>3</v>
      </c>
      <c r="AI17">
        <v>0</v>
      </c>
      <c r="AJ17">
        <v>0</v>
      </c>
      <c r="AK17">
        <v>2</v>
      </c>
      <c r="AL17">
        <v>1</v>
      </c>
      <c r="AM17">
        <v>0</v>
      </c>
      <c r="AN17">
        <v>2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4</v>
      </c>
      <c r="AV17">
        <v>4</v>
      </c>
    </row>
    <row r="18" spans="1:48">
      <c r="A18">
        <v>119</v>
      </c>
      <c r="B18" t="s">
        <v>154</v>
      </c>
      <c r="C18">
        <v>11901</v>
      </c>
      <c r="D18" t="s">
        <v>155</v>
      </c>
      <c r="E18">
        <v>1190101</v>
      </c>
      <c r="F18" t="s">
        <v>27</v>
      </c>
      <c r="G18">
        <v>119010101</v>
      </c>
      <c r="H18" t="s">
        <v>27</v>
      </c>
      <c r="I18">
        <v>2473</v>
      </c>
      <c r="J18" t="s">
        <v>157</v>
      </c>
      <c r="K18">
        <v>247312</v>
      </c>
      <c r="L18" t="s">
        <v>37</v>
      </c>
      <c r="M18">
        <v>24731211</v>
      </c>
      <c r="N18" t="s">
        <v>226</v>
      </c>
      <c r="O18">
        <v>800321654</v>
      </c>
      <c r="P18" t="s">
        <v>227</v>
      </c>
      <c r="Q18">
        <v>5323989142</v>
      </c>
      <c r="R18">
        <v>3</v>
      </c>
      <c r="S18" t="s">
        <v>165</v>
      </c>
      <c r="T18" s="1">
        <v>29602</v>
      </c>
      <c r="U18" s="1">
        <v>42787</v>
      </c>
      <c r="W18" t="s">
        <v>159</v>
      </c>
      <c r="X18" t="s">
        <v>160</v>
      </c>
      <c r="Y18">
        <v>4</v>
      </c>
      <c r="Z18" t="s">
        <v>161</v>
      </c>
      <c r="AA18" t="s">
        <v>162</v>
      </c>
      <c r="AB18" t="s">
        <v>32</v>
      </c>
      <c r="AC18">
        <v>1</v>
      </c>
      <c r="AD18">
        <v>1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V18">
        <v>1</v>
      </c>
    </row>
    <row r="19" spans="1:48">
      <c r="A19">
        <v>119</v>
      </c>
      <c r="B19" t="s">
        <v>154</v>
      </c>
      <c r="C19">
        <v>11901</v>
      </c>
      <c r="D19" t="s">
        <v>155</v>
      </c>
      <c r="E19">
        <v>1190102</v>
      </c>
      <c r="F19" t="s">
        <v>48</v>
      </c>
      <c r="G19">
        <v>119010201</v>
      </c>
      <c r="H19" t="s">
        <v>48</v>
      </c>
      <c r="I19">
        <v>2473</v>
      </c>
      <c r="J19" t="s">
        <v>157</v>
      </c>
      <c r="K19">
        <v>247302</v>
      </c>
      <c r="L19" t="s">
        <v>49</v>
      </c>
      <c r="M19">
        <v>24730201</v>
      </c>
      <c r="N19" t="s">
        <v>50</v>
      </c>
      <c r="O19">
        <v>5247702</v>
      </c>
      <c r="P19" t="s">
        <v>217</v>
      </c>
      <c r="Q19">
        <v>51103872</v>
      </c>
      <c r="R19">
        <v>5</v>
      </c>
      <c r="S19" t="s">
        <v>167</v>
      </c>
      <c r="T19" s="1">
        <v>21551</v>
      </c>
      <c r="U19" s="1">
        <v>38504</v>
      </c>
      <c r="W19" t="s">
        <v>159</v>
      </c>
      <c r="X19" t="s">
        <v>160</v>
      </c>
      <c r="Y19">
        <v>7</v>
      </c>
      <c r="Z19" t="s">
        <v>170</v>
      </c>
      <c r="AA19" t="s">
        <v>162</v>
      </c>
      <c r="AB19" t="s">
        <v>103</v>
      </c>
      <c r="AC19">
        <v>3</v>
      </c>
      <c r="AD19">
        <v>3</v>
      </c>
      <c r="AE19">
        <v>14</v>
      </c>
      <c r="AF19">
        <v>19</v>
      </c>
      <c r="AG19">
        <v>0</v>
      </c>
      <c r="AH19">
        <v>9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V19">
        <v>3</v>
      </c>
    </row>
    <row r="20" spans="1:48">
      <c r="A20">
        <v>119</v>
      </c>
      <c r="B20" t="s">
        <v>154</v>
      </c>
      <c r="C20">
        <v>11901</v>
      </c>
      <c r="D20" t="s">
        <v>155</v>
      </c>
      <c r="E20">
        <v>1190102</v>
      </c>
      <c r="F20" t="s">
        <v>48</v>
      </c>
      <c r="G20">
        <v>119010201</v>
      </c>
      <c r="H20" t="s">
        <v>48</v>
      </c>
      <c r="I20">
        <v>2473</v>
      </c>
      <c r="J20" t="s">
        <v>157</v>
      </c>
      <c r="K20">
        <v>247302</v>
      </c>
      <c r="L20" t="s">
        <v>49</v>
      </c>
      <c r="M20">
        <v>24730249</v>
      </c>
      <c r="N20" t="s">
        <v>98</v>
      </c>
      <c r="O20">
        <v>800447975</v>
      </c>
      <c r="P20" t="s">
        <v>104</v>
      </c>
      <c r="Q20">
        <v>5449941392</v>
      </c>
      <c r="R20">
        <v>3</v>
      </c>
      <c r="S20" t="s">
        <v>165</v>
      </c>
      <c r="T20" s="1">
        <v>31296</v>
      </c>
      <c r="U20" s="1">
        <v>42871</v>
      </c>
      <c r="W20" t="s">
        <v>159</v>
      </c>
      <c r="X20" t="s">
        <v>160</v>
      </c>
      <c r="Y20">
        <v>5</v>
      </c>
      <c r="Z20" t="s">
        <v>171</v>
      </c>
      <c r="AA20" t="s">
        <v>162</v>
      </c>
      <c r="AB20" t="s">
        <v>32</v>
      </c>
      <c r="AC20">
        <v>4</v>
      </c>
      <c r="AD20">
        <v>4</v>
      </c>
      <c r="AE20">
        <v>14</v>
      </c>
      <c r="AF20">
        <v>18</v>
      </c>
      <c r="AG20">
        <v>8</v>
      </c>
      <c r="AH20">
        <v>1</v>
      </c>
      <c r="AI20">
        <v>1</v>
      </c>
      <c r="AJ20">
        <v>0</v>
      </c>
      <c r="AK20">
        <v>8</v>
      </c>
      <c r="AL20">
        <v>3</v>
      </c>
      <c r="AM20">
        <v>1</v>
      </c>
      <c r="AN20">
        <v>6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</v>
      </c>
      <c r="AV20">
        <v>4</v>
      </c>
    </row>
    <row r="21" spans="1:45">
      <c r="A21">
        <v>119</v>
      </c>
      <c r="B21" t="s">
        <v>154</v>
      </c>
      <c r="C21">
        <v>11901</v>
      </c>
      <c r="D21" t="s">
        <v>155</v>
      </c>
      <c r="E21">
        <v>1190102</v>
      </c>
      <c r="F21" t="s">
        <v>48</v>
      </c>
      <c r="G21">
        <v>119010201</v>
      </c>
      <c r="H21" t="s">
        <v>48</v>
      </c>
      <c r="I21">
        <v>2473</v>
      </c>
      <c r="J21" t="s">
        <v>157</v>
      </c>
      <c r="K21">
        <v>247302</v>
      </c>
      <c r="L21" t="s">
        <v>49</v>
      </c>
      <c r="M21">
        <v>24730201</v>
      </c>
      <c r="N21" t="s">
        <v>50</v>
      </c>
      <c r="O21">
        <v>800288613</v>
      </c>
      <c r="P21" t="s">
        <v>491</v>
      </c>
      <c r="Q21">
        <v>5291541292</v>
      </c>
      <c r="R21">
        <v>2</v>
      </c>
      <c r="S21" t="s">
        <v>168</v>
      </c>
      <c r="T21" s="1">
        <v>28658</v>
      </c>
      <c r="U21" s="1">
        <v>42746</v>
      </c>
      <c r="W21" t="s">
        <v>164</v>
      </c>
      <c r="X21" t="s">
        <v>160</v>
      </c>
      <c r="Y21">
        <v>5</v>
      </c>
      <c r="Z21" t="s">
        <v>171</v>
      </c>
      <c r="AA21" t="s">
        <v>162</v>
      </c>
      <c r="AB21" t="s">
        <v>32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8">
      <c r="A22">
        <v>119</v>
      </c>
      <c r="B22" t="s">
        <v>154</v>
      </c>
      <c r="C22">
        <v>11901</v>
      </c>
      <c r="D22" t="s">
        <v>155</v>
      </c>
      <c r="E22">
        <v>1190100</v>
      </c>
      <c r="F22" t="s">
        <v>42</v>
      </c>
      <c r="G22">
        <v>119010000</v>
      </c>
      <c r="H22" t="s">
        <v>156</v>
      </c>
      <c r="I22">
        <v>2473</v>
      </c>
      <c r="J22" t="s">
        <v>157</v>
      </c>
      <c r="K22">
        <v>247319</v>
      </c>
      <c r="L22" t="s">
        <v>66</v>
      </c>
      <c r="M22">
        <v>24731901</v>
      </c>
      <c r="N22" t="s">
        <v>343</v>
      </c>
      <c r="O22">
        <v>800494645</v>
      </c>
      <c r="P22" t="s">
        <v>485</v>
      </c>
      <c r="Q22">
        <v>5495685512</v>
      </c>
      <c r="R22">
        <v>2</v>
      </c>
      <c r="S22" t="s">
        <v>168</v>
      </c>
      <c r="T22" s="1">
        <v>32522</v>
      </c>
      <c r="U22" s="1">
        <v>42910</v>
      </c>
      <c r="W22" t="s">
        <v>159</v>
      </c>
      <c r="X22" t="s">
        <v>160</v>
      </c>
      <c r="Y22">
        <v>8</v>
      </c>
      <c r="Z22" t="s">
        <v>175</v>
      </c>
      <c r="AA22" t="s">
        <v>162</v>
      </c>
      <c r="AB22" t="s">
        <v>32</v>
      </c>
      <c r="AC22">
        <v>5</v>
      </c>
      <c r="AE22">
        <v>8</v>
      </c>
      <c r="AF22">
        <v>9</v>
      </c>
      <c r="AG22">
        <v>0</v>
      </c>
      <c r="AH22">
        <v>7</v>
      </c>
      <c r="AI22">
        <v>1</v>
      </c>
      <c r="AJ22">
        <v>0</v>
      </c>
      <c r="AK22">
        <v>1</v>
      </c>
      <c r="AL22">
        <v>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V22">
        <v>5</v>
      </c>
    </row>
    <row r="23" spans="1:48">
      <c r="A23">
        <v>119</v>
      </c>
      <c r="B23" t="s">
        <v>154</v>
      </c>
      <c r="C23">
        <v>11901</v>
      </c>
      <c r="D23" t="s">
        <v>155</v>
      </c>
      <c r="E23">
        <v>1190101</v>
      </c>
      <c r="F23" t="s">
        <v>27</v>
      </c>
      <c r="G23">
        <v>119010101</v>
      </c>
      <c r="H23" t="s">
        <v>27</v>
      </c>
      <c r="I23">
        <v>2473</v>
      </c>
      <c r="J23" t="s">
        <v>157</v>
      </c>
      <c r="K23">
        <v>247312</v>
      </c>
      <c r="L23" t="s">
        <v>37</v>
      </c>
      <c r="M23">
        <v>24731201</v>
      </c>
      <c r="N23" t="s">
        <v>38</v>
      </c>
      <c r="O23">
        <v>7414724</v>
      </c>
      <c r="P23" t="s">
        <v>39</v>
      </c>
      <c r="Q23">
        <v>68852502</v>
      </c>
      <c r="R23">
        <v>5</v>
      </c>
      <c r="S23" t="s">
        <v>167</v>
      </c>
      <c r="T23" s="1">
        <v>24535</v>
      </c>
      <c r="U23" s="1">
        <v>38687</v>
      </c>
      <c r="W23" t="s">
        <v>159</v>
      </c>
      <c r="X23" t="s">
        <v>160</v>
      </c>
      <c r="Y23">
        <v>4</v>
      </c>
      <c r="Z23" t="s">
        <v>161</v>
      </c>
      <c r="AA23" t="s">
        <v>162</v>
      </c>
      <c r="AB23" t="s">
        <v>103</v>
      </c>
      <c r="AC23">
        <v>2</v>
      </c>
      <c r="AD23">
        <v>1</v>
      </c>
      <c r="AE23">
        <v>3</v>
      </c>
      <c r="AF23">
        <v>10</v>
      </c>
      <c r="AG23">
        <v>3</v>
      </c>
      <c r="AH23">
        <v>3</v>
      </c>
      <c r="AI23">
        <v>4</v>
      </c>
      <c r="AJ23">
        <v>0</v>
      </c>
      <c r="AK23">
        <v>0</v>
      </c>
      <c r="AL23">
        <v>1</v>
      </c>
      <c r="AM23">
        <v>2</v>
      </c>
      <c r="AN23">
        <v>1</v>
      </c>
      <c r="AO23">
        <v>2</v>
      </c>
      <c r="AP23">
        <v>4</v>
      </c>
      <c r="AQ23">
        <v>0</v>
      </c>
      <c r="AR23">
        <v>0</v>
      </c>
      <c r="AS23">
        <v>0</v>
      </c>
      <c r="AT23">
        <v>2</v>
      </c>
      <c r="AV23">
        <v>2</v>
      </c>
    </row>
    <row r="24" spans="1:48">
      <c r="A24">
        <v>119</v>
      </c>
      <c r="B24" t="s">
        <v>154</v>
      </c>
      <c r="C24">
        <v>11901</v>
      </c>
      <c r="D24" t="s">
        <v>155</v>
      </c>
      <c r="E24">
        <v>1190100</v>
      </c>
      <c r="F24" t="s">
        <v>42</v>
      </c>
      <c r="G24">
        <v>119010000</v>
      </c>
      <c r="H24" t="s">
        <v>156</v>
      </c>
      <c r="I24">
        <v>2473</v>
      </c>
      <c r="J24" t="s">
        <v>157</v>
      </c>
      <c r="K24">
        <v>247321</v>
      </c>
      <c r="L24" t="s">
        <v>62</v>
      </c>
      <c r="M24">
        <v>24732108</v>
      </c>
      <c r="N24" t="s">
        <v>92</v>
      </c>
      <c r="O24">
        <v>800698347</v>
      </c>
      <c r="P24" t="s">
        <v>222</v>
      </c>
      <c r="Q24">
        <v>5722340032</v>
      </c>
      <c r="R24">
        <v>3</v>
      </c>
      <c r="S24" t="s">
        <v>165</v>
      </c>
      <c r="T24" s="1">
        <v>32189</v>
      </c>
      <c r="U24" s="1">
        <v>43237</v>
      </c>
      <c r="W24" t="s">
        <v>159</v>
      </c>
      <c r="X24" t="s">
        <v>160</v>
      </c>
      <c r="Y24">
        <v>4</v>
      </c>
      <c r="Z24" t="s">
        <v>161</v>
      </c>
      <c r="AA24" t="s">
        <v>162</v>
      </c>
      <c r="AB24" t="s">
        <v>32</v>
      </c>
      <c r="AC24">
        <v>2</v>
      </c>
      <c r="AD24">
        <v>1</v>
      </c>
      <c r="AE24">
        <v>3</v>
      </c>
      <c r="AF24">
        <v>9</v>
      </c>
      <c r="AG24">
        <v>0</v>
      </c>
      <c r="AH24">
        <v>6</v>
      </c>
      <c r="AI24">
        <v>1</v>
      </c>
      <c r="AJ24">
        <v>0</v>
      </c>
      <c r="AK24">
        <v>2</v>
      </c>
      <c r="AL24">
        <v>0</v>
      </c>
      <c r="AM24">
        <v>1</v>
      </c>
      <c r="AN24">
        <v>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V24">
        <v>2</v>
      </c>
    </row>
    <row r="25" spans="1:48">
      <c r="A25">
        <v>119</v>
      </c>
      <c r="B25" t="s">
        <v>154</v>
      </c>
      <c r="C25">
        <v>11901</v>
      </c>
      <c r="D25" t="s">
        <v>155</v>
      </c>
      <c r="E25">
        <v>1190101</v>
      </c>
      <c r="F25" t="s">
        <v>27</v>
      </c>
      <c r="G25">
        <v>119010101</v>
      </c>
      <c r="H25" t="s">
        <v>27</v>
      </c>
      <c r="I25">
        <v>2225</v>
      </c>
      <c r="J25" t="s">
        <v>169</v>
      </c>
      <c r="K25">
        <v>222523</v>
      </c>
      <c r="L25" t="s">
        <v>28</v>
      </c>
      <c r="M25">
        <v>22252301</v>
      </c>
      <c r="N25" t="s">
        <v>29</v>
      </c>
      <c r="O25">
        <v>801106281</v>
      </c>
      <c r="P25" t="s">
        <v>102</v>
      </c>
      <c r="Q25">
        <v>6116420222</v>
      </c>
      <c r="R25">
        <v>2</v>
      </c>
      <c r="S25" t="s">
        <v>168</v>
      </c>
      <c r="T25" s="1">
        <v>30403</v>
      </c>
      <c r="U25" s="1">
        <v>43538</v>
      </c>
      <c r="W25" t="s">
        <v>159</v>
      </c>
      <c r="X25" t="s">
        <v>160</v>
      </c>
      <c r="Y25">
        <v>4</v>
      </c>
      <c r="Z25" t="s">
        <v>161</v>
      </c>
      <c r="AA25" t="s">
        <v>162</v>
      </c>
      <c r="AB25" t="s">
        <v>32</v>
      </c>
      <c r="AC25">
        <v>1</v>
      </c>
      <c r="AD25">
        <v>1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V25">
        <v>1</v>
      </c>
    </row>
    <row r="26" spans="1:48">
      <c r="A26">
        <v>119</v>
      </c>
      <c r="B26" t="s">
        <v>154</v>
      </c>
      <c r="C26">
        <v>11901</v>
      </c>
      <c r="D26" t="s">
        <v>155</v>
      </c>
      <c r="E26">
        <v>1190101</v>
      </c>
      <c r="F26" t="s">
        <v>27</v>
      </c>
      <c r="G26">
        <v>119010101</v>
      </c>
      <c r="H26" t="s">
        <v>27</v>
      </c>
      <c r="I26">
        <v>2225</v>
      </c>
      <c r="J26" t="s">
        <v>169</v>
      </c>
      <c r="K26">
        <v>222522</v>
      </c>
      <c r="L26" t="s">
        <v>100</v>
      </c>
      <c r="M26">
        <v>22252201</v>
      </c>
      <c r="N26" t="s">
        <v>101</v>
      </c>
      <c r="O26">
        <v>800808234</v>
      </c>
      <c r="P26" t="s">
        <v>453</v>
      </c>
      <c r="Q26">
        <v>5829841442</v>
      </c>
      <c r="R26">
        <v>10</v>
      </c>
      <c r="S26" t="s">
        <v>174</v>
      </c>
      <c r="T26" s="1">
        <v>28630</v>
      </c>
      <c r="U26" s="1">
        <v>43296</v>
      </c>
      <c r="W26" t="s">
        <v>159</v>
      </c>
      <c r="X26" t="s">
        <v>160</v>
      </c>
      <c r="Y26">
        <v>4</v>
      </c>
      <c r="Z26" t="s">
        <v>161</v>
      </c>
      <c r="AA26" t="s">
        <v>162</v>
      </c>
      <c r="AB26" t="s">
        <v>32</v>
      </c>
      <c r="AC26">
        <v>2</v>
      </c>
      <c r="AD26">
        <v>1</v>
      </c>
      <c r="AE26">
        <v>1</v>
      </c>
      <c r="AF26">
        <v>13</v>
      </c>
      <c r="AG26">
        <v>2</v>
      </c>
      <c r="AH26">
        <v>5</v>
      </c>
      <c r="AI26">
        <v>0</v>
      </c>
      <c r="AJ26">
        <v>0</v>
      </c>
      <c r="AK26">
        <v>6</v>
      </c>
      <c r="AL26">
        <v>0</v>
      </c>
      <c r="AM26">
        <v>6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</v>
      </c>
      <c r="AV26">
        <v>2</v>
      </c>
    </row>
    <row r="27" spans="1:48">
      <c r="A27">
        <v>119</v>
      </c>
      <c r="B27" t="s">
        <v>154</v>
      </c>
      <c r="C27">
        <v>11901</v>
      </c>
      <c r="D27" t="s">
        <v>155</v>
      </c>
      <c r="E27">
        <v>1190101</v>
      </c>
      <c r="F27" t="s">
        <v>27</v>
      </c>
      <c r="G27">
        <v>119010101</v>
      </c>
      <c r="H27" t="s">
        <v>27</v>
      </c>
      <c r="I27">
        <v>2225</v>
      </c>
      <c r="J27" t="s">
        <v>169</v>
      </c>
      <c r="K27">
        <v>222523</v>
      </c>
      <c r="L27" t="s">
        <v>28</v>
      </c>
      <c r="M27">
        <v>22252305</v>
      </c>
      <c r="N27" t="s">
        <v>224</v>
      </c>
      <c r="O27">
        <v>801013146</v>
      </c>
      <c r="P27" t="s">
        <v>448</v>
      </c>
      <c r="Q27">
        <v>6025042622</v>
      </c>
      <c r="R27">
        <v>10</v>
      </c>
      <c r="S27" t="s">
        <v>174</v>
      </c>
      <c r="T27" s="1">
        <v>31618</v>
      </c>
      <c r="U27" s="1">
        <v>43437</v>
      </c>
      <c r="W27" t="s">
        <v>159</v>
      </c>
      <c r="X27" t="s">
        <v>160</v>
      </c>
      <c r="Y27">
        <v>7</v>
      </c>
      <c r="Z27" t="s">
        <v>170</v>
      </c>
      <c r="AA27" t="s">
        <v>162</v>
      </c>
      <c r="AB27" t="s">
        <v>32</v>
      </c>
      <c r="AC27">
        <v>1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V27">
        <v>1</v>
      </c>
    </row>
    <row r="28" spans="1:48">
      <c r="A28">
        <v>119</v>
      </c>
      <c r="B28" t="s">
        <v>154</v>
      </c>
      <c r="C28">
        <v>11901</v>
      </c>
      <c r="D28" t="s">
        <v>155</v>
      </c>
      <c r="E28">
        <v>1190100</v>
      </c>
      <c r="F28" t="s">
        <v>42</v>
      </c>
      <c r="G28">
        <v>119010000</v>
      </c>
      <c r="H28" t="s">
        <v>156</v>
      </c>
      <c r="I28">
        <v>2473</v>
      </c>
      <c r="J28" t="s">
        <v>157</v>
      </c>
      <c r="K28">
        <v>247321</v>
      </c>
      <c r="L28" t="s">
        <v>62</v>
      </c>
      <c r="M28">
        <v>24732105</v>
      </c>
      <c r="N28" t="s">
        <v>72</v>
      </c>
      <c r="O28">
        <v>801485271</v>
      </c>
      <c r="P28" t="s">
        <v>73</v>
      </c>
      <c r="Q28">
        <v>6487584872</v>
      </c>
      <c r="R28">
        <v>2</v>
      </c>
      <c r="S28" t="s">
        <v>168</v>
      </c>
      <c r="T28" s="1">
        <v>32256</v>
      </c>
      <c r="U28" s="1">
        <v>44098</v>
      </c>
      <c r="W28" t="s">
        <v>159</v>
      </c>
      <c r="X28" t="s">
        <v>160</v>
      </c>
      <c r="Y28">
        <v>4</v>
      </c>
      <c r="Z28" t="s">
        <v>161</v>
      </c>
      <c r="AA28" t="s">
        <v>162</v>
      </c>
      <c r="AB28" t="s">
        <v>32</v>
      </c>
      <c r="AC28">
        <v>1</v>
      </c>
      <c r="AE28">
        <v>4</v>
      </c>
      <c r="AF28">
        <v>2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V28">
        <v>1</v>
      </c>
    </row>
    <row r="29" spans="1:48">
      <c r="A29">
        <v>119</v>
      </c>
      <c r="B29" t="s">
        <v>154</v>
      </c>
      <c r="C29">
        <v>11901</v>
      </c>
      <c r="D29" t="s">
        <v>155</v>
      </c>
      <c r="E29">
        <v>1190102</v>
      </c>
      <c r="F29" t="s">
        <v>48</v>
      </c>
      <c r="G29">
        <v>119010201</v>
      </c>
      <c r="H29" t="s">
        <v>48</v>
      </c>
      <c r="I29">
        <v>2473</v>
      </c>
      <c r="J29" t="s">
        <v>157</v>
      </c>
      <c r="K29">
        <v>247302</v>
      </c>
      <c r="L29" t="s">
        <v>49</v>
      </c>
      <c r="M29">
        <v>24730201</v>
      </c>
      <c r="N29" t="s">
        <v>50</v>
      </c>
      <c r="O29">
        <v>800770124</v>
      </c>
      <c r="P29" t="s">
        <v>465</v>
      </c>
      <c r="Q29">
        <v>5793398452</v>
      </c>
      <c r="R29">
        <v>2</v>
      </c>
      <c r="S29" t="s">
        <v>168</v>
      </c>
      <c r="T29" s="1">
        <v>28715</v>
      </c>
      <c r="U29" s="1">
        <v>43291</v>
      </c>
      <c r="W29" t="s">
        <v>159</v>
      </c>
      <c r="X29" t="s">
        <v>160</v>
      </c>
      <c r="Y29">
        <v>5</v>
      </c>
      <c r="Z29" t="s">
        <v>171</v>
      </c>
      <c r="AA29" t="s">
        <v>162</v>
      </c>
      <c r="AB29" t="s">
        <v>32</v>
      </c>
      <c r="AC29">
        <v>5</v>
      </c>
      <c r="AD29">
        <v>2</v>
      </c>
      <c r="AE29">
        <v>10</v>
      </c>
      <c r="AF29">
        <v>15</v>
      </c>
      <c r="AG29">
        <v>10</v>
      </c>
      <c r="AH29">
        <v>0</v>
      </c>
      <c r="AI29">
        <v>0</v>
      </c>
      <c r="AJ29">
        <v>0</v>
      </c>
      <c r="AK29">
        <v>5</v>
      </c>
      <c r="AL29">
        <v>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</v>
      </c>
      <c r="AV29">
        <v>5</v>
      </c>
    </row>
    <row r="30" spans="1:48">
      <c r="A30">
        <v>119</v>
      </c>
      <c r="B30" t="s">
        <v>154</v>
      </c>
      <c r="C30">
        <v>11901</v>
      </c>
      <c r="D30" t="s">
        <v>155</v>
      </c>
      <c r="E30">
        <v>1190101</v>
      </c>
      <c r="F30" t="s">
        <v>27</v>
      </c>
      <c r="G30">
        <v>119010101</v>
      </c>
      <c r="H30" t="s">
        <v>27</v>
      </c>
      <c r="I30">
        <v>2473</v>
      </c>
      <c r="J30" t="s">
        <v>157</v>
      </c>
      <c r="K30">
        <v>247307</v>
      </c>
      <c r="L30" t="s">
        <v>94</v>
      </c>
      <c r="M30">
        <v>24730715</v>
      </c>
      <c r="N30" t="s">
        <v>95</v>
      </c>
      <c r="O30">
        <v>801155510</v>
      </c>
      <c r="P30" t="s">
        <v>429</v>
      </c>
      <c r="Q30">
        <v>6165252972</v>
      </c>
      <c r="R30">
        <v>2</v>
      </c>
      <c r="S30" t="s">
        <v>168</v>
      </c>
      <c r="T30" s="1">
        <v>32402</v>
      </c>
      <c r="U30" s="1">
        <v>43591</v>
      </c>
      <c r="W30" t="s">
        <v>159</v>
      </c>
      <c r="X30" t="s">
        <v>160</v>
      </c>
      <c r="Y30">
        <v>4</v>
      </c>
      <c r="Z30" t="s">
        <v>161</v>
      </c>
      <c r="AA30" t="s">
        <v>162</v>
      </c>
      <c r="AB30" t="s">
        <v>32</v>
      </c>
      <c r="AC30">
        <v>3</v>
      </c>
      <c r="AD30">
        <v>2</v>
      </c>
      <c r="AE30">
        <v>0</v>
      </c>
      <c r="AF30">
        <v>9</v>
      </c>
      <c r="AG30">
        <v>5</v>
      </c>
      <c r="AH30">
        <v>0</v>
      </c>
      <c r="AI30">
        <v>0</v>
      </c>
      <c r="AJ30">
        <v>0</v>
      </c>
      <c r="AK30">
        <v>4</v>
      </c>
      <c r="AL30">
        <v>0</v>
      </c>
      <c r="AM30">
        <v>4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</v>
      </c>
      <c r="AV30">
        <v>3</v>
      </c>
    </row>
    <row r="31" spans="1:48">
      <c r="A31">
        <v>119</v>
      </c>
      <c r="B31" t="s">
        <v>154</v>
      </c>
      <c r="C31">
        <v>11901</v>
      </c>
      <c r="D31" t="s">
        <v>155</v>
      </c>
      <c r="E31">
        <v>1190101</v>
      </c>
      <c r="F31" t="s">
        <v>27</v>
      </c>
      <c r="G31">
        <v>119010101</v>
      </c>
      <c r="H31" t="s">
        <v>27</v>
      </c>
      <c r="I31">
        <v>2225</v>
      </c>
      <c r="J31" t="s">
        <v>169</v>
      </c>
      <c r="K31">
        <v>222512</v>
      </c>
      <c r="L31" t="s">
        <v>58</v>
      </c>
      <c r="M31">
        <v>22251201</v>
      </c>
      <c r="N31" t="s">
        <v>59</v>
      </c>
      <c r="O31">
        <v>5248333</v>
      </c>
      <c r="P31" t="s">
        <v>60</v>
      </c>
      <c r="Q31">
        <v>51137372</v>
      </c>
      <c r="R31">
        <v>2</v>
      </c>
      <c r="S31" t="s">
        <v>168</v>
      </c>
      <c r="T31" s="1">
        <v>23357</v>
      </c>
      <c r="U31" s="1">
        <v>38504</v>
      </c>
      <c r="W31" t="s">
        <v>159</v>
      </c>
      <c r="X31" t="s">
        <v>160</v>
      </c>
      <c r="Y31">
        <v>7</v>
      </c>
      <c r="Z31" t="s">
        <v>170</v>
      </c>
      <c r="AA31" t="s">
        <v>162</v>
      </c>
      <c r="AB31" t="s">
        <v>103</v>
      </c>
      <c r="AC31">
        <v>3</v>
      </c>
      <c r="AD31">
        <v>1</v>
      </c>
      <c r="AE31">
        <v>3</v>
      </c>
      <c r="AF31">
        <v>6</v>
      </c>
      <c r="AG31">
        <v>1</v>
      </c>
      <c r="AH31">
        <v>0</v>
      </c>
      <c r="AI31">
        <v>0</v>
      </c>
      <c r="AJ31">
        <v>0</v>
      </c>
      <c r="AK31">
        <v>5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V31">
        <v>3</v>
      </c>
    </row>
    <row r="32" spans="1:48">
      <c r="A32">
        <v>119</v>
      </c>
      <c r="B32" t="s">
        <v>154</v>
      </c>
      <c r="C32">
        <v>11901</v>
      </c>
      <c r="D32" t="s">
        <v>155</v>
      </c>
      <c r="E32">
        <v>1190101</v>
      </c>
      <c r="F32" t="s">
        <v>27</v>
      </c>
      <c r="G32">
        <v>119010101</v>
      </c>
      <c r="H32" t="s">
        <v>27</v>
      </c>
      <c r="I32">
        <v>2225</v>
      </c>
      <c r="J32" t="s">
        <v>169</v>
      </c>
      <c r="K32">
        <v>222523</v>
      </c>
      <c r="L32" t="s">
        <v>28</v>
      </c>
      <c r="M32">
        <v>22252305</v>
      </c>
      <c r="N32" t="s">
        <v>224</v>
      </c>
      <c r="O32">
        <v>801013102</v>
      </c>
      <c r="P32" t="s">
        <v>225</v>
      </c>
      <c r="Q32">
        <v>6025005442</v>
      </c>
      <c r="R32">
        <v>3</v>
      </c>
      <c r="S32" t="s">
        <v>165</v>
      </c>
      <c r="T32" s="1">
        <v>30176</v>
      </c>
      <c r="U32" s="1">
        <v>43437</v>
      </c>
      <c r="W32" t="s">
        <v>159</v>
      </c>
      <c r="X32" t="s">
        <v>160</v>
      </c>
      <c r="Y32">
        <v>8</v>
      </c>
      <c r="Z32" t="s">
        <v>175</v>
      </c>
      <c r="AA32" t="s">
        <v>162</v>
      </c>
      <c r="AB32" t="s">
        <v>32</v>
      </c>
      <c r="AC32">
        <v>1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V32">
        <v>1</v>
      </c>
    </row>
    <row r="33" spans="1:48">
      <c r="A33">
        <v>119</v>
      </c>
      <c r="B33" t="s">
        <v>154</v>
      </c>
      <c r="C33">
        <v>11901</v>
      </c>
      <c r="D33" t="s">
        <v>155</v>
      </c>
      <c r="E33">
        <v>1190102</v>
      </c>
      <c r="F33" t="s">
        <v>48</v>
      </c>
      <c r="G33">
        <v>119010201</v>
      </c>
      <c r="H33" t="s">
        <v>48</v>
      </c>
      <c r="I33">
        <v>2473</v>
      </c>
      <c r="J33" t="s">
        <v>157</v>
      </c>
      <c r="K33">
        <v>247302</v>
      </c>
      <c r="L33" t="s">
        <v>49</v>
      </c>
      <c r="M33">
        <v>24730249</v>
      </c>
      <c r="N33" t="s">
        <v>98</v>
      </c>
      <c r="O33">
        <v>801176163</v>
      </c>
      <c r="P33" t="s">
        <v>99</v>
      </c>
      <c r="Q33">
        <v>6183615882</v>
      </c>
      <c r="R33">
        <v>10</v>
      </c>
      <c r="S33" t="s">
        <v>174</v>
      </c>
      <c r="T33" s="1">
        <v>26970</v>
      </c>
      <c r="U33" s="1">
        <v>43600</v>
      </c>
      <c r="W33" t="s">
        <v>159</v>
      </c>
      <c r="X33" t="s">
        <v>160</v>
      </c>
      <c r="Y33">
        <v>7</v>
      </c>
      <c r="Z33" t="s">
        <v>170</v>
      </c>
      <c r="AA33" t="s">
        <v>162</v>
      </c>
      <c r="AB33" t="s">
        <v>32</v>
      </c>
      <c r="AC33">
        <v>4</v>
      </c>
      <c r="AD33">
        <v>2</v>
      </c>
      <c r="AE33">
        <v>13</v>
      </c>
      <c r="AF33">
        <v>15</v>
      </c>
      <c r="AG33">
        <v>5</v>
      </c>
      <c r="AH33">
        <v>9</v>
      </c>
      <c r="AI33">
        <v>0</v>
      </c>
      <c r="AJ33">
        <v>0</v>
      </c>
      <c r="AK33">
        <v>1</v>
      </c>
      <c r="AL33">
        <v>12</v>
      </c>
      <c r="AM33">
        <v>3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4</v>
      </c>
      <c r="AU33">
        <v>2</v>
      </c>
      <c r="AV33">
        <v>2</v>
      </c>
    </row>
    <row r="34" spans="1:48">
      <c r="A34">
        <v>119</v>
      </c>
      <c r="B34" t="s">
        <v>154</v>
      </c>
      <c r="C34">
        <v>11901</v>
      </c>
      <c r="D34" t="s">
        <v>155</v>
      </c>
      <c r="E34">
        <v>1190100</v>
      </c>
      <c r="F34" t="s">
        <v>42</v>
      </c>
      <c r="G34">
        <v>119010000</v>
      </c>
      <c r="H34" t="s">
        <v>156</v>
      </c>
      <c r="I34">
        <v>2473</v>
      </c>
      <c r="J34" t="s">
        <v>157</v>
      </c>
      <c r="K34">
        <v>247320</v>
      </c>
      <c r="L34" t="s">
        <v>43</v>
      </c>
      <c r="M34">
        <v>24732004</v>
      </c>
      <c r="N34" t="s">
        <v>70</v>
      </c>
      <c r="O34">
        <v>801175590</v>
      </c>
      <c r="P34" t="s">
        <v>424</v>
      </c>
      <c r="Q34">
        <v>6183121812</v>
      </c>
      <c r="R34">
        <v>10</v>
      </c>
      <c r="S34" t="s">
        <v>174</v>
      </c>
      <c r="T34" s="1">
        <v>30229</v>
      </c>
      <c r="U34" s="1">
        <v>43600</v>
      </c>
      <c r="W34" t="s">
        <v>159</v>
      </c>
      <c r="X34" t="s">
        <v>160</v>
      </c>
      <c r="Y34">
        <v>7</v>
      </c>
      <c r="Z34" t="s">
        <v>170</v>
      </c>
      <c r="AA34" t="s">
        <v>162</v>
      </c>
      <c r="AB34" t="s">
        <v>32</v>
      </c>
      <c r="AC34">
        <v>1</v>
      </c>
      <c r="AD34">
        <v>1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V34">
        <v>1</v>
      </c>
    </row>
    <row r="35" spans="1:48">
      <c r="A35">
        <v>119</v>
      </c>
      <c r="B35" t="s">
        <v>154</v>
      </c>
      <c r="C35">
        <v>11901</v>
      </c>
      <c r="D35" t="s">
        <v>155</v>
      </c>
      <c r="E35">
        <v>1190101</v>
      </c>
      <c r="F35" t="s">
        <v>27</v>
      </c>
      <c r="G35">
        <v>119010101</v>
      </c>
      <c r="H35" t="s">
        <v>27</v>
      </c>
      <c r="I35">
        <v>2473</v>
      </c>
      <c r="J35" t="s">
        <v>157</v>
      </c>
      <c r="K35">
        <v>247307</v>
      </c>
      <c r="L35" t="s">
        <v>94</v>
      </c>
      <c r="M35">
        <v>24730701</v>
      </c>
      <c r="N35" t="s">
        <v>525</v>
      </c>
      <c r="O35">
        <v>13141252</v>
      </c>
      <c r="P35" t="s">
        <v>526</v>
      </c>
      <c r="Q35">
        <v>105176282</v>
      </c>
      <c r="R35">
        <v>10</v>
      </c>
      <c r="S35" t="s">
        <v>174</v>
      </c>
      <c r="T35" s="1">
        <v>26759</v>
      </c>
      <c r="U35" s="1">
        <v>39022</v>
      </c>
      <c r="W35" t="s">
        <v>159</v>
      </c>
      <c r="X35" t="s">
        <v>160</v>
      </c>
      <c r="Y35">
        <v>8</v>
      </c>
      <c r="Z35" t="s">
        <v>175</v>
      </c>
      <c r="AA35" t="s">
        <v>162</v>
      </c>
      <c r="AB35" t="s">
        <v>32</v>
      </c>
      <c r="AC35">
        <v>3</v>
      </c>
      <c r="AE35">
        <v>2</v>
      </c>
      <c r="AF35">
        <v>5</v>
      </c>
      <c r="AG35">
        <v>2</v>
      </c>
      <c r="AH35">
        <v>0</v>
      </c>
      <c r="AI35">
        <v>0</v>
      </c>
      <c r="AJ35">
        <v>0</v>
      </c>
      <c r="AK35">
        <v>3</v>
      </c>
      <c r="AL35">
        <v>1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3</v>
      </c>
      <c r="AV35">
        <v>3</v>
      </c>
    </row>
    <row r="36" spans="1:48">
      <c r="A36">
        <v>119</v>
      </c>
      <c r="B36" t="s">
        <v>154</v>
      </c>
      <c r="C36">
        <v>11901</v>
      </c>
      <c r="D36" t="s">
        <v>155</v>
      </c>
      <c r="E36">
        <v>1190101</v>
      </c>
      <c r="F36" t="s">
        <v>27</v>
      </c>
      <c r="G36">
        <v>119010101</v>
      </c>
      <c r="H36" t="s">
        <v>27</v>
      </c>
      <c r="I36">
        <v>2225</v>
      </c>
      <c r="J36" t="s">
        <v>169</v>
      </c>
      <c r="K36">
        <v>222523</v>
      </c>
      <c r="L36" t="s">
        <v>28</v>
      </c>
      <c r="M36">
        <v>22252301</v>
      </c>
      <c r="N36" t="s">
        <v>29</v>
      </c>
      <c r="O36">
        <v>801453548</v>
      </c>
      <c r="P36" t="s">
        <v>331</v>
      </c>
      <c r="Q36">
        <v>6458315312</v>
      </c>
      <c r="R36">
        <v>1</v>
      </c>
      <c r="S36" t="s">
        <v>158</v>
      </c>
      <c r="T36" s="1">
        <v>31976</v>
      </c>
      <c r="U36" s="1">
        <v>43980</v>
      </c>
      <c r="W36" t="s">
        <v>159</v>
      </c>
      <c r="X36" t="s">
        <v>160</v>
      </c>
      <c r="Y36">
        <v>3</v>
      </c>
      <c r="Z36" t="s">
        <v>589</v>
      </c>
      <c r="AA36" t="s">
        <v>162</v>
      </c>
      <c r="AB36" t="s">
        <v>32</v>
      </c>
      <c r="AC36">
        <v>1</v>
      </c>
      <c r="AE36">
        <v>0</v>
      </c>
      <c r="AF36">
        <v>2</v>
      </c>
      <c r="AG36">
        <v>0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V36">
        <v>1</v>
      </c>
    </row>
    <row r="37" spans="1:48">
      <c r="A37">
        <v>119</v>
      </c>
      <c r="B37" t="s">
        <v>154</v>
      </c>
      <c r="C37">
        <v>11901</v>
      </c>
      <c r="D37" t="s">
        <v>155</v>
      </c>
      <c r="E37">
        <v>1190101</v>
      </c>
      <c r="F37" t="s">
        <v>27</v>
      </c>
      <c r="G37">
        <v>119010101</v>
      </c>
      <c r="H37" t="s">
        <v>27</v>
      </c>
      <c r="I37">
        <v>2225</v>
      </c>
      <c r="J37" t="s">
        <v>169</v>
      </c>
      <c r="K37">
        <v>222523</v>
      </c>
      <c r="L37" t="s">
        <v>28</v>
      </c>
      <c r="M37">
        <v>22252301</v>
      </c>
      <c r="N37" t="s">
        <v>29</v>
      </c>
      <c r="O37">
        <v>801422083</v>
      </c>
      <c r="P37" t="s">
        <v>357</v>
      </c>
      <c r="Q37">
        <v>6426273602</v>
      </c>
      <c r="R37">
        <v>10</v>
      </c>
      <c r="S37" t="s">
        <v>174</v>
      </c>
      <c r="T37" s="1">
        <v>31017</v>
      </c>
      <c r="U37" s="1">
        <v>43963</v>
      </c>
      <c r="W37" t="s">
        <v>159</v>
      </c>
      <c r="X37" t="s">
        <v>160</v>
      </c>
      <c r="Y37">
        <v>5</v>
      </c>
      <c r="Z37" t="s">
        <v>171</v>
      </c>
      <c r="AA37" t="s">
        <v>162</v>
      </c>
      <c r="AB37" t="s">
        <v>32</v>
      </c>
      <c r="AC37">
        <v>1</v>
      </c>
      <c r="AD37">
        <v>1</v>
      </c>
      <c r="AE37">
        <v>0</v>
      </c>
      <c r="AF37">
        <v>4</v>
      </c>
      <c r="AG37">
        <v>0</v>
      </c>
      <c r="AH37">
        <v>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V37">
        <v>1</v>
      </c>
    </row>
    <row r="38" spans="1:48">
      <c r="A38">
        <v>119</v>
      </c>
      <c r="B38" t="s">
        <v>154</v>
      </c>
      <c r="C38">
        <v>11901</v>
      </c>
      <c r="D38" t="s">
        <v>155</v>
      </c>
      <c r="E38">
        <v>1190102</v>
      </c>
      <c r="F38" t="s">
        <v>48</v>
      </c>
      <c r="G38">
        <v>119010201</v>
      </c>
      <c r="H38" t="s">
        <v>48</v>
      </c>
      <c r="I38">
        <v>2473</v>
      </c>
      <c r="J38" t="s">
        <v>157</v>
      </c>
      <c r="K38">
        <v>247302</v>
      </c>
      <c r="L38" t="s">
        <v>49</v>
      </c>
      <c r="M38">
        <v>24730252</v>
      </c>
      <c r="N38" t="s">
        <v>82</v>
      </c>
      <c r="O38">
        <v>801355583</v>
      </c>
      <c r="P38" t="s">
        <v>387</v>
      </c>
      <c r="Q38">
        <v>6360574692</v>
      </c>
      <c r="R38">
        <v>2</v>
      </c>
      <c r="S38" t="s">
        <v>168</v>
      </c>
      <c r="T38" s="1">
        <v>23358</v>
      </c>
      <c r="U38" s="1">
        <v>43897</v>
      </c>
      <c r="W38" t="s">
        <v>159</v>
      </c>
      <c r="X38" t="s">
        <v>160</v>
      </c>
      <c r="Y38">
        <v>5</v>
      </c>
      <c r="Z38" t="s">
        <v>171</v>
      </c>
      <c r="AA38" t="s">
        <v>162</v>
      </c>
      <c r="AB38" t="s">
        <v>32</v>
      </c>
      <c r="AC38">
        <v>6</v>
      </c>
      <c r="AD38">
        <v>3</v>
      </c>
      <c r="AE38">
        <v>14</v>
      </c>
      <c r="AF38">
        <v>21</v>
      </c>
      <c r="AG38">
        <v>11</v>
      </c>
      <c r="AH38">
        <v>3</v>
      </c>
      <c r="AI38">
        <v>2</v>
      </c>
      <c r="AJ38">
        <v>0</v>
      </c>
      <c r="AK38">
        <v>5</v>
      </c>
      <c r="AL38">
        <v>3</v>
      </c>
      <c r="AM38">
        <v>4</v>
      </c>
      <c r="AN38">
        <v>1</v>
      </c>
      <c r="AO38">
        <v>2</v>
      </c>
      <c r="AP38">
        <v>5</v>
      </c>
      <c r="AQ38">
        <v>1</v>
      </c>
      <c r="AR38">
        <v>0</v>
      </c>
      <c r="AS38">
        <v>0</v>
      </c>
      <c r="AT38">
        <v>6</v>
      </c>
      <c r="AU38">
        <v>1</v>
      </c>
      <c r="AV38">
        <v>5</v>
      </c>
    </row>
    <row r="39" spans="1:48">
      <c r="A39">
        <v>119</v>
      </c>
      <c r="B39" t="s">
        <v>154</v>
      </c>
      <c r="C39">
        <v>11901</v>
      </c>
      <c r="D39" t="s">
        <v>155</v>
      </c>
      <c r="E39">
        <v>1190100</v>
      </c>
      <c r="F39" t="s">
        <v>42</v>
      </c>
      <c r="G39">
        <v>119010000</v>
      </c>
      <c r="H39" t="s">
        <v>156</v>
      </c>
      <c r="I39">
        <v>2473</v>
      </c>
      <c r="J39" t="s">
        <v>157</v>
      </c>
      <c r="K39">
        <v>247321</v>
      </c>
      <c r="L39" t="s">
        <v>62</v>
      </c>
      <c r="M39">
        <v>24732105</v>
      </c>
      <c r="N39" t="s">
        <v>72</v>
      </c>
      <c r="O39">
        <v>801573411</v>
      </c>
      <c r="P39" t="s">
        <v>269</v>
      </c>
      <c r="Q39">
        <v>6575257432</v>
      </c>
      <c r="R39">
        <v>1</v>
      </c>
      <c r="S39" t="s">
        <v>158</v>
      </c>
      <c r="T39" s="1">
        <v>30957</v>
      </c>
      <c r="U39" s="1">
        <v>44281</v>
      </c>
      <c r="W39" t="s">
        <v>164</v>
      </c>
      <c r="X39" t="s">
        <v>160</v>
      </c>
      <c r="Y39">
        <v>4</v>
      </c>
      <c r="Z39" t="s">
        <v>161</v>
      </c>
      <c r="AA39" t="s">
        <v>162</v>
      </c>
      <c r="AB39" t="s">
        <v>32</v>
      </c>
      <c r="AC39">
        <v>3</v>
      </c>
      <c r="AE39">
        <v>0</v>
      </c>
      <c r="AF39">
        <v>4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V39">
        <v>3</v>
      </c>
    </row>
    <row r="40" spans="1:48">
      <c r="A40">
        <v>119</v>
      </c>
      <c r="B40" t="s">
        <v>154</v>
      </c>
      <c r="C40">
        <v>11901</v>
      </c>
      <c r="D40" t="s">
        <v>155</v>
      </c>
      <c r="E40">
        <v>1190101</v>
      </c>
      <c r="F40" t="s">
        <v>27</v>
      </c>
      <c r="G40">
        <v>119010101</v>
      </c>
      <c r="H40" t="s">
        <v>27</v>
      </c>
      <c r="I40">
        <v>2473</v>
      </c>
      <c r="J40" t="s">
        <v>157</v>
      </c>
      <c r="K40">
        <v>247312</v>
      </c>
      <c r="L40" t="s">
        <v>37</v>
      </c>
      <c r="M40">
        <v>24731211</v>
      </c>
      <c r="N40" t="s">
        <v>226</v>
      </c>
      <c r="O40">
        <v>801420486</v>
      </c>
      <c r="P40" t="s">
        <v>368</v>
      </c>
      <c r="Q40">
        <v>6424700762</v>
      </c>
      <c r="R40">
        <v>2</v>
      </c>
      <c r="S40" t="s">
        <v>168</v>
      </c>
      <c r="T40" s="1">
        <v>29387</v>
      </c>
      <c r="U40" s="1">
        <v>43963</v>
      </c>
      <c r="W40" t="s">
        <v>159</v>
      </c>
      <c r="X40" t="s">
        <v>160</v>
      </c>
      <c r="Y40">
        <v>5</v>
      </c>
      <c r="Z40" t="s">
        <v>171</v>
      </c>
      <c r="AA40" t="s">
        <v>162</v>
      </c>
      <c r="AB40" t="s">
        <v>32</v>
      </c>
      <c r="AC40">
        <v>2</v>
      </c>
      <c r="AD40">
        <v>2</v>
      </c>
      <c r="AE40">
        <v>5</v>
      </c>
      <c r="AF40">
        <v>7</v>
      </c>
      <c r="AG40">
        <v>2</v>
      </c>
      <c r="AH40">
        <v>0</v>
      </c>
      <c r="AI40">
        <v>0</v>
      </c>
      <c r="AJ40">
        <v>0</v>
      </c>
      <c r="AK40">
        <v>5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V40">
        <v>2</v>
      </c>
    </row>
    <row r="41" spans="1:48">
      <c r="A41">
        <v>119</v>
      </c>
      <c r="B41" t="s">
        <v>154</v>
      </c>
      <c r="C41">
        <v>11901</v>
      </c>
      <c r="D41" t="s">
        <v>155</v>
      </c>
      <c r="E41">
        <v>1190102</v>
      </c>
      <c r="F41" t="s">
        <v>48</v>
      </c>
      <c r="G41">
        <v>119010201</v>
      </c>
      <c r="H41" t="s">
        <v>48</v>
      </c>
      <c r="I41">
        <v>2473</v>
      </c>
      <c r="J41" t="s">
        <v>157</v>
      </c>
      <c r="K41">
        <v>247302</v>
      </c>
      <c r="L41" t="s">
        <v>49</v>
      </c>
      <c r="M41">
        <v>24730252</v>
      </c>
      <c r="N41" t="s">
        <v>82</v>
      </c>
      <c r="O41">
        <v>801547481</v>
      </c>
      <c r="P41" t="s">
        <v>83</v>
      </c>
      <c r="Q41">
        <v>6549480842</v>
      </c>
      <c r="R41">
        <v>1</v>
      </c>
      <c r="S41" t="s">
        <v>158</v>
      </c>
      <c r="T41" s="1">
        <v>32392</v>
      </c>
      <c r="U41" s="1">
        <v>44259</v>
      </c>
      <c r="W41" t="s">
        <v>159</v>
      </c>
      <c r="X41" t="s">
        <v>160</v>
      </c>
      <c r="Y41">
        <v>4</v>
      </c>
      <c r="Z41" t="s">
        <v>161</v>
      </c>
      <c r="AA41" t="s">
        <v>162</v>
      </c>
      <c r="AB41" t="s">
        <v>32</v>
      </c>
      <c r="AC41">
        <v>4</v>
      </c>
      <c r="AD41">
        <v>3</v>
      </c>
      <c r="AE41">
        <v>13</v>
      </c>
      <c r="AF41">
        <v>14</v>
      </c>
      <c r="AG41">
        <v>6</v>
      </c>
      <c r="AH41">
        <v>1</v>
      </c>
      <c r="AI41">
        <v>0</v>
      </c>
      <c r="AJ41">
        <v>0</v>
      </c>
      <c r="AK41">
        <v>7</v>
      </c>
      <c r="AL41">
        <v>4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V41">
        <v>4</v>
      </c>
    </row>
    <row r="42" spans="1:48">
      <c r="A42">
        <v>119</v>
      </c>
      <c r="B42" t="s">
        <v>154</v>
      </c>
      <c r="C42">
        <v>11901</v>
      </c>
      <c r="D42" t="s">
        <v>155</v>
      </c>
      <c r="E42">
        <v>1190100</v>
      </c>
      <c r="F42" t="s">
        <v>42</v>
      </c>
      <c r="G42">
        <v>119010000</v>
      </c>
      <c r="H42" t="s">
        <v>156</v>
      </c>
      <c r="I42">
        <v>2473</v>
      </c>
      <c r="J42" t="s">
        <v>157</v>
      </c>
      <c r="K42">
        <v>247320</v>
      </c>
      <c r="L42" t="s">
        <v>43</v>
      </c>
      <c r="M42">
        <v>24732004</v>
      </c>
      <c r="N42" t="s">
        <v>70</v>
      </c>
      <c r="O42">
        <v>800666389</v>
      </c>
      <c r="P42" t="s">
        <v>71</v>
      </c>
      <c r="Q42">
        <v>5689072702</v>
      </c>
      <c r="R42">
        <v>3</v>
      </c>
      <c r="S42" t="s">
        <v>165</v>
      </c>
      <c r="T42" s="1">
        <v>30563</v>
      </c>
      <c r="U42" s="1">
        <v>43196</v>
      </c>
      <c r="W42" t="s">
        <v>159</v>
      </c>
      <c r="X42" t="s">
        <v>160</v>
      </c>
      <c r="Y42">
        <v>4</v>
      </c>
      <c r="Z42" t="s">
        <v>161</v>
      </c>
      <c r="AA42" t="s">
        <v>162</v>
      </c>
      <c r="AB42" t="s">
        <v>32</v>
      </c>
      <c r="AC42">
        <v>5</v>
      </c>
      <c r="AD42">
        <v>5</v>
      </c>
      <c r="AE42">
        <v>15</v>
      </c>
      <c r="AF42">
        <v>21</v>
      </c>
      <c r="AG42">
        <v>12</v>
      </c>
      <c r="AH42">
        <v>3</v>
      </c>
      <c r="AI42">
        <v>1</v>
      </c>
      <c r="AJ42">
        <v>0</v>
      </c>
      <c r="AK42">
        <v>5</v>
      </c>
      <c r="AL42">
        <v>1</v>
      </c>
      <c r="AM42">
        <v>11</v>
      </c>
      <c r="AN42">
        <v>4</v>
      </c>
      <c r="AO42">
        <v>2</v>
      </c>
      <c r="AP42">
        <v>1</v>
      </c>
      <c r="AQ42">
        <v>0</v>
      </c>
      <c r="AR42">
        <v>0</v>
      </c>
      <c r="AS42">
        <v>0</v>
      </c>
      <c r="AT42">
        <v>5</v>
      </c>
      <c r="AV42">
        <v>5</v>
      </c>
    </row>
    <row r="43" spans="1:48">
      <c r="A43">
        <v>119</v>
      </c>
      <c r="B43" t="s">
        <v>154</v>
      </c>
      <c r="C43">
        <v>11901</v>
      </c>
      <c r="D43" t="s">
        <v>155</v>
      </c>
      <c r="E43">
        <v>1190102</v>
      </c>
      <c r="F43" t="s">
        <v>48</v>
      </c>
      <c r="G43">
        <v>119010201</v>
      </c>
      <c r="H43" t="s">
        <v>48</v>
      </c>
      <c r="I43">
        <v>2473</v>
      </c>
      <c r="J43" t="s">
        <v>157</v>
      </c>
      <c r="K43">
        <v>247302</v>
      </c>
      <c r="L43" t="s">
        <v>49</v>
      </c>
      <c r="M43">
        <v>24730252</v>
      </c>
      <c r="N43" t="s">
        <v>82</v>
      </c>
      <c r="O43">
        <v>801128989</v>
      </c>
      <c r="P43" t="s">
        <v>90</v>
      </c>
      <c r="Q43">
        <v>6137982332</v>
      </c>
      <c r="R43">
        <v>2</v>
      </c>
      <c r="S43" t="s">
        <v>168</v>
      </c>
      <c r="T43" s="1">
        <v>26731</v>
      </c>
      <c r="U43" s="1">
        <v>43569</v>
      </c>
      <c r="W43" t="s">
        <v>164</v>
      </c>
      <c r="X43" t="s">
        <v>160</v>
      </c>
      <c r="Y43">
        <v>5</v>
      </c>
      <c r="Z43" t="s">
        <v>171</v>
      </c>
      <c r="AA43" t="s">
        <v>162</v>
      </c>
      <c r="AB43" t="s">
        <v>32</v>
      </c>
      <c r="AC43">
        <v>4</v>
      </c>
      <c r="AE43">
        <v>11</v>
      </c>
      <c r="AF43">
        <v>6</v>
      </c>
      <c r="AG43">
        <v>6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1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1</v>
      </c>
      <c r="AV43">
        <v>3</v>
      </c>
    </row>
    <row r="44" spans="1:48">
      <c r="A44">
        <v>119</v>
      </c>
      <c r="B44" t="s">
        <v>154</v>
      </c>
      <c r="C44">
        <v>11901</v>
      </c>
      <c r="D44" t="s">
        <v>155</v>
      </c>
      <c r="E44">
        <v>1190100</v>
      </c>
      <c r="F44" t="s">
        <v>42</v>
      </c>
      <c r="G44">
        <v>119010000</v>
      </c>
      <c r="H44" t="s">
        <v>156</v>
      </c>
      <c r="I44">
        <v>2473</v>
      </c>
      <c r="J44" t="s">
        <v>157</v>
      </c>
      <c r="K44">
        <v>247320</v>
      </c>
      <c r="L44" t="s">
        <v>43</v>
      </c>
      <c r="M44">
        <v>24732003</v>
      </c>
      <c r="N44" t="s">
        <v>75</v>
      </c>
      <c r="O44">
        <v>801073354</v>
      </c>
      <c r="P44" t="s">
        <v>443</v>
      </c>
      <c r="Q44">
        <v>6084400252</v>
      </c>
      <c r="R44">
        <v>10</v>
      </c>
      <c r="S44" t="s">
        <v>174</v>
      </c>
      <c r="T44" s="1">
        <v>32228</v>
      </c>
      <c r="U44" s="1">
        <v>43517</v>
      </c>
      <c r="W44" t="s">
        <v>164</v>
      </c>
      <c r="X44" t="s">
        <v>160</v>
      </c>
      <c r="Y44">
        <v>7</v>
      </c>
      <c r="Z44" t="s">
        <v>170</v>
      </c>
      <c r="AA44" t="s">
        <v>162</v>
      </c>
      <c r="AB44" t="s">
        <v>32</v>
      </c>
      <c r="AC44">
        <v>1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V44">
        <v>1</v>
      </c>
    </row>
    <row r="45" spans="1:48">
      <c r="A45">
        <v>119</v>
      </c>
      <c r="B45" t="s">
        <v>154</v>
      </c>
      <c r="C45">
        <v>11901</v>
      </c>
      <c r="D45" t="s">
        <v>155</v>
      </c>
      <c r="E45">
        <v>1190102</v>
      </c>
      <c r="F45" t="s">
        <v>48</v>
      </c>
      <c r="G45">
        <v>119010201</v>
      </c>
      <c r="H45" t="s">
        <v>48</v>
      </c>
      <c r="I45">
        <v>2473</v>
      </c>
      <c r="J45" t="s">
        <v>157</v>
      </c>
      <c r="K45">
        <v>247302</v>
      </c>
      <c r="L45" t="s">
        <v>49</v>
      </c>
      <c r="M45">
        <v>24730201</v>
      </c>
      <c r="N45" t="s">
        <v>50</v>
      </c>
      <c r="O45">
        <v>5249640</v>
      </c>
      <c r="P45" t="s">
        <v>530</v>
      </c>
      <c r="Q45">
        <v>51173242</v>
      </c>
      <c r="R45">
        <v>2</v>
      </c>
      <c r="S45" t="s">
        <v>168</v>
      </c>
      <c r="T45" s="1">
        <v>24016</v>
      </c>
      <c r="U45" s="1">
        <v>38504</v>
      </c>
      <c r="W45" t="s">
        <v>159</v>
      </c>
      <c r="X45" t="s">
        <v>160</v>
      </c>
      <c r="Y45">
        <v>4</v>
      </c>
      <c r="Z45" t="s">
        <v>161</v>
      </c>
      <c r="AA45" t="s">
        <v>162</v>
      </c>
      <c r="AB45" t="s">
        <v>32</v>
      </c>
      <c r="AC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V45">
        <v>1</v>
      </c>
    </row>
    <row r="46" spans="1:48">
      <c r="A46">
        <v>119</v>
      </c>
      <c r="B46" t="s">
        <v>154</v>
      </c>
      <c r="C46">
        <v>11901</v>
      </c>
      <c r="D46" t="s">
        <v>155</v>
      </c>
      <c r="E46">
        <v>1190100</v>
      </c>
      <c r="F46" t="s">
        <v>42</v>
      </c>
      <c r="G46">
        <v>119010000</v>
      </c>
      <c r="H46" t="s">
        <v>156</v>
      </c>
      <c r="I46">
        <v>2473</v>
      </c>
      <c r="J46" t="s">
        <v>157</v>
      </c>
      <c r="K46">
        <v>247319</v>
      </c>
      <c r="L46" t="s">
        <v>66</v>
      </c>
      <c r="M46">
        <v>24731901</v>
      </c>
      <c r="N46" t="s">
        <v>343</v>
      </c>
      <c r="O46">
        <v>7636952</v>
      </c>
      <c r="P46" t="s">
        <v>529</v>
      </c>
      <c r="Q46">
        <v>70685592</v>
      </c>
      <c r="R46">
        <v>2</v>
      </c>
      <c r="S46" t="s">
        <v>168</v>
      </c>
      <c r="T46" s="1">
        <v>25265</v>
      </c>
      <c r="U46" s="1">
        <v>38687</v>
      </c>
      <c r="W46" t="s">
        <v>159</v>
      </c>
      <c r="X46" t="s">
        <v>160</v>
      </c>
      <c r="Y46">
        <v>4</v>
      </c>
      <c r="Z46" t="s">
        <v>161</v>
      </c>
      <c r="AA46" t="s">
        <v>162</v>
      </c>
      <c r="AB46" t="s">
        <v>32</v>
      </c>
      <c r="AC46">
        <v>2</v>
      </c>
      <c r="AE46">
        <v>3</v>
      </c>
      <c r="AF46">
        <v>3</v>
      </c>
      <c r="AG46">
        <v>1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V46">
        <v>2</v>
      </c>
    </row>
    <row r="47" spans="1:48">
      <c r="A47">
        <v>119</v>
      </c>
      <c r="B47" t="s">
        <v>154</v>
      </c>
      <c r="C47">
        <v>11901</v>
      </c>
      <c r="D47" t="s">
        <v>155</v>
      </c>
      <c r="E47">
        <v>1190100</v>
      </c>
      <c r="F47" t="s">
        <v>42</v>
      </c>
      <c r="G47">
        <v>119010000</v>
      </c>
      <c r="H47" t="s">
        <v>156</v>
      </c>
      <c r="I47">
        <v>2473</v>
      </c>
      <c r="J47" t="s">
        <v>157</v>
      </c>
      <c r="K47">
        <v>247321</v>
      </c>
      <c r="L47" t="s">
        <v>62</v>
      </c>
      <c r="M47">
        <v>24732103</v>
      </c>
      <c r="N47" t="s">
        <v>228</v>
      </c>
      <c r="O47">
        <v>215346543</v>
      </c>
      <c r="P47" t="s">
        <v>229</v>
      </c>
      <c r="Q47">
        <v>786071202</v>
      </c>
      <c r="R47">
        <v>3</v>
      </c>
      <c r="S47" t="s">
        <v>165</v>
      </c>
      <c r="T47" s="1">
        <v>28802</v>
      </c>
      <c r="U47" s="1">
        <v>42195</v>
      </c>
      <c r="W47" t="s">
        <v>159</v>
      </c>
      <c r="X47" t="s">
        <v>160</v>
      </c>
      <c r="Y47">
        <v>4</v>
      </c>
      <c r="Z47" t="s">
        <v>161</v>
      </c>
      <c r="AA47" t="s">
        <v>162</v>
      </c>
      <c r="AB47" t="s">
        <v>32</v>
      </c>
      <c r="AC47">
        <v>2</v>
      </c>
      <c r="AD47">
        <v>1</v>
      </c>
      <c r="AE47">
        <v>0</v>
      </c>
      <c r="AF47">
        <v>4</v>
      </c>
      <c r="AG47">
        <v>0</v>
      </c>
      <c r="AH47">
        <v>3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1</v>
      </c>
      <c r="AV47">
        <v>1</v>
      </c>
    </row>
    <row r="48" spans="1:48">
      <c r="A48">
        <v>119</v>
      </c>
      <c r="B48" t="s">
        <v>154</v>
      </c>
      <c r="C48">
        <v>11901</v>
      </c>
      <c r="D48" t="s">
        <v>155</v>
      </c>
      <c r="E48">
        <v>1190101</v>
      </c>
      <c r="F48" t="s">
        <v>27</v>
      </c>
      <c r="G48">
        <v>119010101</v>
      </c>
      <c r="H48" t="s">
        <v>27</v>
      </c>
      <c r="I48">
        <v>2473</v>
      </c>
      <c r="J48" t="s">
        <v>157</v>
      </c>
      <c r="K48">
        <v>247312</v>
      </c>
      <c r="L48" t="s">
        <v>37</v>
      </c>
      <c r="M48">
        <v>24731211</v>
      </c>
      <c r="N48" t="s">
        <v>226</v>
      </c>
      <c r="O48">
        <v>801420819</v>
      </c>
      <c r="P48" t="s">
        <v>366</v>
      </c>
      <c r="Q48">
        <v>6425025272</v>
      </c>
      <c r="R48">
        <v>2</v>
      </c>
      <c r="S48" t="s">
        <v>168</v>
      </c>
      <c r="T48" s="1">
        <v>29442</v>
      </c>
      <c r="U48" s="1">
        <v>43963</v>
      </c>
      <c r="W48" t="s">
        <v>159</v>
      </c>
      <c r="X48" t="s">
        <v>160</v>
      </c>
      <c r="Y48">
        <v>4</v>
      </c>
      <c r="Z48" t="s">
        <v>161</v>
      </c>
      <c r="AA48" t="s">
        <v>162</v>
      </c>
      <c r="AB48" t="s">
        <v>32</v>
      </c>
      <c r="AC48">
        <v>3</v>
      </c>
      <c r="AD48">
        <v>1</v>
      </c>
      <c r="AE48">
        <v>5</v>
      </c>
      <c r="AF48">
        <v>8</v>
      </c>
      <c r="AG48">
        <v>1</v>
      </c>
      <c r="AH48">
        <v>2</v>
      </c>
      <c r="AI48">
        <v>0</v>
      </c>
      <c r="AJ48">
        <v>0</v>
      </c>
      <c r="AK48">
        <v>5</v>
      </c>
      <c r="AL48">
        <v>2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</v>
      </c>
      <c r="AV48">
        <v>3</v>
      </c>
    </row>
    <row r="49" spans="1:48">
      <c r="A49">
        <v>119</v>
      </c>
      <c r="B49" t="s">
        <v>154</v>
      </c>
      <c r="C49">
        <v>11901</v>
      </c>
      <c r="D49" t="s">
        <v>155</v>
      </c>
      <c r="E49">
        <v>1190101</v>
      </c>
      <c r="F49" t="s">
        <v>27</v>
      </c>
      <c r="G49">
        <v>119010101</v>
      </c>
      <c r="H49" t="s">
        <v>27</v>
      </c>
      <c r="I49">
        <v>2225</v>
      </c>
      <c r="J49" t="s">
        <v>169</v>
      </c>
      <c r="K49">
        <v>222522</v>
      </c>
      <c r="L49" t="s">
        <v>100</v>
      </c>
      <c r="M49">
        <v>22252201</v>
      </c>
      <c r="N49" t="s">
        <v>101</v>
      </c>
      <c r="O49">
        <v>801549201</v>
      </c>
      <c r="P49" t="s">
        <v>106</v>
      </c>
      <c r="Q49">
        <v>6550456242</v>
      </c>
      <c r="R49">
        <v>1</v>
      </c>
      <c r="S49" t="s">
        <v>158</v>
      </c>
      <c r="T49" s="1">
        <v>31826</v>
      </c>
      <c r="U49" s="1">
        <v>44260</v>
      </c>
      <c r="W49" t="s">
        <v>159</v>
      </c>
      <c r="X49" t="s">
        <v>160</v>
      </c>
      <c r="Y49">
        <v>8</v>
      </c>
      <c r="Z49" t="s">
        <v>175</v>
      </c>
      <c r="AA49" t="s">
        <v>162</v>
      </c>
      <c r="AB49" t="s">
        <v>32</v>
      </c>
      <c r="AC49">
        <v>1</v>
      </c>
      <c r="AD49">
        <v>1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V49">
        <v>1</v>
      </c>
    </row>
    <row r="50" spans="1:45">
      <c r="A50">
        <v>119</v>
      </c>
      <c r="B50" t="s">
        <v>154</v>
      </c>
      <c r="C50">
        <v>11901</v>
      </c>
      <c r="D50" t="s">
        <v>155</v>
      </c>
      <c r="E50">
        <v>1190100</v>
      </c>
      <c r="F50" t="s">
        <v>42</v>
      </c>
      <c r="G50">
        <v>119010000</v>
      </c>
      <c r="H50" t="s">
        <v>156</v>
      </c>
      <c r="I50">
        <v>2473</v>
      </c>
      <c r="J50" t="s">
        <v>157</v>
      </c>
      <c r="K50">
        <v>247319</v>
      </c>
      <c r="L50" t="s">
        <v>66</v>
      </c>
      <c r="M50">
        <v>24731902</v>
      </c>
      <c r="N50" t="s">
        <v>67</v>
      </c>
      <c r="O50">
        <v>801543452</v>
      </c>
      <c r="P50" t="s">
        <v>302</v>
      </c>
      <c r="Q50">
        <v>6545451222</v>
      </c>
      <c r="R50">
        <v>1</v>
      </c>
      <c r="S50" t="s">
        <v>158</v>
      </c>
      <c r="T50" s="1">
        <v>32648</v>
      </c>
      <c r="U50" s="1">
        <v>44257</v>
      </c>
      <c r="W50" t="s">
        <v>159</v>
      </c>
      <c r="X50" t="s">
        <v>160</v>
      </c>
      <c r="Y50">
        <v>4</v>
      </c>
      <c r="Z50" t="s">
        <v>161</v>
      </c>
      <c r="AA50" t="s">
        <v>162</v>
      </c>
      <c r="AB50" t="s">
        <v>32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8">
      <c r="A51">
        <v>119</v>
      </c>
      <c r="B51" t="s">
        <v>154</v>
      </c>
      <c r="C51">
        <v>11901</v>
      </c>
      <c r="D51" t="s">
        <v>155</v>
      </c>
      <c r="E51">
        <v>1190102</v>
      </c>
      <c r="F51" t="s">
        <v>48</v>
      </c>
      <c r="G51">
        <v>119010201</v>
      </c>
      <c r="H51" t="s">
        <v>48</v>
      </c>
      <c r="I51">
        <v>2473</v>
      </c>
      <c r="J51" t="s">
        <v>157</v>
      </c>
      <c r="K51">
        <v>247302</v>
      </c>
      <c r="L51" t="s">
        <v>49</v>
      </c>
      <c r="M51">
        <v>24730252</v>
      </c>
      <c r="N51" t="s">
        <v>82</v>
      </c>
      <c r="O51">
        <v>801161431</v>
      </c>
      <c r="P51" t="s">
        <v>428</v>
      </c>
      <c r="Q51">
        <v>6170483702</v>
      </c>
      <c r="R51">
        <v>2</v>
      </c>
      <c r="S51" t="s">
        <v>168</v>
      </c>
      <c r="T51" s="1">
        <v>21839</v>
      </c>
      <c r="U51" s="1">
        <v>43596</v>
      </c>
      <c r="W51" t="s">
        <v>159</v>
      </c>
      <c r="X51" t="s">
        <v>160</v>
      </c>
      <c r="Y51">
        <v>5</v>
      </c>
      <c r="Z51" t="s">
        <v>171</v>
      </c>
      <c r="AA51" t="s">
        <v>162</v>
      </c>
      <c r="AB51" t="s">
        <v>32</v>
      </c>
      <c r="AC51">
        <v>5</v>
      </c>
      <c r="AD51">
        <v>3</v>
      </c>
      <c r="AE51">
        <v>11</v>
      </c>
      <c r="AF51">
        <v>16</v>
      </c>
      <c r="AG51">
        <v>8</v>
      </c>
      <c r="AH51">
        <v>0</v>
      </c>
      <c r="AI51">
        <v>1</v>
      </c>
      <c r="AJ51">
        <v>0</v>
      </c>
      <c r="AK51">
        <v>7</v>
      </c>
      <c r="AL51">
        <v>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5</v>
      </c>
      <c r="AU51">
        <v>1</v>
      </c>
      <c r="AV51">
        <v>4</v>
      </c>
    </row>
    <row r="52" spans="1:48">
      <c r="A52">
        <v>119</v>
      </c>
      <c r="B52" t="s">
        <v>154</v>
      </c>
      <c r="C52">
        <v>11901</v>
      </c>
      <c r="D52" t="s">
        <v>155</v>
      </c>
      <c r="E52">
        <v>1190102</v>
      </c>
      <c r="F52" t="s">
        <v>48</v>
      </c>
      <c r="G52">
        <v>119010201</v>
      </c>
      <c r="H52" t="s">
        <v>48</v>
      </c>
      <c r="I52">
        <v>2473</v>
      </c>
      <c r="J52" t="s">
        <v>157</v>
      </c>
      <c r="K52">
        <v>247302</v>
      </c>
      <c r="L52" t="s">
        <v>49</v>
      </c>
      <c r="M52">
        <v>24730201</v>
      </c>
      <c r="N52" t="s">
        <v>50</v>
      </c>
      <c r="O52">
        <v>18924255</v>
      </c>
      <c r="P52" t="s">
        <v>91</v>
      </c>
      <c r="Q52">
        <v>157576102</v>
      </c>
      <c r="R52">
        <v>23</v>
      </c>
      <c r="S52" t="s">
        <v>166</v>
      </c>
      <c r="T52" s="1">
        <v>23194</v>
      </c>
      <c r="U52" s="1">
        <v>39295</v>
      </c>
      <c r="W52" t="s">
        <v>159</v>
      </c>
      <c r="X52" t="s">
        <v>160</v>
      </c>
      <c r="Y52">
        <v>4</v>
      </c>
      <c r="Z52" t="s">
        <v>161</v>
      </c>
      <c r="AA52" t="s">
        <v>162</v>
      </c>
      <c r="AB52" t="s">
        <v>32</v>
      </c>
      <c r="AC52">
        <v>4</v>
      </c>
      <c r="AD52">
        <v>4</v>
      </c>
      <c r="AE52">
        <v>21</v>
      </c>
      <c r="AF52">
        <v>19</v>
      </c>
      <c r="AG52">
        <v>14</v>
      </c>
      <c r="AH52">
        <v>1</v>
      </c>
      <c r="AI52">
        <v>2</v>
      </c>
      <c r="AJ52">
        <v>0</v>
      </c>
      <c r="AK52">
        <v>2</v>
      </c>
      <c r="AL52">
        <v>7</v>
      </c>
      <c r="AM52">
        <v>2</v>
      </c>
      <c r="AN52">
        <v>6</v>
      </c>
      <c r="AO52">
        <v>0</v>
      </c>
      <c r="AP52">
        <v>0</v>
      </c>
      <c r="AQ52">
        <v>3</v>
      </c>
      <c r="AR52">
        <v>0</v>
      </c>
      <c r="AS52">
        <v>0</v>
      </c>
      <c r="AT52">
        <v>4</v>
      </c>
      <c r="AV52">
        <v>4</v>
      </c>
    </row>
    <row r="53" spans="1:48">
      <c r="A53">
        <v>119</v>
      </c>
      <c r="B53" t="s">
        <v>154</v>
      </c>
      <c r="C53">
        <v>11901</v>
      </c>
      <c r="D53" t="s">
        <v>155</v>
      </c>
      <c r="E53">
        <v>1190100</v>
      </c>
      <c r="F53" t="s">
        <v>42</v>
      </c>
      <c r="G53">
        <v>119010000</v>
      </c>
      <c r="H53" t="s">
        <v>156</v>
      </c>
      <c r="I53">
        <v>2473</v>
      </c>
      <c r="J53" t="s">
        <v>157</v>
      </c>
      <c r="K53">
        <v>247320</v>
      </c>
      <c r="L53" t="s">
        <v>43</v>
      </c>
      <c r="M53">
        <v>24732002</v>
      </c>
      <c r="N53" t="s">
        <v>77</v>
      </c>
      <c r="O53">
        <v>37571291</v>
      </c>
      <c r="P53" t="s">
        <v>220</v>
      </c>
      <c r="Q53">
        <v>362775482</v>
      </c>
      <c r="R53">
        <v>3</v>
      </c>
      <c r="S53" t="s">
        <v>165</v>
      </c>
      <c r="T53" s="1">
        <v>23135</v>
      </c>
      <c r="U53" s="1">
        <v>40238</v>
      </c>
      <c r="W53" t="s">
        <v>159</v>
      </c>
      <c r="X53" t="s">
        <v>160</v>
      </c>
      <c r="Y53">
        <v>5</v>
      </c>
      <c r="Z53" t="s">
        <v>171</v>
      </c>
      <c r="AA53" t="s">
        <v>162</v>
      </c>
      <c r="AB53" t="s">
        <v>32</v>
      </c>
      <c r="AC53">
        <v>6</v>
      </c>
      <c r="AD53">
        <v>4</v>
      </c>
      <c r="AE53">
        <v>18</v>
      </c>
      <c r="AF53">
        <v>19</v>
      </c>
      <c r="AG53">
        <v>6</v>
      </c>
      <c r="AH53">
        <v>0</v>
      </c>
      <c r="AI53">
        <v>7</v>
      </c>
      <c r="AJ53">
        <v>0</v>
      </c>
      <c r="AK53">
        <v>6</v>
      </c>
      <c r="AL53">
        <v>5</v>
      </c>
      <c r="AM53">
        <v>2</v>
      </c>
      <c r="AN53">
        <v>6</v>
      </c>
      <c r="AO53">
        <v>2</v>
      </c>
      <c r="AP53">
        <v>0</v>
      </c>
      <c r="AQ53">
        <v>0</v>
      </c>
      <c r="AR53">
        <v>0</v>
      </c>
      <c r="AS53">
        <v>0</v>
      </c>
      <c r="AT53">
        <v>6</v>
      </c>
      <c r="AV53">
        <v>6</v>
      </c>
    </row>
    <row r="54" spans="1:48">
      <c r="A54">
        <v>119</v>
      </c>
      <c r="B54" t="s">
        <v>154</v>
      </c>
      <c r="C54">
        <v>11901</v>
      </c>
      <c r="D54" t="s">
        <v>155</v>
      </c>
      <c r="E54">
        <v>1190100</v>
      </c>
      <c r="F54" t="s">
        <v>42</v>
      </c>
      <c r="G54">
        <v>119010000</v>
      </c>
      <c r="H54" t="s">
        <v>156</v>
      </c>
      <c r="I54">
        <v>2473</v>
      </c>
      <c r="J54" t="s">
        <v>157</v>
      </c>
      <c r="K54">
        <v>247320</v>
      </c>
      <c r="L54" t="s">
        <v>43</v>
      </c>
      <c r="M54">
        <v>24732001</v>
      </c>
      <c r="N54" t="s">
        <v>44</v>
      </c>
      <c r="O54">
        <v>800585069</v>
      </c>
      <c r="P54" t="s">
        <v>479</v>
      </c>
      <c r="Q54">
        <v>5596364242</v>
      </c>
      <c r="R54">
        <v>10</v>
      </c>
      <c r="S54" t="s">
        <v>174</v>
      </c>
      <c r="T54" s="1">
        <v>30326</v>
      </c>
      <c r="U54" s="1">
        <v>43035</v>
      </c>
      <c r="W54" t="s">
        <v>159</v>
      </c>
      <c r="X54" t="s">
        <v>160</v>
      </c>
      <c r="Y54">
        <v>7</v>
      </c>
      <c r="Z54" t="s">
        <v>170</v>
      </c>
      <c r="AA54" t="s">
        <v>162</v>
      </c>
      <c r="AB54" t="s">
        <v>32</v>
      </c>
      <c r="AC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V54">
        <v>1</v>
      </c>
    </row>
    <row r="55" spans="1:48">
      <c r="A55">
        <v>119</v>
      </c>
      <c r="B55" t="s">
        <v>154</v>
      </c>
      <c r="C55">
        <v>11901</v>
      </c>
      <c r="D55" t="s">
        <v>155</v>
      </c>
      <c r="E55">
        <v>1190100</v>
      </c>
      <c r="F55" t="s">
        <v>42</v>
      </c>
      <c r="G55">
        <v>119010000</v>
      </c>
      <c r="H55" t="s">
        <v>156</v>
      </c>
      <c r="I55">
        <v>2473</v>
      </c>
      <c r="J55" t="s">
        <v>157</v>
      </c>
      <c r="K55">
        <v>247321</v>
      </c>
      <c r="L55" t="s">
        <v>62</v>
      </c>
      <c r="M55">
        <v>24732101</v>
      </c>
      <c r="N55" t="s">
        <v>86</v>
      </c>
      <c r="O55">
        <v>23050910</v>
      </c>
      <c r="P55" t="s">
        <v>87</v>
      </c>
      <c r="Q55">
        <v>214639732</v>
      </c>
      <c r="R55">
        <v>5</v>
      </c>
      <c r="S55" t="s">
        <v>167</v>
      </c>
      <c r="T55" s="1">
        <v>29933</v>
      </c>
      <c r="U55" s="1">
        <v>39539</v>
      </c>
      <c r="W55" t="s">
        <v>159</v>
      </c>
      <c r="X55" t="s">
        <v>160</v>
      </c>
      <c r="Y55">
        <v>4</v>
      </c>
      <c r="Z55" t="s">
        <v>161</v>
      </c>
      <c r="AA55" t="s">
        <v>162</v>
      </c>
      <c r="AB55" t="s">
        <v>32</v>
      </c>
      <c r="AC55">
        <v>5</v>
      </c>
      <c r="AD55">
        <v>3</v>
      </c>
      <c r="AE55">
        <v>10</v>
      </c>
      <c r="AF55">
        <v>13</v>
      </c>
      <c r="AG55">
        <v>0</v>
      </c>
      <c r="AH55">
        <v>3</v>
      </c>
      <c r="AI55">
        <v>2</v>
      </c>
      <c r="AJ55">
        <v>0</v>
      </c>
      <c r="AK55">
        <v>8</v>
      </c>
      <c r="AL55">
        <v>0</v>
      </c>
      <c r="AM55">
        <v>1</v>
      </c>
      <c r="AN55">
        <v>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5</v>
      </c>
      <c r="AV55">
        <v>5</v>
      </c>
    </row>
    <row r="56" spans="1:48">
      <c r="A56">
        <v>119</v>
      </c>
      <c r="B56" t="s">
        <v>154</v>
      </c>
      <c r="C56">
        <v>11901</v>
      </c>
      <c r="D56" t="s">
        <v>155</v>
      </c>
      <c r="E56">
        <v>1190101</v>
      </c>
      <c r="F56" t="s">
        <v>27</v>
      </c>
      <c r="G56">
        <v>119010101</v>
      </c>
      <c r="H56" t="s">
        <v>27</v>
      </c>
      <c r="I56">
        <v>2225</v>
      </c>
      <c r="J56" t="s">
        <v>169</v>
      </c>
      <c r="K56">
        <v>222523</v>
      </c>
      <c r="L56" t="s">
        <v>28</v>
      </c>
      <c r="M56">
        <v>22252301</v>
      </c>
      <c r="N56" t="s">
        <v>29</v>
      </c>
      <c r="O56">
        <v>801265294</v>
      </c>
      <c r="P56" t="s">
        <v>414</v>
      </c>
      <c r="Q56">
        <v>6271123452</v>
      </c>
      <c r="R56">
        <v>10</v>
      </c>
      <c r="S56" t="s">
        <v>174</v>
      </c>
      <c r="T56" s="1">
        <v>26245</v>
      </c>
      <c r="U56" s="1">
        <v>43763</v>
      </c>
      <c r="W56" t="s">
        <v>164</v>
      </c>
      <c r="X56" t="s">
        <v>160</v>
      </c>
      <c r="Y56">
        <v>4</v>
      </c>
      <c r="Z56" t="s">
        <v>161</v>
      </c>
      <c r="AA56" t="s">
        <v>162</v>
      </c>
      <c r="AB56" t="s">
        <v>32</v>
      </c>
      <c r="AC56">
        <v>1</v>
      </c>
      <c r="AE56">
        <v>0</v>
      </c>
      <c r="AF56">
        <v>2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V56">
        <v>1</v>
      </c>
    </row>
    <row r="57" spans="1:48">
      <c r="A57">
        <v>119</v>
      </c>
      <c r="B57" t="s">
        <v>154</v>
      </c>
      <c r="C57">
        <v>11901</v>
      </c>
      <c r="D57" t="s">
        <v>155</v>
      </c>
      <c r="E57">
        <v>1190100</v>
      </c>
      <c r="F57" t="s">
        <v>42</v>
      </c>
      <c r="G57">
        <v>119010000</v>
      </c>
      <c r="H57" t="s">
        <v>156</v>
      </c>
      <c r="I57">
        <v>2473</v>
      </c>
      <c r="J57" t="s">
        <v>157</v>
      </c>
      <c r="K57">
        <v>247320</v>
      </c>
      <c r="L57" t="s">
        <v>43</v>
      </c>
      <c r="M57">
        <v>24732003</v>
      </c>
      <c r="N57" t="s">
        <v>75</v>
      </c>
      <c r="O57">
        <v>801264874</v>
      </c>
      <c r="P57" t="s">
        <v>415</v>
      </c>
      <c r="Q57">
        <v>6270653892</v>
      </c>
      <c r="R57">
        <v>2</v>
      </c>
      <c r="S57" t="s">
        <v>168</v>
      </c>
      <c r="T57" s="1">
        <v>31201</v>
      </c>
      <c r="U57" s="1">
        <v>43762</v>
      </c>
      <c r="W57" t="s">
        <v>159</v>
      </c>
      <c r="X57" t="s">
        <v>160</v>
      </c>
      <c r="Y57">
        <v>5</v>
      </c>
      <c r="Z57" t="s">
        <v>171</v>
      </c>
      <c r="AA57" t="s">
        <v>162</v>
      </c>
      <c r="AB57" t="s">
        <v>32</v>
      </c>
      <c r="AC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V57">
        <v>1</v>
      </c>
    </row>
    <row r="58" spans="1:48">
      <c r="A58">
        <v>119</v>
      </c>
      <c r="B58" t="s">
        <v>154</v>
      </c>
      <c r="C58">
        <v>11901</v>
      </c>
      <c r="D58" t="s">
        <v>155</v>
      </c>
      <c r="E58">
        <v>1190101</v>
      </c>
      <c r="F58" t="s">
        <v>27</v>
      </c>
      <c r="G58">
        <v>119010101</v>
      </c>
      <c r="H58" t="s">
        <v>27</v>
      </c>
      <c r="I58">
        <v>2225</v>
      </c>
      <c r="J58" t="s">
        <v>169</v>
      </c>
      <c r="K58">
        <v>222523</v>
      </c>
      <c r="L58" t="s">
        <v>28</v>
      </c>
      <c r="M58">
        <v>22252301</v>
      </c>
      <c r="N58" t="s">
        <v>29</v>
      </c>
      <c r="O58">
        <v>801272813</v>
      </c>
      <c r="P58" t="s">
        <v>410</v>
      </c>
      <c r="Q58">
        <v>6278827232</v>
      </c>
      <c r="R58">
        <v>10</v>
      </c>
      <c r="S58" t="s">
        <v>174</v>
      </c>
      <c r="T58" s="1">
        <v>33941</v>
      </c>
      <c r="U58" s="1">
        <v>43780</v>
      </c>
      <c r="W58" t="s">
        <v>164</v>
      </c>
      <c r="X58" t="s">
        <v>160</v>
      </c>
      <c r="Y58">
        <v>4</v>
      </c>
      <c r="Z58" t="s">
        <v>161</v>
      </c>
      <c r="AA58" t="s">
        <v>162</v>
      </c>
      <c r="AB58" t="s">
        <v>32</v>
      </c>
      <c r="AC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V58">
        <v>1</v>
      </c>
    </row>
    <row r="59" spans="1:48">
      <c r="A59">
        <v>119</v>
      </c>
      <c r="B59" t="s">
        <v>154</v>
      </c>
      <c r="C59">
        <v>11901</v>
      </c>
      <c r="D59" t="s">
        <v>155</v>
      </c>
      <c r="E59">
        <v>1190101</v>
      </c>
      <c r="F59" t="s">
        <v>27</v>
      </c>
      <c r="G59">
        <v>119010101</v>
      </c>
      <c r="H59" t="s">
        <v>27</v>
      </c>
      <c r="I59">
        <v>2457</v>
      </c>
      <c r="J59" t="s">
        <v>172</v>
      </c>
      <c r="K59">
        <v>245708</v>
      </c>
      <c r="L59" t="s">
        <v>52</v>
      </c>
      <c r="M59">
        <v>24570801</v>
      </c>
      <c r="N59" t="s">
        <v>53</v>
      </c>
      <c r="O59">
        <v>203708725</v>
      </c>
      <c r="P59" t="s">
        <v>54</v>
      </c>
      <c r="Q59">
        <v>531925062</v>
      </c>
      <c r="R59">
        <v>2</v>
      </c>
      <c r="S59" t="s">
        <v>168</v>
      </c>
      <c r="T59" s="1">
        <v>27427</v>
      </c>
      <c r="U59" s="1">
        <v>41434</v>
      </c>
      <c r="W59" t="s">
        <v>159</v>
      </c>
      <c r="X59" t="s">
        <v>160</v>
      </c>
      <c r="Y59">
        <v>4</v>
      </c>
      <c r="Z59" t="s">
        <v>161</v>
      </c>
      <c r="AA59" t="s">
        <v>162</v>
      </c>
      <c r="AB59" t="s">
        <v>32</v>
      </c>
      <c r="AC59">
        <v>3</v>
      </c>
      <c r="AD59">
        <v>3</v>
      </c>
      <c r="AE59">
        <v>4</v>
      </c>
      <c r="AF59">
        <v>9</v>
      </c>
      <c r="AG59">
        <v>1</v>
      </c>
      <c r="AH59">
        <v>3</v>
      </c>
      <c r="AI59">
        <v>4</v>
      </c>
      <c r="AJ59">
        <v>0</v>
      </c>
      <c r="AK59">
        <v>1</v>
      </c>
      <c r="AL59">
        <v>0</v>
      </c>
      <c r="AM59">
        <v>0</v>
      </c>
      <c r="AN59">
        <v>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</v>
      </c>
      <c r="AV59">
        <v>3</v>
      </c>
    </row>
    <row r="60" spans="1:45">
      <c r="A60">
        <v>119</v>
      </c>
      <c r="B60" t="s">
        <v>154</v>
      </c>
      <c r="C60">
        <v>11901</v>
      </c>
      <c r="D60" t="s">
        <v>155</v>
      </c>
      <c r="E60">
        <v>1190100</v>
      </c>
      <c r="F60" t="s">
        <v>42</v>
      </c>
      <c r="G60">
        <v>119010000</v>
      </c>
      <c r="H60" t="s">
        <v>156</v>
      </c>
      <c r="I60">
        <v>2473</v>
      </c>
      <c r="J60" t="s">
        <v>157</v>
      </c>
      <c r="K60">
        <v>247315</v>
      </c>
      <c r="L60" t="s">
        <v>518</v>
      </c>
      <c r="M60">
        <v>24731501</v>
      </c>
      <c r="N60" t="s">
        <v>519</v>
      </c>
      <c r="O60">
        <v>23269208</v>
      </c>
      <c r="P60" t="s">
        <v>522</v>
      </c>
      <c r="Q60">
        <v>217723912</v>
      </c>
      <c r="R60">
        <v>10</v>
      </c>
      <c r="S60" t="s">
        <v>174</v>
      </c>
      <c r="T60" s="1">
        <v>24830</v>
      </c>
      <c r="U60" s="1">
        <v>39539</v>
      </c>
      <c r="W60" t="s">
        <v>159</v>
      </c>
      <c r="X60" t="s">
        <v>160</v>
      </c>
      <c r="Y60">
        <v>4</v>
      </c>
      <c r="Z60" t="s">
        <v>161</v>
      </c>
      <c r="AA60" t="s">
        <v>162</v>
      </c>
      <c r="AB60" t="s">
        <v>103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8">
      <c r="A61">
        <v>119</v>
      </c>
      <c r="B61" t="s">
        <v>154</v>
      </c>
      <c r="C61">
        <v>11901</v>
      </c>
      <c r="D61" t="s">
        <v>155</v>
      </c>
      <c r="E61">
        <v>1190101</v>
      </c>
      <c r="F61" t="s">
        <v>27</v>
      </c>
      <c r="G61">
        <v>119010101</v>
      </c>
      <c r="H61" t="s">
        <v>27</v>
      </c>
      <c r="I61">
        <v>2225</v>
      </c>
      <c r="J61" t="s">
        <v>169</v>
      </c>
      <c r="K61">
        <v>222523</v>
      </c>
      <c r="L61" t="s">
        <v>28</v>
      </c>
      <c r="M61">
        <v>22252301</v>
      </c>
      <c r="N61" t="s">
        <v>29</v>
      </c>
      <c r="O61">
        <v>801422303</v>
      </c>
      <c r="P61" t="s">
        <v>355</v>
      </c>
      <c r="Q61">
        <v>6426493912</v>
      </c>
      <c r="R61">
        <v>1</v>
      </c>
      <c r="S61" t="s">
        <v>158</v>
      </c>
      <c r="T61" s="1">
        <v>28353</v>
      </c>
      <c r="U61" s="1">
        <v>43963</v>
      </c>
      <c r="W61" t="s">
        <v>164</v>
      </c>
      <c r="X61" t="s">
        <v>160</v>
      </c>
      <c r="Y61">
        <v>4</v>
      </c>
      <c r="Z61" t="s">
        <v>161</v>
      </c>
      <c r="AA61" t="s">
        <v>162</v>
      </c>
      <c r="AB61" t="s">
        <v>32</v>
      </c>
      <c r="AC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V61">
        <v>1</v>
      </c>
    </row>
    <row r="62" spans="1:48">
      <c r="A62">
        <v>119</v>
      </c>
      <c r="B62" t="s">
        <v>154</v>
      </c>
      <c r="C62">
        <v>11901</v>
      </c>
      <c r="D62" t="s">
        <v>155</v>
      </c>
      <c r="E62">
        <v>1190101</v>
      </c>
      <c r="F62" t="s">
        <v>27</v>
      </c>
      <c r="G62">
        <v>119010101</v>
      </c>
      <c r="H62" t="s">
        <v>27</v>
      </c>
      <c r="I62">
        <v>2225</v>
      </c>
      <c r="J62" t="s">
        <v>169</v>
      </c>
      <c r="K62">
        <v>222523</v>
      </c>
      <c r="L62" t="s">
        <v>28</v>
      </c>
      <c r="M62">
        <v>22252301</v>
      </c>
      <c r="N62" t="s">
        <v>29</v>
      </c>
      <c r="O62">
        <v>801422460</v>
      </c>
      <c r="P62" t="s">
        <v>352</v>
      </c>
      <c r="Q62">
        <v>6426650732</v>
      </c>
      <c r="R62">
        <v>10</v>
      </c>
      <c r="S62" t="s">
        <v>174</v>
      </c>
      <c r="T62" s="1">
        <v>32234</v>
      </c>
      <c r="U62" s="1">
        <v>43963</v>
      </c>
      <c r="W62" t="s">
        <v>159</v>
      </c>
      <c r="X62" t="s">
        <v>160</v>
      </c>
      <c r="Y62">
        <v>8</v>
      </c>
      <c r="Z62" t="s">
        <v>175</v>
      </c>
      <c r="AA62" t="s">
        <v>162</v>
      </c>
      <c r="AB62" t="s">
        <v>32</v>
      </c>
      <c r="AC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V62">
        <v>1</v>
      </c>
    </row>
    <row r="63" spans="1:48">
      <c r="A63">
        <v>119</v>
      </c>
      <c r="B63" t="s">
        <v>154</v>
      </c>
      <c r="C63">
        <v>11901</v>
      </c>
      <c r="D63" t="s">
        <v>155</v>
      </c>
      <c r="E63">
        <v>1190101</v>
      </c>
      <c r="F63" t="s">
        <v>27</v>
      </c>
      <c r="G63">
        <v>119010101</v>
      </c>
      <c r="H63" t="s">
        <v>27</v>
      </c>
      <c r="I63">
        <v>2225</v>
      </c>
      <c r="J63" t="s">
        <v>169</v>
      </c>
      <c r="K63">
        <v>222523</v>
      </c>
      <c r="L63" t="s">
        <v>28</v>
      </c>
      <c r="M63">
        <v>22252301</v>
      </c>
      <c r="N63" t="s">
        <v>29</v>
      </c>
      <c r="O63">
        <v>801354376</v>
      </c>
      <c r="P63" t="s">
        <v>392</v>
      </c>
      <c r="Q63">
        <v>6359420662</v>
      </c>
      <c r="R63">
        <v>10</v>
      </c>
      <c r="S63" t="s">
        <v>174</v>
      </c>
      <c r="T63" s="1">
        <v>31471</v>
      </c>
      <c r="U63" s="1">
        <v>43897</v>
      </c>
      <c r="W63" t="s">
        <v>159</v>
      </c>
      <c r="X63" t="s">
        <v>160</v>
      </c>
      <c r="Y63">
        <v>8</v>
      </c>
      <c r="Z63" t="s">
        <v>175</v>
      </c>
      <c r="AA63" t="s">
        <v>162</v>
      </c>
      <c r="AB63" t="s">
        <v>32</v>
      </c>
      <c r="AC63">
        <v>1</v>
      </c>
      <c r="AD63">
        <v>1</v>
      </c>
      <c r="AE63">
        <v>0</v>
      </c>
      <c r="AF63">
        <v>3</v>
      </c>
      <c r="AG63">
        <v>0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V63">
        <v>1</v>
      </c>
    </row>
    <row r="64" spans="1:48">
      <c r="A64">
        <v>119</v>
      </c>
      <c r="B64" t="s">
        <v>154</v>
      </c>
      <c r="C64">
        <v>11901</v>
      </c>
      <c r="D64" t="s">
        <v>155</v>
      </c>
      <c r="E64">
        <v>1190101</v>
      </c>
      <c r="F64" t="s">
        <v>27</v>
      </c>
      <c r="G64">
        <v>119010101</v>
      </c>
      <c r="H64" t="s">
        <v>27</v>
      </c>
      <c r="I64">
        <v>2225</v>
      </c>
      <c r="J64" t="s">
        <v>169</v>
      </c>
      <c r="K64">
        <v>222523</v>
      </c>
      <c r="L64" t="s">
        <v>28</v>
      </c>
      <c r="M64">
        <v>22252301</v>
      </c>
      <c r="N64" t="s">
        <v>29</v>
      </c>
      <c r="O64">
        <v>801328649</v>
      </c>
      <c r="P64" t="s">
        <v>374</v>
      </c>
      <c r="Q64">
        <v>6334160782</v>
      </c>
      <c r="R64">
        <v>2</v>
      </c>
      <c r="S64" t="s">
        <v>168</v>
      </c>
      <c r="T64" s="1">
        <v>30862</v>
      </c>
      <c r="U64" s="1">
        <v>43889</v>
      </c>
      <c r="W64" t="s">
        <v>159</v>
      </c>
      <c r="X64" t="s">
        <v>160</v>
      </c>
      <c r="Y64">
        <v>4</v>
      </c>
      <c r="Z64" t="s">
        <v>161</v>
      </c>
      <c r="AA64" t="s">
        <v>162</v>
      </c>
      <c r="AB64" t="s">
        <v>32</v>
      </c>
      <c r="AC64">
        <v>1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V64">
        <v>1</v>
      </c>
    </row>
    <row r="65" spans="1:45">
      <c r="A65">
        <v>119</v>
      </c>
      <c r="B65" t="s">
        <v>154</v>
      </c>
      <c r="C65">
        <v>11901</v>
      </c>
      <c r="D65" t="s">
        <v>155</v>
      </c>
      <c r="E65">
        <v>1190100</v>
      </c>
      <c r="F65" t="s">
        <v>42</v>
      </c>
      <c r="G65">
        <v>119010000</v>
      </c>
      <c r="H65" t="s">
        <v>156</v>
      </c>
      <c r="I65">
        <v>2473</v>
      </c>
      <c r="J65" t="s">
        <v>157</v>
      </c>
      <c r="K65">
        <v>247321</v>
      </c>
      <c r="L65" t="s">
        <v>62</v>
      </c>
      <c r="M65">
        <v>24732102</v>
      </c>
      <c r="N65" t="s">
        <v>108</v>
      </c>
      <c r="O65">
        <v>801545505</v>
      </c>
      <c r="P65" t="s">
        <v>301</v>
      </c>
      <c r="Q65">
        <v>6547493692</v>
      </c>
      <c r="R65">
        <v>1</v>
      </c>
      <c r="S65" t="s">
        <v>158</v>
      </c>
      <c r="T65" s="1">
        <v>30227</v>
      </c>
      <c r="U65" s="1">
        <v>44258</v>
      </c>
      <c r="W65" t="s">
        <v>164</v>
      </c>
      <c r="X65" t="s">
        <v>160</v>
      </c>
      <c r="Y65">
        <v>4</v>
      </c>
      <c r="Z65" t="s">
        <v>161</v>
      </c>
      <c r="AA65" t="s">
        <v>162</v>
      </c>
      <c r="AB65" t="s">
        <v>32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8">
      <c r="A66">
        <v>119</v>
      </c>
      <c r="B66" t="s">
        <v>154</v>
      </c>
      <c r="C66">
        <v>11901</v>
      </c>
      <c r="D66" t="s">
        <v>155</v>
      </c>
      <c r="E66">
        <v>1190102</v>
      </c>
      <c r="F66" t="s">
        <v>48</v>
      </c>
      <c r="G66">
        <v>119010201</v>
      </c>
      <c r="H66" t="s">
        <v>48</v>
      </c>
      <c r="I66">
        <v>2473</v>
      </c>
      <c r="J66" t="s">
        <v>157</v>
      </c>
      <c r="K66">
        <v>247302</v>
      </c>
      <c r="L66" t="s">
        <v>49</v>
      </c>
      <c r="M66">
        <v>24730201</v>
      </c>
      <c r="N66" t="s">
        <v>50</v>
      </c>
      <c r="O66">
        <v>801114364</v>
      </c>
      <c r="P66" t="s">
        <v>434</v>
      </c>
      <c r="Q66">
        <v>6124158482</v>
      </c>
      <c r="R66">
        <v>10</v>
      </c>
      <c r="S66" t="s">
        <v>174</v>
      </c>
      <c r="T66" s="1">
        <v>23611</v>
      </c>
      <c r="U66" s="1">
        <v>43551</v>
      </c>
      <c r="W66" t="s">
        <v>164</v>
      </c>
      <c r="X66" t="s">
        <v>160</v>
      </c>
      <c r="Y66">
        <v>4</v>
      </c>
      <c r="Z66" t="s">
        <v>161</v>
      </c>
      <c r="AA66" t="s">
        <v>162</v>
      </c>
      <c r="AB66" t="s">
        <v>103</v>
      </c>
      <c r="AC66">
        <v>5</v>
      </c>
      <c r="AD66">
        <v>3</v>
      </c>
      <c r="AE66">
        <v>10</v>
      </c>
      <c r="AF66">
        <v>15</v>
      </c>
      <c r="AG66">
        <v>0</v>
      </c>
      <c r="AH66">
        <v>12</v>
      </c>
      <c r="AI66">
        <v>0</v>
      </c>
      <c r="AJ66">
        <v>0</v>
      </c>
      <c r="AK66">
        <v>3</v>
      </c>
      <c r="AL66">
        <v>10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</v>
      </c>
      <c r="AV66">
        <v>5</v>
      </c>
    </row>
    <row r="67" spans="1:45">
      <c r="A67">
        <v>119</v>
      </c>
      <c r="B67" t="s">
        <v>154</v>
      </c>
      <c r="C67">
        <v>11901</v>
      </c>
      <c r="D67" t="s">
        <v>155</v>
      </c>
      <c r="E67">
        <v>1190102</v>
      </c>
      <c r="F67" t="s">
        <v>48</v>
      </c>
      <c r="G67">
        <v>119010201</v>
      </c>
      <c r="H67" t="s">
        <v>48</v>
      </c>
      <c r="I67">
        <v>2473</v>
      </c>
      <c r="J67" t="s">
        <v>157</v>
      </c>
      <c r="K67">
        <v>247302</v>
      </c>
      <c r="L67" t="s">
        <v>49</v>
      </c>
      <c r="M67">
        <v>24730201</v>
      </c>
      <c r="N67" t="s">
        <v>50</v>
      </c>
      <c r="O67">
        <v>200865247</v>
      </c>
      <c r="P67" t="s">
        <v>517</v>
      </c>
      <c r="Q67">
        <v>475904142</v>
      </c>
      <c r="R67">
        <v>10</v>
      </c>
      <c r="S67" t="s">
        <v>174</v>
      </c>
      <c r="T67" s="1">
        <v>26414</v>
      </c>
      <c r="U67" s="1">
        <v>41148</v>
      </c>
      <c r="W67" t="s">
        <v>164</v>
      </c>
      <c r="X67" t="s">
        <v>160</v>
      </c>
      <c r="Y67">
        <v>4</v>
      </c>
      <c r="Z67" t="s">
        <v>161</v>
      </c>
      <c r="AA67" t="s">
        <v>162</v>
      </c>
      <c r="AB67" t="s">
        <v>32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8">
      <c r="A68">
        <v>119</v>
      </c>
      <c r="B68" t="s">
        <v>154</v>
      </c>
      <c r="C68">
        <v>11901</v>
      </c>
      <c r="D68" t="s">
        <v>155</v>
      </c>
      <c r="E68">
        <v>1190100</v>
      </c>
      <c r="F68" t="s">
        <v>42</v>
      </c>
      <c r="G68">
        <v>119010000</v>
      </c>
      <c r="H68" t="s">
        <v>156</v>
      </c>
      <c r="I68">
        <v>2473</v>
      </c>
      <c r="J68" t="s">
        <v>157</v>
      </c>
      <c r="K68">
        <v>247319</v>
      </c>
      <c r="L68" t="s">
        <v>66</v>
      </c>
      <c r="M68">
        <v>24731901</v>
      </c>
      <c r="N68" t="s">
        <v>343</v>
      </c>
      <c r="O68">
        <v>800681370</v>
      </c>
      <c r="P68" t="s">
        <v>471</v>
      </c>
      <c r="Q68">
        <v>5705299812</v>
      </c>
      <c r="R68">
        <v>10</v>
      </c>
      <c r="S68" t="s">
        <v>174</v>
      </c>
      <c r="T68" s="1">
        <v>32198</v>
      </c>
      <c r="U68" s="1">
        <v>43216</v>
      </c>
      <c r="W68" t="s">
        <v>159</v>
      </c>
      <c r="X68" t="s">
        <v>160</v>
      </c>
      <c r="Y68">
        <v>4</v>
      </c>
      <c r="Z68" t="s">
        <v>161</v>
      </c>
      <c r="AA68" t="s">
        <v>162</v>
      </c>
      <c r="AB68" t="s">
        <v>32</v>
      </c>
      <c r="AC68">
        <v>1</v>
      </c>
      <c r="AD68">
        <v>1</v>
      </c>
      <c r="AE68">
        <v>0</v>
      </c>
      <c r="AF68">
        <v>3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V68">
        <v>1</v>
      </c>
    </row>
    <row r="69" spans="1:48">
      <c r="A69">
        <v>119</v>
      </c>
      <c r="B69" t="s">
        <v>154</v>
      </c>
      <c r="C69">
        <v>11901</v>
      </c>
      <c r="D69" t="s">
        <v>155</v>
      </c>
      <c r="E69">
        <v>1190100</v>
      </c>
      <c r="F69" t="s">
        <v>42</v>
      </c>
      <c r="G69">
        <v>119010000</v>
      </c>
      <c r="H69" t="s">
        <v>156</v>
      </c>
      <c r="I69">
        <v>2473</v>
      </c>
      <c r="J69" t="s">
        <v>157</v>
      </c>
      <c r="K69">
        <v>247319</v>
      </c>
      <c r="L69" t="s">
        <v>66</v>
      </c>
      <c r="M69">
        <v>24731901</v>
      </c>
      <c r="N69" t="s">
        <v>343</v>
      </c>
      <c r="O69">
        <v>800773065</v>
      </c>
      <c r="P69" t="s">
        <v>461</v>
      </c>
      <c r="Q69">
        <v>5796032892</v>
      </c>
      <c r="R69">
        <v>10</v>
      </c>
      <c r="S69" t="s">
        <v>174</v>
      </c>
      <c r="T69" s="1">
        <v>27678</v>
      </c>
      <c r="U69" s="1">
        <v>43292</v>
      </c>
      <c r="W69" t="s">
        <v>159</v>
      </c>
      <c r="X69" t="s">
        <v>160</v>
      </c>
      <c r="Y69">
        <v>8</v>
      </c>
      <c r="Z69" t="s">
        <v>175</v>
      </c>
      <c r="AA69" t="s">
        <v>162</v>
      </c>
      <c r="AB69" t="s">
        <v>32</v>
      </c>
      <c r="AC69">
        <v>1</v>
      </c>
      <c r="AD69">
        <v>1</v>
      </c>
      <c r="AE69">
        <v>0</v>
      </c>
      <c r="AF69">
        <v>4</v>
      </c>
      <c r="AG69">
        <v>0</v>
      </c>
      <c r="AH69">
        <v>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V69">
        <v>1</v>
      </c>
    </row>
    <row r="70" spans="1:48">
      <c r="A70">
        <v>119</v>
      </c>
      <c r="B70" t="s">
        <v>154</v>
      </c>
      <c r="C70">
        <v>11901</v>
      </c>
      <c r="D70" t="s">
        <v>155</v>
      </c>
      <c r="E70">
        <v>1190100</v>
      </c>
      <c r="F70" t="s">
        <v>42</v>
      </c>
      <c r="G70">
        <v>119010000</v>
      </c>
      <c r="H70" t="s">
        <v>156</v>
      </c>
      <c r="I70">
        <v>2473</v>
      </c>
      <c r="J70" t="s">
        <v>157</v>
      </c>
      <c r="K70">
        <v>247321</v>
      </c>
      <c r="L70" t="s">
        <v>62</v>
      </c>
      <c r="M70">
        <v>24732102</v>
      </c>
      <c r="N70" t="s">
        <v>108</v>
      </c>
      <c r="O70">
        <v>800503126</v>
      </c>
      <c r="P70" t="s">
        <v>109</v>
      </c>
      <c r="Q70">
        <v>5503363952</v>
      </c>
      <c r="R70">
        <v>2</v>
      </c>
      <c r="S70" t="s">
        <v>168</v>
      </c>
      <c r="T70" s="1">
        <v>28095</v>
      </c>
      <c r="U70" s="1">
        <v>42930</v>
      </c>
      <c r="W70" t="s">
        <v>159</v>
      </c>
      <c r="X70" t="s">
        <v>160</v>
      </c>
      <c r="Y70">
        <v>5</v>
      </c>
      <c r="Z70" t="s">
        <v>171</v>
      </c>
      <c r="AA70" t="s">
        <v>162</v>
      </c>
      <c r="AB70" t="s">
        <v>32</v>
      </c>
      <c r="AC70">
        <v>2</v>
      </c>
      <c r="AD70">
        <v>2</v>
      </c>
      <c r="AE70">
        <v>4</v>
      </c>
      <c r="AF70">
        <v>10</v>
      </c>
      <c r="AG70">
        <v>0</v>
      </c>
      <c r="AH70">
        <v>6</v>
      </c>
      <c r="AI70">
        <v>0</v>
      </c>
      <c r="AJ70">
        <v>0</v>
      </c>
      <c r="AK70">
        <v>4</v>
      </c>
      <c r="AL70">
        <v>0</v>
      </c>
      <c r="AM70">
        <v>0</v>
      </c>
      <c r="AN70">
        <v>6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V70">
        <v>2</v>
      </c>
    </row>
    <row r="71" spans="1:48">
      <c r="A71">
        <v>119</v>
      </c>
      <c r="B71" t="s">
        <v>154</v>
      </c>
      <c r="C71">
        <v>11901</v>
      </c>
      <c r="D71" t="s">
        <v>155</v>
      </c>
      <c r="E71">
        <v>1190101</v>
      </c>
      <c r="F71" t="s">
        <v>27</v>
      </c>
      <c r="G71">
        <v>119010101</v>
      </c>
      <c r="H71" t="s">
        <v>27</v>
      </c>
      <c r="I71">
        <v>2225</v>
      </c>
      <c r="J71" t="s">
        <v>169</v>
      </c>
      <c r="K71">
        <v>222523</v>
      </c>
      <c r="L71" t="s">
        <v>28</v>
      </c>
      <c r="M71">
        <v>22252305</v>
      </c>
      <c r="N71" t="s">
        <v>224</v>
      </c>
      <c r="O71">
        <v>801077383</v>
      </c>
      <c r="P71" t="s">
        <v>440</v>
      </c>
      <c r="Q71">
        <v>6088245842</v>
      </c>
      <c r="R71">
        <v>10</v>
      </c>
      <c r="S71" t="s">
        <v>174</v>
      </c>
      <c r="T71" s="1">
        <v>26100</v>
      </c>
      <c r="U71" s="1">
        <v>43517</v>
      </c>
      <c r="W71" t="s">
        <v>159</v>
      </c>
      <c r="X71" t="s">
        <v>160</v>
      </c>
      <c r="Y71">
        <v>7</v>
      </c>
      <c r="Z71" t="s">
        <v>170</v>
      </c>
      <c r="AA71" t="s">
        <v>162</v>
      </c>
      <c r="AB71" t="s">
        <v>32</v>
      </c>
      <c r="AC71">
        <v>1</v>
      </c>
      <c r="AE71">
        <v>0</v>
      </c>
      <c r="AF71">
        <v>2</v>
      </c>
      <c r="AG71">
        <v>0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V71">
        <v>1</v>
      </c>
    </row>
    <row r="72" spans="1:48">
      <c r="A72">
        <v>119</v>
      </c>
      <c r="B72" t="s">
        <v>154</v>
      </c>
      <c r="C72">
        <v>11901</v>
      </c>
      <c r="D72" t="s">
        <v>155</v>
      </c>
      <c r="E72">
        <v>1190101</v>
      </c>
      <c r="F72" t="s">
        <v>27</v>
      </c>
      <c r="G72">
        <v>119010101</v>
      </c>
      <c r="H72" t="s">
        <v>27</v>
      </c>
      <c r="I72">
        <v>2225</v>
      </c>
      <c r="J72" t="s">
        <v>169</v>
      </c>
      <c r="K72">
        <v>222523</v>
      </c>
      <c r="L72" t="s">
        <v>28</v>
      </c>
      <c r="M72">
        <v>22252301</v>
      </c>
      <c r="N72" t="s">
        <v>29</v>
      </c>
      <c r="O72">
        <v>205659905</v>
      </c>
      <c r="P72" t="s">
        <v>30</v>
      </c>
      <c r="Q72">
        <v>588442562</v>
      </c>
      <c r="R72">
        <v>5</v>
      </c>
      <c r="S72" t="s">
        <v>167</v>
      </c>
      <c r="T72" s="1">
        <v>25846</v>
      </c>
      <c r="U72" s="1">
        <v>41612</v>
      </c>
      <c r="W72" t="s">
        <v>159</v>
      </c>
      <c r="X72" t="s">
        <v>160</v>
      </c>
      <c r="Y72">
        <v>7</v>
      </c>
      <c r="Z72" t="s">
        <v>170</v>
      </c>
      <c r="AA72" t="s">
        <v>162</v>
      </c>
      <c r="AB72" t="s">
        <v>32</v>
      </c>
      <c r="AC72">
        <v>4</v>
      </c>
      <c r="AD72">
        <v>2</v>
      </c>
      <c r="AE72">
        <v>0</v>
      </c>
      <c r="AF72">
        <v>16</v>
      </c>
      <c r="AG72">
        <v>1</v>
      </c>
      <c r="AH72">
        <v>4</v>
      </c>
      <c r="AI72">
        <v>0</v>
      </c>
      <c r="AJ72">
        <v>0</v>
      </c>
      <c r="AK72">
        <v>11</v>
      </c>
      <c r="AL72">
        <v>0</v>
      </c>
      <c r="AM72">
        <v>1</v>
      </c>
      <c r="AN72">
        <v>4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4</v>
      </c>
      <c r="AV72">
        <v>4</v>
      </c>
    </row>
    <row r="73" spans="1:48">
      <c r="A73">
        <v>119</v>
      </c>
      <c r="B73" t="s">
        <v>154</v>
      </c>
      <c r="C73">
        <v>11901</v>
      </c>
      <c r="D73" t="s">
        <v>155</v>
      </c>
      <c r="E73">
        <v>1190102</v>
      </c>
      <c r="F73" t="s">
        <v>48</v>
      </c>
      <c r="G73">
        <v>119010201</v>
      </c>
      <c r="H73" t="s">
        <v>48</v>
      </c>
      <c r="I73">
        <v>2473</v>
      </c>
      <c r="J73" t="s">
        <v>157</v>
      </c>
      <c r="K73">
        <v>247302</v>
      </c>
      <c r="L73" t="s">
        <v>49</v>
      </c>
      <c r="M73">
        <v>24730201</v>
      </c>
      <c r="N73" t="s">
        <v>50</v>
      </c>
      <c r="O73">
        <v>801164682</v>
      </c>
      <c r="P73" t="s">
        <v>426</v>
      </c>
      <c r="Q73">
        <v>6173444452</v>
      </c>
      <c r="R73">
        <v>2</v>
      </c>
      <c r="S73" t="s">
        <v>168</v>
      </c>
      <c r="T73" s="1">
        <v>22999</v>
      </c>
      <c r="U73" s="1">
        <v>43598</v>
      </c>
      <c r="W73" t="s">
        <v>159</v>
      </c>
      <c r="X73" t="s">
        <v>160</v>
      </c>
      <c r="Y73">
        <v>4</v>
      </c>
      <c r="Z73" t="s">
        <v>161</v>
      </c>
      <c r="AA73" t="s">
        <v>162</v>
      </c>
      <c r="AB73" t="s">
        <v>32</v>
      </c>
      <c r="AC73">
        <v>5</v>
      </c>
      <c r="AD73">
        <v>3</v>
      </c>
      <c r="AE73">
        <v>10</v>
      </c>
      <c r="AF73">
        <v>14</v>
      </c>
      <c r="AG73">
        <v>1</v>
      </c>
      <c r="AH73">
        <v>7</v>
      </c>
      <c r="AI73">
        <v>1</v>
      </c>
      <c r="AJ73">
        <v>0</v>
      </c>
      <c r="AK73">
        <v>5</v>
      </c>
      <c r="AL73">
        <v>1</v>
      </c>
      <c r="AM73">
        <v>0</v>
      </c>
      <c r="AN73">
        <v>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</v>
      </c>
      <c r="AV73">
        <v>5</v>
      </c>
    </row>
    <row r="74" spans="1:48">
      <c r="A74">
        <v>119</v>
      </c>
      <c r="B74" t="s">
        <v>154</v>
      </c>
      <c r="C74">
        <v>11901</v>
      </c>
      <c r="D74" t="s">
        <v>155</v>
      </c>
      <c r="E74">
        <v>1190100</v>
      </c>
      <c r="F74" t="s">
        <v>42</v>
      </c>
      <c r="G74">
        <v>119010000</v>
      </c>
      <c r="H74" t="s">
        <v>156</v>
      </c>
      <c r="I74">
        <v>2473</v>
      </c>
      <c r="J74" t="s">
        <v>157</v>
      </c>
      <c r="K74">
        <v>247319</v>
      </c>
      <c r="L74" t="s">
        <v>66</v>
      </c>
      <c r="M74">
        <v>24731902</v>
      </c>
      <c r="N74" t="s">
        <v>67</v>
      </c>
      <c r="O74">
        <v>801164168</v>
      </c>
      <c r="P74" t="s">
        <v>427</v>
      </c>
      <c r="Q74">
        <v>6172970322</v>
      </c>
      <c r="R74">
        <v>10</v>
      </c>
      <c r="S74" t="s">
        <v>174</v>
      </c>
      <c r="T74" s="1">
        <v>30009</v>
      </c>
      <c r="U74" s="1">
        <v>43598</v>
      </c>
      <c r="W74" t="s">
        <v>159</v>
      </c>
      <c r="X74" t="s">
        <v>160</v>
      </c>
      <c r="Y74">
        <v>4</v>
      </c>
      <c r="Z74" t="s">
        <v>161</v>
      </c>
      <c r="AA74" t="s">
        <v>162</v>
      </c>
      <c r="AB74" t="s">
        <v>32</v>
      </c>
      <c r="AC74">
        <v>1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V74">
        <v>1</v>
      </c>
    </row>
    <row r="75" spans="1:48">
      <c r="A75">
        <v>119</v>
      </c>
      <c r="B75" t="s">
        <v>154</v>
      </c>
      <c r="C75">
        <v>11901</v>
      </c>
      <c r="D75" t="s">
        <v>155</v>
      </c>
      <c r="E75">
        <v>1190101</v>
      </c>
      <c r="F75" t="s">
        <v>27</v>
      </c>
      <c r="G75">
        <v>119010101</v>
      </c>
      <c r="H75" t="s">
        <v>27</v>
      </c>
      <c r="I75">
        <v>2473</v>
      </c>
      <c r="J75" t="s">
        <v>157</v>
      </c>
      <c r="K75">
        <v>247307</v>
      </c>
      <c r="L75" t="s">
        <v>94</v>
      </c>
      <c r="M75">
        <v>24730715</v>
      </c>
      <c r="N75" t="s">
        <v>95</v>
      </c>
      <c r="O75">
        <v>201181040</v>
      </c>
      <c r="P75" t="s">
        <v>96</v>
      </c>
      <c r="Q75">
        <v>480193632</v>
      </c>
      <c r="R75">
        <v>2</v>
      </c>
      <c r="S75" t="s">
        <v>168</v>
      </c>
      <c r="T75" s="1">
        <v>24014</v>
      </c>
      <c r="U75" s="1">
        <v>41190</v>
      </c>
      <c r="W75" t="s">
        <v>159</v>
      </c>
      <c r="X75" t="s">
        <v>160</v>
      </c>
      <c r="Y75">
        <v>7</v>
      </c>
      <c r="Z75" t="s">
        <v>170</v>
      </c>
      <c r="AA75" t="s">
        <v>162</v>
      </c>
      <c r="AB75" t="s">
        <v>32</v>
      </c>
      <c r="AC75">
        <v>3</v>
      </c>
      <c r="AD75">
        <v>1</v>
      </c>
      <c r="AE75">
        <v>4</v>
      </c>
      <c r="AF75">
        <v>8</v>
      </c>
      <c r="AG75">
        <v>3</v>
      </c>
      <c r="AH75">
        <v>0</v>
      </c>
      <c r="AI75">
        <v>0</v>
      </c>
      <c r="AJ75">
        <v>0</v>
      </c>
      <c r="AK75">
        <v>5</v>
      </c>
      <c r="AL75">
        <v>0</v>
      </c>
      <c r="AM75">
        <v>1</v>
      </c>
      <c r="AN75">
        <v>0</v>
      </c>
      <c r="AO75">
        <v>2</v>
      </c>
      <c r="AP75">
        <v>0</v>
      </c>
      <c r="AQ75">
        <v>0</v>
      </c>
      <c r="AR75">
        <v>0</v>
      </c>
      <c r="AS75">
        <v>0</v>
      </c>
      <c r="AT75">
        <v>3</v>
      </c>
      <c r="AV75">
        <v>3</v>
      </c>
    </row>
    <row r="76" spans="1:48">
      <c r="A76">
        <v>119</v>
      </c>
      <c r="B76" t="s">
        <v>154</v>
      </c>
      <c r="C76">
        <v>11901</v>
      </c>
      <c r="D76" t="s">
        <v>155</v>
      </c>
      <c r="E76">
        <v>1190101</v>
      </c>
      <c r="F76" t="s">
        <v>27</v>
      </c>
      <c r="G76">
        <v>119010101</v>
      </c>
      <c r="H76" t="s">
        <v>27</v>
      </c>
      <c r="I76">
        <v>2225</v>
      </c>
      <c r="J76" t="s">
        <v>169</v>
      </c>
      <c r="K76">
        <v>222523</v>
      </c>
      <c r="L76" t="s">
        <v>28</v>
      </c>
      <c r="M76">
        <v>22252301</v>
      </c>
      <c r="N76" t="s">
        <v>29</v>
      </c>
      <c r="O76">
        <v>801433723</v>
      </c>
      <c r="P76" t="s">
        <v>346</v>
      </c>
      <c r="Q76">
        <v>6438661492</v>
      </c>
      <c r="R76">
        <v>1</v>
      </c>
      <c r="S76" t="s">
        <v>158</v>
      </c>
      <c r="T76" s="1">
        <v>25031</v>
      </c>
      <c r="U76" s="1">
        <v>43970</v>
      </c>
      <c r="W76" t="s">
        <v>159</v>
      </c>
      <c r="X76" t="s">
        <v>160</v>
      </c>
      <c r="Y76">
        <v>4</v>
      </c>
      <c r="Z76" t="s">
        <v>161</v>
      </c>
      <c r="AA76" t="s">
        <v>162</v>
      </c>
      <c r="AB76" t="s">
        <v>32</v>
      </c>
      <c r="AC76">
        <v>1</v>
      </c>
      <c r="AE76">
        <v>0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V76">
        <v>1</v>
      </c>
    </row>
    <row r="77" spans="1:48">
      <c r="A77">
        <v>119</v>
      </c>
      <c r="B77" t="s">
        <v>154</v>
      </c>
      <c r="C77">
        <v>11901</v>
      </c>
      <c r="D77" t="s">
        <v>155</v>
      </c>
      <c r="E77">
        <v>1190101</v>
      </c>
      <c r="F77" t="s">
        <v>27</v>
      </c>
      <c r="G77">
        <v>119010101</v>
      </c>
      <c r="H77" t="s">
        <v>27</v>
      </c>
      <c r="I77">
        <v>2225</v>
      </c>
      <c r="J77" t="s">
        <v>169</v>
      </c>
      <c r="K77">
        <v>222523</v>
      </c>
      <c r="L77" t="s">
        <v>28</v>
      </c>
      <c r="M77">
        <v>22252301</v>
      </c>
      <c r="N77" t="s">
        <v>29</v>
      </c>
      <c r="O77">
        <v>801422008</v>
      </c>
      <c r="P77" t="s">
        <v>359</v>
      </c>
      <c r="Q77">
        <v>6426198342</v>
      </c>
      <c r="R77">
        <v>10</v>
      </c>
      <c r="S77" t="s">
        <v>174</v>
      </c>
      <c r="T77" s="1">
        <v>32662</v>
      </c>
      <c r="U77" s="1">
        <v>43963</v>
      </c>
      <c r="W77" t="s">
        <v>164</v>
      </c>
      <c r="X77" t="s">
        <v>160</v>
      </c>
      <c r="Y77">
        <v>4</v>
      </c>
      <c r="Z77" t="s">
        <v>161</v>
      </c>
      <c r="AA77" t="s">
        <v>162</v>
      </c>
      <c r="AB77" t="s">
        <v>32</v>
      </c>
      <c r="AC77">
        <v>1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V77">
        <v>1</v>
      </c>
    </row>
    <row r="78" spans="1:48">
      <c r="A78">
        <v>119</v>
      </c>
      <c r="B78" t="s">
        <v>154</v>
      </c>
      <c r="C78">
        <v>11901</v>
      </c>
      <c r="D78" t="s">
        <v>155</v>
      </c>
      <c r="E78">
        <v>1190100</v>
      </c>
      <c r="F78" t="s">
        <v>42</v>
      </c>
      <c r="G78">
        <v>119010000</v>
      </c>
      <c r="H78" t="s">
        <v>156</v>
      </c>
      <c r="I78">
        <v>2473</v>
      </c>
      <c r="J78" t="s">
        <v>157</v>
      </c>
      <c r="K78">
        <v>247321</v>
      </c>
      <c r="L78" t="s">
        <v>62</v>
      </c>
      <c r="M78">
        <v>24732105</v>
      </c>
      <c r="N78" t="s">
        <v>72</v>
      </c>
      <c r="O78">
        <v>801405747</v>
      </c>
      <c r="P78" t="s">
        <v>218</v>
      </c>
      <c r="Q78">
        <v>6409592302</v>
      </c>
      <c r="R78">
        <v>3</v>
      </c>
      <c r="S78" t="s">
        <v>165</v>
      </c>
      <c r="T78" s="1">
        <v>34327</v>
      </c>
      <c r="U78" s="1">
        <v>43935</v>
      </c>
      <c r="W78" t="s">
        <v>159</v>
      </c>
      <c r="X78" t="s">
        <v>160</v>
      </c>
      <c r="Y78">
        <v>7</v>
      </c>
      <c r="Z78" t="s">
        <v>170</v>
      </c>
      <c r="AA78" t="s">
        <v>162</v>
      </c>
      <c r="AB78" t="s">
        <v>32</v>
      </c>
      <c r="AC78">
        <v>1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V78">
        <v>1</v>
      </c>
    </row>
    <row r="79" spans="1:48">
      <c r="A79">
        <v>119</v>
      </c>
      <c r="B79" t="s">
        <v>154</v>
      </c>
      <c r="C79">
        <v>11901</v>
      </c>
      <c r="D79" t="s">
        <v>155</v>
      </c>
      <c r="E79">
        <v>1190100</v>
      </c>
      <c r="F79" t="s">
        <v>42</v>
      </c>
      <c r="G79">
        <v>119010000</v>
      </c>
      <c r="H79" t="s">
        <v>156</v>
      </c>
      <c r="I79">
        <v>2473</v>
      </c>
      <c r="J79" t="s">
        <v>157</v>
      </c>
      <c r="K79">
        <v>247320</v>
      </c>
      <c r="L79" t="s">
        <v>43</v>
      </c>
      <c r="M79">
        <v>24732001</v>
      </c>
      <c r="N79" t="s">
        <v>44</v>
      </c>
      <c r="O79">
        <v>801318060</v>
      </c>
      <c r="P79" t="s">
        <v>404</v>
      </c>
      <c r="Q79">
        <v>6323934032</v>
      </c>
      <c r="R79">
        <v>10</v>
      </c>
      <c r="S79" t="s">
        <v>174</v>
      </c>
      <c r="T79" s="1">
        <v>29915</v>
      </c>
      <c r="U79" s="1">
        <v>43887</v>
      </c>
      <c r="W79" t="s">
        <v>159</v>
      </c>
      <c r="X79" t="s">
        <v>160</v>
      </c>
      <c r="Y79">
        <v>7</v>
      </c>
      <c r="Z79" t="s">
        <v>170</v>
      </c>
      <c r="AA79" t="s">
        <v>162</v>
      </c>
      <c r="AB79" t="s">
        <v>32</v>
      </c>
      <c r="AC79">
        <v>1</v>
      </c>
      <c r="AE79">
        <v>0</v>
      </c>
      <c r="AF79">
        <v>2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V79">
        <v>1</v>
      </c>
    </row>
    <row r="80" spans="1:48">
      <c r="A80">
        <v>119</v>
      </c>
      <c r="B80" t="s">
        <v>154</v>
      </c>
      <c r="C80">
        <v>11901</v>
      </c>
      <c r="D80" t="s">
        <v>155</v>
      </c>
      <c r="E80">
        <v>1190100</v>
      </c>
      <c r="F80" t="s">
        <v>42</v>
      </c>
      <c r="G80">
        <v>119010000</v>
      </c>
      <c r="H80" t="s">
        <v>156</v>
      </c>
      <c r="I80">
        <v>2473</v>
      </c>
      <c r="J80" t="s">
        <v>157</v>
      </c>
      <c r="K80">
        <v>247320</v>
      </c>
      <c r="L80" t="s">
        <v>43</v>
      </c>
      <c r="M80">
        <v>24732001</v>
      </c>
      <c r="N80" t="s">
        <v>44</v>
      </c>
      <c r="O80">
        <v>5247746</v>
      </c>
      <c r="P80" t="s">
        <v>45</v>
      </c>
      <c r="Q80">
        <v>51108342</v>
      </c>
      <c r="R80">
        <v>5</v>
      </c>
      <c r="S80" t="s">
        <v>167</v>
      </c>
      <c r="T80" s="1">
        <v>20986</v>
      </c>
      <c r="U80" s="1">
        <v>38504</v>
      </c>
      <c r="W80" t="s">
        <v>159</v>
      </c>
      <c r="X80" t="s">
        <v>160</v>
      </c>
      <c r="Y80">
        <v>4</v>
      </c>
      <c r="Z80" t="s">
        <v>161</v>
      </c>
      <c r="AA80" t="s">
        <v>162</v>
      </c>
      <c r="AB80" t="s">
        <v>103</v>
      </c>
      <c r="AC80">
        <v>4</v>
      </c>
      <c r="AD80">
        <v>3</v>
      </c>
      <c r="AE80">
        <v>7</v>
      </c>
      <c r="AF80">
        <v>18</v>
      </c>
      <c r="AG80">
        <v>3</v>
      </c>
      <c r="AH80">
        <v>3</v>
      </c>
      <c r="AI80">
        <v>0</v>
      </c>
      <c r="AJ80">
        <v>0</v>
      </c>
      <c r="AK80">
        <v>12</v>
      </c>
      <c r="AL80">
        <v>0</v>
      </c>
      <c r="AM80">
        <v>0</v>
      </c>
      <c r="AN80">
        <v>3</v>
      </c>
      <c r="AO80">
        <v>2</v>
      </c>
      <c r="AP80">
        <v>0</v>
      </c>
      <c r="AQ80">
        <v>0</v>
      </c>
      <c r="AR80">
        <v>0</v>
      </c>
      <c r="AS80">
        <v>0</v>
      </c>
      <c r="AT80">
        <v>4</v>
      </c>
      <c r="AV80">
        <v>4</v>
      </c>
    </row>
    <row r="81" spans="1:48">
      <c r="A81">
        <v>119</v>
      </c>
      <c r="B81" t="s">
        <v>154</v>
      </c>
      <c r="C81">
        <v>11901</v>
      </c>
      <c r="D81" t="s">
        <v>155</v>
      </c>
      <c r="E81">
        <v>1190100</v>
      </c>
      <c r="F81" t="s">
        <v>42</v>
      </c>
      <c r="G81">
        <v>119010000</v>
      </c>
      <c r="H81" t="s">
        <v>156</v>
      </c>
      <c r="I81">
        <v>2473</v>
      </c>
      <c r="J81" t="s">
        <v>157</v>
      </c>
      <c r="K81">
        <v>247320</v>
      </c>
      <c r="L81" t="s">
        <v>43</v>
      </c>
      <c r="M81">
        <v>24732002</v>
      </c>
      <c r="N81" t="s">
        <v>77</v>
      </c>
      <c r="O81">
        <v>47866793</v>
      </c>
      <c r="P81" t="s">
        <v>78</v>
      </c>
      <c r="Q81">
        <v>430700742</v>
      </c>
      <c r="R81">
        <v>10</v>
      </c>
      <c r="S81" t="s">
        <v>174</v>
      </c>
      <c r="T81" s="1">
        <v>23926</v>
      </c>
      <c r="U81" s="1">
        <v>40725</v>
      </c>
      <c r="W81" t="s">
        <v>164</v>
      </c>
      <c r="X81" t="s">
        <v>160</v>
      </c>
      <c r="Y81">
        <v>4</v>
      </c>
      <c r="Z81" t="s">
        <v>161</v>
      </c>
      <c r="AA81" t="s">
        <v>162</v>
      </c>
      <c r="AB81" t="s">
        <v>32</v>
      </c>
      <c r="AC81">
        <v>3</v>
      </c>
      <c r="AD81">
        <v>1</v>
      </c>
      <c r="AE81">
        <v>0</v>
      </c>
      <c r="AF81">
        <v>6</v>
      </c>
      <c r="AG81">
        <v>0</v>
      </c>
      <c r="AH81">
        <v>1</v>
      </c>
      <c r="AI81">
        <v>0</v>
      </c>
      <c r="AJ81">
        <v>0</v>
      </c>
      <c r="AK81">
        <v>5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</v>
      </c>
      <c r="AV81">
        <v>3</v>
      </c>
    </row>
    <row r="82" spans="1:48">
      <c r="A82">
        <v>119</v>
      </c>
      <c r="B82" t="s">
        <v>154</v>
      </c>
      <c r="C82">
        <v>11901</v>
      </c>
      <c r="D82" t="s">
        <v>155</v>
      </c>
      <c r="E82">
        <v>1190100</v>
      </c>
      <c r="F82" t="s">
        <v>42</v>
      </c>
      <c r="G82">
        <v>119010000</v>
      </c>
      <c r="H82" t="s">
        <v>156</v>
      </c>
      <c r="I82">
        <v>2473</v>
      </c>
      <c r="J82" t="s">
        <v>157</v>
      </c>
      <c r="K82">
        <v>247320</v>
      </c>
      <c r="L82" t="s">
        <v>43</v>
      </c>
      <c r="M82">
        <v>24732003</v>
      </c>
      <c r="N82" t="s">
        <v>75</v>
      </c>
      <c r="O82">
        <v>800649369</v>
      </c>
      <c r="P82" t="s">
        <v>76</v>
      </c>
      <c r="Q82">
        <v>5671371552</v>
      </c>
      <c r="R82">
        <v>3</v>
      </c>
      <c r="S82" t="s">
        <v>165</v>
      </c>
      <c r="T82" s="1">
        <v>33188</v>
      </c>
      <c r="U82" s="1">
        <v>43172</v>
      </c>
      <c r="W82" t="s">
        <v>159</v>
      </c>
      <c r="X82" t="s">
        <v>160</v>
      </c>
      <c r="Y82">
        <v>4</v>
      </c>
      <c r="Z82" t="s">
        <v>161</v>
      </c>
      <c r="AA82" t="s">
        <v>162</v>
      </c>
      <c r="AB82" t="s">
        <v>32</v>
      </c>
      <c r="AC82">
        <v>4</v>
      </c>
      <c r="AD82">
        <v>2</v>
      </c>
      <c r="AE82">
        <v>6</v>
      </c>
      <c r="AF82">
        <v>12</v>
      </c>
      <c r="AG82">
        <v>5</v>
      </c>
      <c r="AH82">
        <v>4</v>
      </c>
      <c r="AI82">
        <v>1</v>
      </c>
      <c r="AJ82">
        <v>0</v>
      </c>
      <c r="AK82">
        <v>2</v>
      </c>
      <c r="AL82">
        <v>2</v>
      </c>
      <c r="AM82">
        <v>3</v>
      </c>
      <c r="AN82">
        <v>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</v>
      </c>
      <c r="AV82">
        <v>4</v>
      </c>
    </row>
    <row r="83" spans="1:48">
      <c r="A83">
        <v>119</v>
      </c>
      <c r="B83" t="s">
        <v>154</v>
      </c>
      <c r="C83">
        <v>11901</v>
      </c>
      <c r="D83" t="s">
        <v>155</v>
      </c>
      <c r="E83">
        <v>1190100</v>
      </c>
      <c r="F83" t="s">
        <v>42</v>
      </c>
      <c r="G83">
        <v>119010000</v>
      </c>
      <c r="H83" t="s">
        <v>156</v>
      </c>
      <c r="I83">
        <v>2473</v>
      </c>
      <c r="J83" t="s">
        <v>157</v>
      </c>
      <c r="K83">
        <v>247321</v>
      </c>
      <c r="L83" t="s">
        <v>62</v>
      </c>
      <c r="M83">
        <v>24732102</v>
      </c>
      <c r="N83" t="s">
        <v>108</v>
      </c>
      <c r="O83">
        <v>800222283</v>
      </c>
      <c r="P83" t="s">
        <v>223</v>
      </c>
      <c r="Q83">
        <v>5228523972</v>
      </c>
      <c r="R83">
        <v>3</v>
      </c>
      <c r="S83" t="s">
        <v>165</v>
      </c>
      <c r="T83" s="1">
        <v>30008</v>
      </c>
      <c r="U83" s="1">
        <v>42615</v>
      </c>
      <c r="W83" t="s">
        <v>159</v>
      </c>
      <c r="X83" t="s">
        <v>160</v>
      </c>
      <c r="Y83">
        <v>7</v>
      </c>
      <c r="Z83" t="s">
        <v>170</v>
      </c>
      <c r="AA83" t="s">
        <v>162</v>
      </c>
      <c r="AB83" t="s">
        <v>32</v>
      </c>
      <c r="AC83">
        <v>3</v>
      </c>
      <c r="AD83">
        <v>1</v>
      </c>
      <c r="AE83">
        <v>2</v>
      </c>
      <c r="AF83">
        <v>7</v>
      </c>
      <c r="AG83">
        <v>1</v>
      </c>
      <c r="AH83">
        <v>6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6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1</v>
      </c>
      <c r="AV83">
        <v>2</v>
      </c>
    </row>
    <row r="84" spans="1:48">
      <c r="A84">
        <v>119</v>
      </c>
      <c r="B84" t="s">
        <v>154</v>
      </c>
      <c r="C84">
        <v>11901</v>
      </c>
      <c r="D84" t="s">
        <v>155</v>
      </c>
      <c r="E84">
        <v>1190101</v>
      </c>
      <c r="F84" t="s">
        <v>27</v>
      </c>
      <c r="G84">
        <v>119010101</v>
      </c>
      <c r="H84" t="s">
        <v>27</v>
      </c>
      <c r="I84">
        <v>2225</v>
      </c>
      <c r="J84" t="s">
        <v>169</v>
      </c>
      <c r="K84">
        <v>222523</v>
      </c>
      <c r="L84" t="s">
        <v>28</v>
      </c>
      <c r="M84">
        <v>22252301</v>
      </c>
      <c r="N84" t="s">
        <v>29</v>
      </c>
      <c r="O84">
        <v>801443142</v>
      </c>
      <c r="P84" t="s">
        <v>336</v>
      </c>
      <c r="Q84">
        <v>6448005202</v>
      </c>
      <c r="R84">
        <v>10</v>
      </c>
      <c r="S84" t="s">
        <v>174</v>
      </c>
      <c r="T84" s="1">
        <v>30028</v>
      </c>
      <c r="U84" s="1">
        <v>43977</v>
      </c>
      <c r="W84" t="s">
        <v>159</v>
      </c>
      <c r="X84" t="s">
        <v>160</v>
      </c>
      <c r="Y84">
        <v>4</v>
      </c>
      <c r="Z84" t="s">
        <v>161</v>
      </c>
      <c r="AA84" t="s">
        <v>162</v>
      </c>
      <c r="AB84" t="s">
        <v>32</v>
      </c>
      <c r="AC84">
        <v>1</v>
      </c>
      <c r="AE84">
        <v>0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V84">
        <v>1</v>
      </c>
    </row>
    <row r="85" spans="1:48">
      <c r="A85">
        <v>119</v>
      </c>
      <c r="B85" t="s">
        <v>154</v>
      </c>
      <c r="C85">
        <v>11901</v>
      </c>
      <c r="D85" t="s">
        <v>155</v>
      </c>
      <c r="E85">
        <v>1190100</v>
      </c>
      <c r="F85" t="s">
        <v>42</v>
      </c>
      <c r="G85">
        <v>119010000</v>
      </c>
      <c r="H85" t="s">
        <v>156</v>
      </c>
      <c r="I85">
        <v>2473</v>
      </c>
      <c r="J85" t="s">
        <v>157</v>
      </c>
      <c r="K85">
        <v>247321</v>
      </c>
      <c r="L85" t="s">
        <v>62</v>
      </c>
      <c r="M85">
        <v>24732104</v>
      </c>
      <c r="N85" t="s">
        <v>63</v>
      </c>
      <c r="O85">
        <v>801421681</v>
      </c>
      <c r="P85" t="s">
        <v>362</v>
      </c>
      <c r="Q85">
        <v>6425876532</v>
      </c>
      <c r="R85">
        <v>2</v>
      </c>
      <c r="S85" t="s">
        <v>168</v>
      </c>
      <c r="T85" s="1">
        <v>30726</v>
      </c>
      <c r="U85" s="1">
        <v>43963</v>
      </c>
      <c r="W85" t="s">
        <v>159</v>
      </c>
      <c r="X85" t="s">
        <v>160</v>
      </c>
      <c r="Y85">
        <v>4</v>
      </c>
      <c r="Z85" t="s">
        <v>161</v>
      </c>
      <c r="AA85" t="s">
        <v>162</v>
      </c>
      <c r="AB85" t="s">
        <v>32</v>
      </c>
      <c r="AC85">
        <v>1</v>
      </c>
      <c r="AE85">
        <v>3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V85">
        <v>1</v>
      </c>
    </row>
    <row r="86" spans="1:48">
      <c r="A86">
        <v>119</v>
      </c>
      <c r="B86" t="s">
        <v>154</v>
      </c>
      <c r="C86">
        <v>11901</v>
      </c>
      <c r="D86" t="s">
        <v>155</v>
      </c>
      <c r="E86">
        <v>1190102</v>
      </c>
      <c r="F86" t="s">
        <v>48</v>
      </c>
      <c r="G86">
        <v>119010201</v>
      </c>
      <c r="H86" t="s">
        <v>48</v>
      </c>
      <c r="I86">
        <v>2473</v>
      </c>
      <c r="J86" t="s">
        <v>157</v>
      </c>
      <c r="K86">
        <v>247302</v>
      </c>
      <c r="L86" t="s">
        <v>49</v>
      </c>
      <c r="M86">
        <v>24730201</v>
      </c>
      <c r="N86" t="s">
        <v>50</v>
      </c>
      <c r="O86">
        <v>801554645</v>
      </c>
      <c r="P86" t="s">
        <v>282</v>
      </c>
      <c r="Q86">
        <v>6556490182</v>
      </c>
      <c r="R86">
        <v>1</v>
      </c>
      <c r="S86" t="s">
        <v>158</v>
      </c>
      <c r="T86" s="1">
        <v>34072</v>
      </c>
      <c r="U86" s="1">
        <v>44264</v>
      </c>
      <c r="W86" t="s">
        <v>159</v>
      </c>
      <c r="X86" t="s">
        <v>160</v>
      </c>
      <c r="Y86">
        <v>4</v>
      </c>
      <c r="Z86" t="s">
        <v>161</v>
      </c>
      <c r="AA86" t="s">
        <v>162</v>
      </c>
      <c r="AB86" t="s">
        <v>32</v>
      </c>
      <c r="AC86">
        <v>3</v>
      </c>
      <c r="AE86">
        <v>1</v>
      </c>
      <c r="AF86">
        <v>6</v>
      </c>
      <c r="AG86">
        <v>3</v>
      </c>
      <c r="AH86">
        <v>0</v>
      </c>
      <c r="AI86">
        <v>3</v>
      </c>
      <c r="AJ86">
        <v>0</v>
      </c>
      <c r="AK86">
        <v>0</v>
      </c>
      <c r="AL86">
        <v>3</v>
      </c>
      <c r="AM86">
        <v>3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</v>
      </c>
      <c r="AV86">
        <v>3</v>
      </c>
    </row>
    <row r="87" spans="1:48">
      <c r="A87">
        <v>119</v>
      </c>
      <c r="B87" t="s">
        <v>154</v>
      </c>
      <c r="C87">
        <v>11901</v>
      </c>
      <c r="D87" t="s">
        <v>155</v>
      </c>
      <c r="E87">
        <v>1190101</v>
      </c>
      <c r="F87" t="s">
        <v>27</v>
      </c>
      <c r="G87">
        <v>119010101</v>
      </c>
      <c r="H87" t="s">
        <v>27</v>
      </c>
      <c r="I87">
        <v>2225</v>
      </c>
      <c r="J87" t="s">
        <v>169</v>
      </c>
      <c r="K87">
        <v>222523</v>
      </c>
      <c r="L87" t="s">
        <v>28</v>
      </c>
      <c r="M87">
        <v>22252301</v>
      </c>
      <c r="N87" t="s">
        <v>29</v>
      </c>
      <c r="O87">
        <v>801429981</v>
      </c>
      <c r="P87" t="s">
        <v>350</v>
      </c>
      <c r="Q87">
        <v>6434509532</v>
      </c>
      <c r="R87">
        <v>2</v>
      </c>
      <c r="S87" t="s">
        <v>168</v>
      </c>
      <c r="T87" s="1">
        <v>28457</v>
      </c>
      <c r="U87" s="1">
        <v>43967</v>
      </c>
      <c r="W87" t="s">
        <v>159</v>
      </c>
      <c r="X87" t="s">
        <v>160</v>
      </c>
      <c r="Y87">
        <v>5</v>
      </c>
      <c r="Z87" t="s">
        <v>171</v>
      </c>
      <c r="AA87" t="s">
        <v>162</v>
      </c>
      <c r="AB87" t="s">
        <v>32</v>
      </c>
      <c r="AC87">
        <v>4</v>
      </c>
      <c r="AD87">
        <v>2</v>
      </c>
      <c r="AE87">
        <v>0</v>
      </c>
      <c r="AF87">
        <v>11</v>
      </c>
      <c r="AG87">
        <v>3</v>
      </c>
      <c r="AH87">
        <v>6</v>
      </c>
      <c r="AI87">
        <v>0</v>
      </c>
      <c r="AJ87">
        <v>0</v>
      </c>
      <c r="AK87">
        <v>2</v>
      </c>
      <c r="AL87">
        <v>0</v>
      </c>
      <c r="AM87">
        <v>2</v>
      </c>
      <c r="AN87">
        <v>6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4</v>
      </c>
      <c r="AV87">
        <v>4</v>
      </c>
    </row>
    <row r="88" spans="1:48">
      <c r="A88">
        <v>119</v>
      </c>
      <c r="B88" t="s">
        <v>154</v>
      </c>
      <c r="C88">
        <v>11901</v>
      </c>
      <c r="D88" t="s">
        <v>155</v>
      </c>
      <c r="E88">
        <v>1190100</v>
      </c>
      <c r="F88" t="s">
        <v>42</v>
      </c>
      <c r="G88">
        <v>119010000</v>
      </c>
      <c r="H88" t="s">
        <v>156</v>
      </c>
      <c r="I88">
        <v>2473</v>
      </c>
      <c r="J88" t="s">
        <v>157</v>
      </c>
      <c r="K88">
        <v>247321</v>
      </c>
      <c r="L88" t="s">
        <v>62</v>
      </c>
      <c r="M88">
        <v>24732104</v>
      </c>
      <c r="N88" t="s">
        <v>63</v>
      </c>
      <c r="O88">
        <v>801547998</v>
      </c>
      <c r="P88" t="s">
        <v>64</v>
      </c>
      <c r="Q88">
        <v>6550500692</v>
      </c>
      <c r="R88">
        <v>1</v>
      </c>
      <c r="S88" t="s">
        <v>158</v>
      </c>
      <c r="T88" s="1">
        <v>31950</v>
      </c>
      <c r="U88" s="1">
        <v>44260</v>
      </c>
      <c r="W88" t="s">
        <v>159</v>
      </c>
      <c r="X88" t="s">
        <v>160</v>
      </c>
      <c r="Y88">
        <v>4</v>
      </c>
      <c r="Z88" t="s">
        <v>161</v>
      </c>
      <c r="AA88" t="s">
        <v>162</v>
      </c>
      <c r="AB88" t="s">
        <v>32</v>
      </c>
      <c r="AC88">
        <v>3</v>
      </c>
      <c r="AE88">
        <v>2</v>
      </c>
      <c r="AF88">
        <v>4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3</v>
      </c>
      <c r="AU88">
        <v>2</v>
      </c>
      <c r="AV88">
        <v>1</v>
      </c>
    </row>
    <row r="89" spans="1:48">
      <c r="A89">
        <v>119</v>
      </c>
      <c r="B89" t="s">
        <v>154</v>
      </c>
      <c r="C89">
        <v>11901</v>
      </c>
      <c r="D89" t="s">
        <v>155</v>
      </c>
      <c r="E89">
        <v>1190101</v>
      </c>
      <c r="F89" t="s">
        <v>27</v>
      </c>
      <c r="G89">
        <v>119010101</v>
      </c>
      <c r="H89" t="s">
        <v>27</v>
      </c>
      <c r="I89">
        <v>2225</v>
      </c>
      <c r="J89" t="s">
        <v>169</v>
      </c>
      <c r="K89">
        <v>222523</v>
      </c>
      <c r="L89" t="s">
        <v>28</v>
      </c>
      <c r="M89">
        <v>22252301</v>
      </c>
      <c r="N89" t="s">
        <v>29</v>
      </c>
      <c r="O89">
        <v>801577688</v>
      </c>
      <c r="P89" t="s">
        <v>264</v>
      </c>
      <c r="Q89">
        <v>6578633392</v>
      </c>
      <c r="R89">
        <v>1</v>
      </c>
      <c r="S89" t="s">
        <v>158</v>
      </c>
      <c r="T89" s="1">
        <v>30639</v>
      </c>
      <c r="U89" s="1">
        <v>44285</v>
      </c>
      <c r="W89" t="s">
        <v>164</v>
      </c>
      <c r="X89" t="s">
        <v>160</v>
      </c>
      <c r="Y89">
        <v>7</v>
      </c>
      <c r="Z89" t="s">
        <v>170</v>
      </c>
      <c r="AA89" t="s">
        <v>162</v>
      </c>
      <c r="AB89" t="s">
        <v>32</v>
      </c>
      <c r="AC89">
        <v>5</v>
      </c>
      <c r="AD89">
        <v>3</v>
      </c>
      <c r="AE89">
        <v>1</v>
      </c>
      <c r="AF89">
        <v>12</v>
      </c>
      <c r="AG89">
        <v>3</v>
      </c>
      <c r="AH89">
        <v>4</v>
      </c>
      <c r="AI89">
        <v>0</v>
      </c>
      <c r="AJ89">
        <v>0</v>
      </c>
      <c r="AK89">
        <v>5</v>
      </c>
      <c r="AL89">
        <v>1</v>
      </c>
      <c r="AM89">
        <v>4</v>
      </c>
      <c r="AN89">
        <v>0</v>
      </c>
      <c r="AO89">
        <v>0</v>
      </c>
      <c r="AP89">
        <v>0</v>
      </c>
      <c r="AQ89">
        <v>4</v>
      </c>
      <c r="AR89">
        <v>0</v>
      </c>
      <c r="AS89">
        <v>0</v>
      </c>
      <c r="AT89">
        <v>5</v>
      </c>
      <c r="AV89">
        <v>5</v>
      </c>
    </row>
    <row r="90" spans="1:48">
      <c r="A90">
        <v>119</v>
      </c>
      <c r="B90" t="s">
        <v>154</v>
      </c>
      <c r="C90">
        <v>11901</v>
      </c>
      <c r="D90" t="s">
        <v>155</v>
      </c>
      <c r="E90">
        <v>1190101</v>
      </c>
      <c r="F90" t="s">
        <v>27</v>
      </c>
      <c r="G90">
        <v>119010101</v>
      </c>
      <c r="H90" t="s">
        <v>27</v>
      </c>
      <c r="I90">
        <v>2225</v>
      </c>
      <c r="J90" t="s">
        <v>169</v>
      </c>
      <c r="K90">
        <v>222522</v>
      </c>
      <c r="L90" t="s">
        <v>100</v>
      </c>
      <c r="M90">
        <v>22252201</v>
      </c>
      <c r="N90" t="s">
        <v>101</v>
      </c>
      <c r="O90">
        <v>801546984</v>
      </c>
      <c r="P90" t="s">
        <v>297</v>
      </c>
      <c r="Q90">
        <v>6549227922</v>
      </c>
      <c r="R90">
        <v>1</v>
      </c>
      <c r="S90" t="s">
        <v>158</v>
      </c>
      <c r="T90" s="1">
        <v>23964</v>
      </c>
      <c r="U90" s="1">
        <v>44259</v>
      </c>
      <c r="W90" t="s">
        <v>159</v>
      </c>
      <c r="X90" t="s">
        <v>160</v>
      </c>
      <c r="Y90">
        <v>7</v>
      </c>
      <c r="Z90" t="s">
        <v>170</v>
      </c>
      <c r="AA90" t="s">
        <v>162</v>
      </c>
      <c r="AB90" t="s">
        <v>32</v>
      </c>
      <c r="AC90">
        <v>2</v>
      </c>
      <c r="AD90">
        <v>2</v>
      </c>
      <c r="AE90">
        <v>2</v>
      </c>
      <c r="AF90">
        <v>9</v>
      </c>
      <c r="AG90">
        <v>4</v>
      </c>
      <c r="AH90">
        <v>2</v>
      </c>
      <c r="AI90">
        <v>0</v>
      </c>
      <c r="AJ90">
        <v>0</v>
      </c>
      <c r="AK90">
        <v>3</v>
      </c>
      <c r="AL90">
        <v>2</v>
      </c>
      <c r="AM90">
        <v>3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2</v>
      </c>
      <c r="AV90">
        <v>2</v>
      </c>
    </row>
    <row r="91" spans="1:48">
      <c r="A91">
        <v>119</v>
      </c>
      <c r="B91" t="s">
        <v>154</v>
      </c>
      <c r="C91">
        <v>11901</v>
      </c>
      <c r="D91" t="s">
        <v>155</v>
      </c>
      <c r="E91">
        <v>1190101</v>
      </c>
      <c r="F91" t="s">
        <v>27</v>
      </c>
      <c r="G91">
        <v>119010101</v>
      </c>
      <c r="H91" t="s">
        <v>27</v>
      </c>
      <c r="I91">
        <v>2225</v>
      </c>
      <c r="J91" t="s">
        <v>169</v>
      </c>
      <c r="K91">
        <v>222523</v>
      </c>
      <c r="L91" t="s">
        <v>28</v>
      </c>
      <c r="M91">
        <v>22252301</v>
      </c>
      <c r="N91" t="s">
        <v>29</v>
      </c>
      <c r="O91">
        <v>801549431</v>
      </c>
      <c r="P91" t="s">
        <v>289</v>
      </c>
      <c r="Q91">
        <v>6551184192</v>
      </c>
      <c r="R91">
        <v>1</v>
      </c>
      <c r="S91" t="s">
        <v>158</v>
      </c>
      <c r="T91" s="1">
        <v>33686</v>
      </c>
      <c r="U91" s="1">
        <v>44260</v>
      </c>
      <c r="W91" t="s">
        <v>164</v>
      </c>
      <c r="X91" t="s">
        <v>160</v>
      </c>
      <c r="Y91">
        <v>7</v>
      </c>
      <c r="Z91" t="s">
        <v>170</v>
      </c>
      <c r="AA91" t="s">
        <v>162</v>
      </c>
      <c r="AB91" t="s">
        <v>32</v>
      </c>
      <c r="AC91">
        <v>1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V91">
        <v>1</v>
      </c>
    </row>
    <row r="92" spans="1:48">
      <c r="A92">
        <v>119</v>
      </c>
      <c r="B92" t="s">
        <v>154</v>
      </c>
      <c r="C92">
        <v>11901</v>
      </c>
      <c r="D92" t="s">
        <v>155</v>
      </c>
      <c r="E92">
        <v>1190102</v>
      </c>
      <c r="F92" t="s">
        <v>48</v>
      </c>
      <c r="G92">
        <v>119010201</v>
      </c>
      <c r="H92" t="s">
        <v>48</v>
      </c>
      <c r="I92">
        <v>2473</v>
      </c>
      <c r="J92" t="s">
        <v>157</v>
      </c>
      <c r="K92">
        <v>247302</v>
      </c>
      <c r="L92" t="s">
        <v>49</v>
      </c>
      <c r="M92">
        <v>24730201</v>
      </c>
      <c r="N92" t="s">
        <v>50</v>
      </c>
      <c r="O92">
        <v>801558624</v>
      </c>
      <c r="P92" t="s">
        <v>275</v>
      </c>
      <c r="Q92">
        <v>6560423702</v>
      </c>
      <c r="R92">
        <v>1</v>
      </c>
      <c r="S92" t="s">
        <v>158</v>
      </c>
      <c r="T92" s="1">
        <v>26555</v>
      </c>
      <c r="U92" s="1">
        <v>44265</v>
      </c>
      <c r="W92" t="s">
        <v>159</v>
      </c>
      <c r="X92" t="s">
        <v>160</v>
      </c>
      <c r="Y92">
        <v>5</v>
      </c>
      <c r="Z92" t="s">
        <v>171</v>
      </c>
      <c r="AA92" t="s">
        <v>162</v>
      </c>
      <c r="AB92" t="s">
        <v>32</v>
      </c>
      <c r="AC92">
        <v>4</v>
      </c>
      <c r="AD92">
        <v>1</v>
      </c>
      <c r="AE92">
        <v>15</v>
      </c>
      <c r="AF92">
        <v>10</v>
      </c>
      <c r="AG92">
        <v>0</v>
      </c>
      <c r="AH92">
        <v>3</v>
      </c>
      <c r="AI92">
        <v>2</v>
      </c>
      <c r="AJ92">
        <v>0</v>
      </c>
      <c r="AK92">
        <v>5</v>
      </c>
      <c r="AL92">
        <v>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4</v>
      </c>
      <c r="AV92">
        <v>4</v>
      </c>
    </row>
    <row r="93" spans="1:48">
      <c r="A93">
        <v>119</v>
      </c>
      <c r="B93" t="s">
        <v>154</v>
      </c>
      <c r="C93">
        <v>11901</v>
      </c>
      <c r="D93" t="s">
        <v>155</v>
      </c>
      <c r="E93">
        <v>1190100</v>
      </c>
      <c r="F93" t="s">
        <v>42</v>
      </c>
      <c r="G93">
        <v>119010000</v>
      </c>
      <c r="H93" t="s">
        <v>156</v>
      </c>
      <c r="I93">
        <v>2473</v>
      </c>
      <c r="J93" t="s">
        <v>157</v>
      </c>
      <c r="K93">
        <v>247321</v>
      </c>
      <c r="L93" t="s">
        <v>62</v>
      </c>
      <c r="M93">
        <v>24732104</v>
      </c>
      <c r="N93" t="s">
        <v>63</v>
      </c>
      <c r="O93">
        <v>801552816</v>
      </c>
      <c r="P93" t="s">
        <v>285</v>
      </c>
      <c r="Q93">
        <v>6554680762</v>
      </c>
      <c r="R93">
        <v>1</v>
      </c>
      <c r="S93" t="s">
        <v>158</v>
      </c>
      <c r="T93" s="1">
        <v>32180</v>
      </c>
      <c r="U93" s="1">
        <v>44264</v>
      </c>
      <c r="W93" t="s">
        <v>159</v>
      </c>
      <c r="X93" t="s">
        <v>160</v>
      </c>
      <c r="Y93">
        <v>4</v>
      </c>
      <c r="Z93" t="s">
        <v>161</v>
      </c>
      <c r="AA93" t="s">
        <v>162</v>
      </c>
      <c r="AB93" t="s">
        <v>32</v>
      </c>
      <c r="AC93">
        <v>4</v>
      </c>
      <c r="AD93">
        <v>1</v>
      </c>
      <c r="AE93">
        <v>4</v>
      </c>
      <c r="AF93">
        <v>8</v>
      </c>
      <c r="AG93">
        <v>1</v>
      </c>
      <c r="AH93">
        <v>0</v>
      </c>
      <c r="AI93">
        <v>1</v>
      </c>
      <c r="AJ93">
        <v>0</v>
      </c>
      <c r="AK93">
        <v>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4</v>
      </c>
      <c r="AU93">
        <v>1</v>
      </c>
      <c r="AV93">
        <v>3</v>
      </c>
    </row>
    <row r="94" spans="1:48">
      <c r="A94">
        <v>119</v>
      </c>
      <c r="B94" t="s">
        <v>154</v>
      </c>
      <c r="C94">
        <v>11901</v>
      </c>
      <c r="D94" t="s">
        <v>155</v>
      </c>
      <c r="E94">
        <v>1190101</v>
      </c>
      <c r="F94" t="s">
        <v>27</v>
      </c>
      <c r="G94">
        <v>119010101</v>
      </c>
      <c r="H94" t="s">
        <v>27</v>
      </c>
      <c r="I94">
        <v>2225</v>
      </c>
      <c r="J94" t="s">
        <v>169</v>
      </c>
      <c r="K94">
        <v>222523</v>
      </c>
      <c r="L94" t="s">
        <v>28</v>
      </c>
      <c r="M94">
        <v>22252301</v>
      </c>
      <c r="N94" t="s">
        <v>29</v>
      </c>
      <c r="O94">
        <v>801552747</v>
      </c>
      <c r="P94" t="s">
        <v>79</v>
      </c>
      <c r="Q94">
        <v>6554611872</v>
      </c>
      <c r="R94">
        <v>1</v>
      </c>
      <c r="S94" t="s">
        <v>158</v>
      </c>
      <c r="T94" s="1">
        <v>31931</v>
      </c>
      <c r="U94" s="1">
        <v>44264</v>
      </c>
      <c r="W94" t="s">
        <v>164</v>
      </c>
      <c r="X94" t="s">
        <v>160</v>
      </c>
      <c r="Y94">
        <v>4</v>
      </c>
      <c r="Z94" t="s">
        <v>161</v>
      </c>
      <c r="AA94" t="s">
        <v>162</v>
      </c>
      <c r="AB94" t="s">
        <v>32</v>
      </c>
      <c r="AC94">
        <v>2</v>
      </c>
      <c r="AD94">
        <v>1</v>
      </c>
      <c r="AE94">
        <v>0</v>
      </c>
      <c r="AF94">
        <v>5</v>
      </c>
      <c r="AG94">
        <v>2</v>
      </c>
      <c r="AH94">
        <v>0</v>
      </c>
      <c r="AI94">
        <v>0</v>
      </c>
      <c r="AJ94">
        <v>0</v>
      </c>
      <c r="AK94">
        <v>3</v>
      </c>
      <c r="AL94">
        <v>2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2</v>
      </c>
      <c r="AV94">
        <v>2</v>
      </c>
    </row>
    <row r="95" spans="1:48">
      <c r="A95">
        <v>119</v>
      </c>
      <c r="B95" t="s">
        <v>154</v>
      </c>
      <c r="C95">
        <v>11901</v>
      </c>
      <c r="D95" t="s">
        <v>155</v>
      </c>
      <c r="E95">
        <v>1190101</v>
      </c>
      <c r="F95" t="s">
        <v>27</v>
      </c>
      <c r="G95">
        <v>119010101</v>
      </c>
      <c r="H95" t="s">
        <v>27</v>
      </c>
      <c r="I95">
        <v>2225</v>
      </c>
      <c r="J95" t="s">
        <v>169</v>
      </c>
      <c r="K95">
        <v>222523</v>
      </c>
      <c r="L95" t="s">
        <v>28</v>
      </c>
      <c r="M95">
        <v>22252301</v>
      </c>
      <c r="N95" t="s">
        <v>29</v>
      </c>
      <c r="O95">
        <v>801316740</v>
      </c>
      <c r="P95" t="s">
        <v>407</v>
      </c>
      <c r="Q95">
        <v>6323154432</v>
      </c>
      <c r="R95">
        <v>2</v>
      </c>
      <c r="S95" t="s">
        <v>168</v>
      </c>
      <c r="T95" s="1">
        <v>33558</v>
      </c>
      <c r="U95" s="1">
        <v>43885</v>
      </c>
      <c r="W95" t="s">
        <v>159</v>
      </c>
      <c r="X95" t="s">
        <v>160</v>
      </c>
      <c r="Y95">
        <v>7</v>
      </c>
      <c r="Z95" t="s">
        <v>170</v>
      </c>
      <c r="AA95" t="s">
        <v>162</v>
      </c>
      <c r="AB95" t="s">
        <v>32</v>
      </c>
      <c r="AC95">
        <v>1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V95">
        <v>1</v>
      </c>
    </row>
    <row r="96" spans="1:48">
      <c r="A96">
        <v>119</v>
      </c>
      <c r="B96" t="s">
        <v>154</v>
      </c>
      <c r="C96">
        <v>11901</v>
      </c>
      <c r="D96" t="s">
        <v>155</v>
      </c>
      <c r="E96">
        <v>1190100</v>
      </c>
      <c r="F96" t="s">
        <v>42</v>
      </c>
      <c r="G96">
        <v>119010000</v>
      </c>
      <c r="H96" t="s">
        <v>156</v>
      </c>
      <c r="I96">
        <v>2473</v>
      </c>
      <c r="J96" t="s">
        <v>157</v>
      </c>
      <c r="K96">
        <v>247319</v>
      </c>
      <c r="L96" t="s">
        <v>66</v>
      </c>
      <c r="M96">
        <v>24731902</v>
      </c>
      <c r="N96" t="s">
        <v>67</v>
      </c>
      <c r="O96">
        <v>208265168</v>
      </c>
      <c r="P96" t="s">
        <v>97</v>
      </c>
      <c r="Q96">
        <v>628297282</v>
      </c>
      <c r="R96">
        <v>2</v>
      </c>
      <c r="S96" t="s">
        <v>168</v>
      </c>
      <c r="T96" s="1">
        <v>27998</v>
      </c>
      <c r="U96" s="1">
        <v>41772</v>
      </c>
      <c r="W96" t="s">
        <v>159</v>
      </c>
      <c r="X96" t="s">
        <v>160</v>
      </c>
      <c r="Y96">
        <v>4</v>
      </c>
      <c r="Z96" t="s">
        <v>161</v>
      </c>
      <c r="AA96" t="s">
        <v>162</v>
      </c>
      <c r="AB96" t="s">
        <v>32</v>
      </c>
      <c r="AC96">
        <v>2</v>
      </c>
      <c r="AD96">
        <v>1</v>
      </c>
      <c r="AE96">
        <v>1</v>
      </c>
      <c r="AF96">
        <v>4</v>
      </c>
      <c r="AG96">
        <v>0</v>
      </c>
      <c r="AH96">
        <v>3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2</v>
      </c>
      <c r="AV96">
        <v>2</v>
      </c>
    </row>
    <row r="97" spans="1:45">
      <c r="A97">
        <v>119</v>
      </c>
      <c r="B97" t="s">
        <v>154</v>
      </c>
      <c r="C97">
        <v>11901</v>
      </c>
      <c r="D97" t="s">
        <v>155</v>
      </c>
      <c r="E97">
        <v>1190101</v>
      </c>
      <c r="F97" t="s">
        <v>27</v>
      </c>
      <c r="G97">
        <v>119010101</v>
      </c>
      <c r="H97" t="s">
        <v>27</v>
      </c>
      <c r="I97">
        <v>2473</v>
      </c>
      <c r="J97" t="s">
        <v>157</v>
      </c>
      <c r="K97">
        <v>247312</v>
      </c>
      <c r="L97" t="s">
        <v>37</v>
      </c>
      <c r="M97">
        <v>24731213</v>
      </c>
      <c r="N97" t="s">
        <v>110</v>
      </c>
      <c r="O97">
        <v>200921334</v>
      </c>
      <c r="P97" t="s">
        <v>111</v>
      </c>
      <c r="Q97">
        <v>477030872</v>
      </c>
      <c r="R97">
        <v>3</v>
      </c>
      <c r="S97" t="s">
        <v>165</v>
      </c>
      <c r="T97" s="1">
        <v>23994</v>
      </c>
      <c r="U97" s="1">
        <v>41155</v>
      </c>
      <c r="W97" t="s">
        <v>164</v>
      </c>
      <c r="X97" t="s">
        <v>160</v>
      </c>
      <c r="Y97">
        <v>7</v>
      </c>
      <c r="Z97" t="s">
        <v>170</v>
      </c>
      <c r="AA97" t="s">
        <v>162</v>
      </c>
      <c r="AB97" t="s">
        <v>32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>
      <c r="A98">
        <v>119</v>
      </c>
      <c r="B98" t="s">
        <v>154</v>
      </c>
      <c r="C98">
        <v>11901</v>
      </c>
      <c r="D98" t="s">
        <v>155</v>
      </c>
      <c r="E98">
        <v>1190100</v>
      </c>
      <c r="F98" t="s">
        <v>42</v>
      </c>
      <c r="G98">
        <v>119010000</v>
      </c>
      <c r="H98" t="s">
        <v>156</v>
      </c>
      <c r="I98">
        <v>2473</v>
      </c>
      <c r="J98" t="s">
        <v>157</v>
      </c>
      <c r="K98">
        <v>247320</v>
      </c>
      <c r="L98" t="s">
        <v>43</v>
      </c>
      <c r="M98">
        <v>24732001</v>
      </c>
      <c r="N98" t="s">
        <v>44</v>
      </c>
      <c r="O98">
        <v>10303350</v>
      </c>
      <c r="P98" t="s">
        <v>528</v>
      </c>
      <c r="Q98">
        <v>86051232</v>
      </c>
      <c r="R98">
        <v>2</v>
      </c>
      <c r="S98" t="s">
        <v>168</v>
      </c>
      <c r="T98" s="1">
        <v>25082</v>
      </c>
      <c r="U98" s="1">
        <v>38838</v>
      </c>
      <c r="W98" t="s">
        <v>159</v>
      </c>
      <c r="X98" t="s">
        <v>160</v>
      </c>
      <c r="Y98">
        <v>4</v>
      </c>
      <c r="Z98" t="s">
        <v>161</v>
      </c>
      <c r="AA98" t="s">
        <v>162</v>
      </c>
      <c r="AB98" t="s">
        <v>32</v>
      </c>
      <c r="AE98">
        <v>5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8">
      <c r="A99">
        <v>119</v>
      </c>
      <c r="B99" t="s">
        <v>154</v>
      </c>
      <c r="C99">
        <v>11901</v>
      </c>
      <c r="D99" t="s">
        <v>155</v>
      </c>
      <c r="E99">
        <v>1190102</v>
      </c>
      <c r="F99" t="s">
        <v>48</v>
      </c>
      <c r="G99">
        <v>119010201</v>
      </c>
      <c r="H99" t="s">
        <v>48</v>
      </c>
      <c r="I99">
        <v>2473</v>
      </c>
      <c r="J99" t="s">
        <v>157</v>
      </c>
      <c r="K99">
        <v>247302</v>
      </c>
      <c r="L99" t="s">
        <v>49</v>
      </c>
      <c r="M99">
        <v>24730252</v>
      </c>
      <c r="N99" t="s">
        <v>82</v>
      </c>
      <c r="O99">
        <v>800154112</v>
      </c>
      <c r="P99" t="s">
        <v>219</v>
      </c>
      <c r="Q99">
        <v>5159113652</v>
      </c>
      <c r="R99">
        <v>3</v>
      </c>
      <c r="S99" t="s">
        <v>165</v>
      </c>
      <c r="T99" s="1">
        <v>23382</v>
      </c>
      <c r="U99" s="1">
        <v>42523</v>
      </c>
      <c r="W99" t="s">
        <v>159</v>
      </c>
      <c r="X99" t="s">
        <v>160</v>
      </c>
      <c r="Y99">
        <v>4</v>
      </c>
      <c r="Z99" t="s">
        <v>161</v>
      </c>
      <c r="AA99" t="s">
        <v>162</v>
      </c>
      <c r="AB99" t="s">
        <v>32</v>
      </c>
      <c r="AC99">
        <v>6</v>
      </c>
      <c r="AD99">
        <v>5</v>
      </c>
      <c r="AE99">
        <v>15</v>
      </c>
      <c r="AF99">
        <v>50</v>
      </c>
      <c r="AG99">
        <v>35</v>
      </c>
      <c r="AH99">
        <v>1</v>
      </c>
      <c r="AI99">
        <v>2</v>
      </c>
      <c r="AJ99">
        <v>0</v>
      </c>
      <c r="AK99">
        <v>12</v>
      </c>
      <c r="AL99">
        <v>1</v>
      </c>
      <c r="AM99">
        <v>32</v>
      </c>
      <c r="AN99">
        <v>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6</v>
      </c>
      <c r="AV99">
        <v>6</v>
      </c>
    </row>
    <row r="100" spans="1:48">
      <c r="A100">
        <v>119</v>
      </c>
      <c r="B100" t="s">
        <v>154</v>
      </c>
      <c r="C100">
        <v>11901</v>
      </c>
      <c r="D100" t="s">
        <v>155</v>
      </c>
      <c r="E100">
        <v>1190100</v>
      </c>
      <c r="F100" t="s">
        <v>42</v>
      </c>
      <c r="G100">
        <v>119010000</v>
      </c>
      <c r="H100" t="s">
        <v>156</v>
      </c>
      <c r="I100">
        <v>2473</v>
      </c>
      <c r="J100" t="s">
        <v>157</v>
      </c>
      <c r="K100">
        <v>247321</v>
      </c>
      <c r="L100" t="s">
        <v>62</v>
      </c>
      <c r="M100">
        <v>24732101</v>
      </c>
      <c r="N100" t="s">
        <v>86</v>
      </c>
      <c r="O100">
        <v>208013795</v>
      </c>
      <c r="P100" t="s">
        <v>511</v>
      </c>
      <c r="Q100">
        <v>623618392</v>
      </c>
      <c r="R100">
        <v>2</v>
      </c>
      <c r="S100" t="s">
        <v>168</v>
      </c>
      <c r="T100" s="1">
        <v>29827</v>
      </c>
      <c r="U100" s="1">
        <v>41745</v>
      </c>
      <c r="W100" t="s">
        <v>159</v>
      </c>
      <c r="X100" t="s">
        <v>160</v>
      </c>
      <c r="Y100">
        <v>7</v>
      </c>
      <c r="Z100" t="s">
        <v>170</v>
      </c>
      <c r="AA100" t="s">
        <v>162</v>
      </c>
      <c r="AB100" t="s">
        <v>32</v>
      </c>
      <c r="AC100">
        <v>1</v>
      </c>
      <c r="AD100">
        <v>1</v>
      </c>
      <c r="AE100">
        <v>0</v>
      </c>
      <c r="AF100">
        <v>14</v>
      </c>
      <c r="AG100">
        <v>9</v>
      </c>
      <c r="AH100">
        <v>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V100">
        <v>1</v>
      </c>
    </row>
    <row r="101" spans="1:48">
      <c r="A101">
        <v>119</v>
      </c>
      <c r="B101" t="s">
        <v>154</v>
      </c>
      <c r="C101">
        <v>11901</v>
      </c>
      <c r="D101" t="s">
        <v>155</v>
      </c>
      <c r="E101">
        <v>1190101</v>
      </c>
      <c r="F101" t="s">
        <v>27</v>
      </c>
      <c r="G101">
        <v>119010101</v>
      </c>
      <c r="H101" t="s">
        <v>27</v>
      </c>
      <c r="I101">
        <v>2225</v>
      </c>
      <c r="J101" t="s">
        <v>169</v>
      </c>
      <c r="K101">
        <v>222522</v>
      </c>
      <c r="L101" t="s">
        <v>100</v>
      </c>
      <c r="M101">
        <v>22252201</v>
      </c>
      <c r="N101" t="s">
        <v>101</v>
      </c>
      <c r="O101">
        <v>201655854</v>
      </c>
      <c r="P101" t="s">
        <v>107</v>
      </c>
      <c r="Q101">
        <v>484039162</v>
      </c>
      <c r="R101">
        <v>2</v>
      </c>
      <c r="S101" t="s">
        <v>168</v>
      </c>
      <c r="T101" s="1">
        <v>23870</v>
      </c>
      <c r="U101" s="1">
        <v>41234</v>
      </c>
      <c r="W101" t="s">
        <v>159</v>
      </c>
      <c r="X101" t="s">
        <v>160</v>
      </c>
      <c r="Y101">
        <v>7</v>
      </c>
      <c r="Z101" t="s">
        <v>170</v>
      </c>
      <c r="AA101" t="s">
        <v>162</v>
      </c>
      <c r="AB101" t="s">
        <v>32</v>
      </c>
      <c r="AC101">
        <v>4</v>
      </c>
      <c r="AD101">
        <v>3</v>
      </c>
      <c r="AE101">
        <v>0</v>
      </c>
      <c r="AF101">
        <v>12</v>
      </c>
      <c r="AG101">
        <v>6</v>
      </c>
      <c r="AH101">
        <v>1</v>
      </c>
      <c r="AI101">
        <v>0</v>
      </c>
      <c r="AJ101">
        <v>0</v>
      </c>
      <c r="AK101">
        <v>5</v>
      </c>
      <c r="AL101">
        <v>2</v>
      </c>
      <c r="AM101">
        <v>4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4</v>
      </c>
      <c r="AV101">
        <v>4</v>
      </c>
    </row>
    <row r="102" spans="1:48">
      <c r="A102">
        <v>119</v>
      </c>
      <c r="B102" t="s">
        <v>154</v>
      </c>
      <c r="C102">
        <v>11901</v>
      </c>
      <c r="D102" t="s">
        <v>155</v>
      </c>
      <c r="E102">
        <v>1190101</v>
      </c>
      <c r="F102" t="s">
        <v>27</v>
      </c>
      <c r="G102">
        <v>119010101</v>
      </c>
      <c r="H102" t="s">
        <v>27</v>
      </c>
      <c r="I102">
        <v>2225</v>
      </c>
      <c r="J102" t="s">
        <v>169</v>
      </c>
      <c r="K102">
        <v>222509</v>
      </c>
      <c r="L102" t="s">
        <v>294</v>
      </c>
      <c r="M102">
        <v>22250902</v>
      </c>
      <c r="N102" t="s">
        <v>295</v>
      </c>
      <c r="O102">
        <v>203936351</v>
      </c>
      <c r="P102" t="s">
        <v>515</v>
      </c>
      <c r="Q102">
        <v>553691302</v>
      </c>
      <c r="R102">
        <v>2</v>
      </c>
      <c r="S102" t="s">
        <v>168</v>
      </c>
      <c r="T102" s="1">
        <v>26578</v>
      </c>
      <c r="U102" s="1">
        <v>41451</v>
      </c>
      <c r="W102" t="s">
        <v>159</v>
      </c>
      <c r="X102" t="s">
        <v>160</v>
      </c>
      <c r="Y102">
        <v>4</v>
      </c>
      <c r="Z102" t="s">
        <v>161</v>
      </c>
      <c r="AA102" t="s">
        <v>162</v>
      </c>
      <c r="AB102" t="s">
        <v>32</v>
      </c>
      <c r="AC102">
        <v>3</v>
      </c>
      <c r="AD102">
        <v>1</v>
      </c>
      <c r="AE102">
        <v>3</v>
      </c>
      <c r="AF102">
        <v>7</v>
      </c>
      <c r="AG102">
        <v>2</v>
      </c>
      <c r="AH102">
        <v>0</v>
      </c>
      <c r="AI102">
        <v>0</v>
      </c>
      <c r="AJ102">
        <v>0</v>
      </c>
      <c r="AK102">
        <v>5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3</v>
      </c>
      <c r="AV102">
        <v>3</v>
      </c>
    </row>
    <row r="103" spans="1:48">
      <c r="A103">
        <v>119</v>
      </c>
      <c r="B103" t="s">
        <v>154</v>
      </c>
      <c r="C103">
        <v>11901</v>
      </c>
      <c r="D103" t="s">
        <v>155</v>
      </c>
      <c r="E103">
        <v>1190100</v>
      </c>
      <c r="F103" t="s">
        <v>42</v>
      </c>
      <c r="G103">
        <v>119010000</v>
      </c>
      <c r="H103" t="s">
        <v>156</v>
      </c>
      <c r="I103">
        <v>2473</v>
      </c>
      <c r="J103" t="s">
        <v>157</v>
      </c>
      <c r="K103">
        <v>247320</v>
      </c>
      <c r="L103" t="s">
        <v>43</v>
      </c>
      <c r="M103">
        <v>24732004</v>
      </c>
      <c r="N103" t="s">
        <v>70</v>
      </c>
      <c r="O103">
        <v>801168231</v>
      </c>
      <c r="P103" t="s">
        <v>425</v>
      </c>
      <c r="Q103">
        <v>6176568392</v>
      </c>
      <c r="R103">
        <v>1</v>
      </c>
      <c r="S103" t="s">
        <v>158</v>
      </c>
      <c r="T103" s="1">
        <v>31297</v>
      </c>
      <c r="U103" s="1">
        <v>43599</v>
      </c>
      <c r="W103" t="s">
        <v>159</v>
      </c>
      <c r="X103" t="s">
        <v>160</v>
      </c>
      <c r="Y103">
        <v>4</v>
      </c>
      <c r="Z103" t="s">
        <v>161</v>
      </c>
      <c r="AA103" t="s">
        <v>162</v>
      </c>
      <c r="AB103" t="s">
        <v>32</v>
      </c>
      <c r="AC103">
        <v>1</v>
      </c>
      <c r="AE103">
        <v>0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V103">
        <v>1</v>
      </c>
    </row>
    <row r="104" spans="1:45">
      <c r="A104">
        <v>119</v>
      </c>
      <c r="B104" t="s">
        <v>154</v>
      </c>
      <c r="C104">
        <v>11901</v>
      </c>
      <c r="D104" t="s">
        <v>155</v>
      </c>
      <c r="E104">
        <v>1190100</v>
      </c>
      <c r="F104" t="s">
        <v>42</v>
      </c>
      <c r="G104">
        <v>119010000</v>
      </c>
      <c r="H104" t="s">
        <v>156</v>
      </c>
      <c r="I104">
        <v>2473</v>
      </c>
      <c r="J104" t="s">
        <v>157</v>
      </c>
      <c r="K104">
        <v>247315</v>
      </c>
      <c r="L104" t="s">
        <v>518</v>
      </c>
      <c r="M104">
        <v>24731501</v>
      </c>
      <c r="N104" t="s">
        <v>519</v>
      </c>
      <c r="O104">
        <v>23197228</v>
      </c>
      <c r="P104" t="s">
        <v>523</v>
      </c>
      <c r="Q104">
        <v>216455102</v>
      </c>
      <c r="R104">
        <v>10</v>
      </c>
      <c r="S104" t="s">
        <v>174</v>
      </c>
      <c r="T104" s="1">
        <v>25327</v>
      </c>
      <c r="U104" s="1">
        <v>39539</v>
      </c>
      <c r="W104" t="s">
        <v>159</v>
      </c>
      <c r="X104" t="s">
        <v>160</v>
      </c>
      <c r="Y104">
        <v>4</v>
      </c>
      <c r="Z104" t="s">
        <v>161</v>
      </c>
      <c r="AA104" t="s">
        <v>162</v>
      </c>
      <c r="AB104" t="s">
        <v>103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8">
      <c r="A105">
        <v>119</v>
      </c>
      <c r="B105" t="s">
        <v>154</v>
      </c>
      <c r="C105">
        <v>11901</v>
      </c>
      <c r="D105" t="s">
        <v>155</v>
      </c>
      <c r="E105">
        <v>1190101</v>
      </c>
      <c r="F105" t="s">
        <v>27</v>
      </c>
      <c r="G105">
        <v>119010101</v>
      </c>
      <c r="H105" t="s">
        <v>27</v>
      </c>
      <c r="I105">
        <v>2225</v>
      </c>
      <c r="J105" t="s">
        <v>169</v>
      </c>
      <c r="K105">
        <v>222523</v>
      </c>
      <c r="L105" t="s">
        <v>28</v>
      </c>
      <c r="M105">
        <v>22252301</v>
      </c>
      <c r="N105" t="s">
        <v>29</v>
      </c>
      <c r="O105">
        <v>801442340</v>
      </c>
      <c r="P105" t="s">
        <v>337</v>
      </c>
      <c r="Q105">
        <v>6447214732</v>
      </c>
      <c r="R105">
        <v>10</v>
      </c>
      <c r="S105" t="s">
        <v>174</v>
      </c>
      <c r="T105" s="1">
        <v>33175</v>
      </c>
      <c r="U105" s="1">
        <v>43977</v>
      </c>
      <c r="W105" t="s">
        <v>159</v>
      </c>
      <c r="X105" t="s">
        <v>160</v>
      </c>
      <c r="Y105">
        <v>4</v>
      </c>
      <c r="Z105" t="s">
        <v>161</v>
      </c>
      <c r="AA105" t="s">
        <v>162</v>
      </c>
      <c r="AB105" t="s">
        <v>32</v>
      </c>
      <c r="AC105">
        <v>1</v>
      </c>
      <c r="AE105">
        <v>0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V105">
        <v>1</v>
      </c>
    </row>
    <row r="106" spans="1:48">
      <c r="A106">
        <v>119</v>
      </c>
      <c r="B106" t="s">
        <v>154</v>
      </c>
      <c r="C106">
        <v>11901</v>
      </c>
      <c r="D106" t="s">
        <v>155</v>
      </c>
      <c r="E106">
        <v>1190101</v>
      </c>
      <c r="F106" t="s">
        <v>27</v>
      </c>
      <c r="G106">
        <v>119010101</v>
      </c>
      <c r="H106" t="s">
        <v>27</v>
      </c>
      <c r="I106">
        <v>2225</v>
      </c>
      <c r="J106" t="s">
        <v>169</v>
      </c>
      <c r="K106">
        <v>222523</v>
      </c>
      <c r="L106" t="s">
        <v>28</v>
      </c>
      <c r="M106">
        <v>22252301</v>
      </c>
      <c r="N106" t="s">
        <v>29</v>
      </c>
      <c r="O106">
        <v>801422359</v>
      </c>
      <c r="P106" t="s">
        <v>354</v>
      </c>
      <c r="Q106">
        <v>6426549162</v>
      </c>
      <c r="R106">
        <v>10</v>
      </c>
      <c r="S106" t="s">
        <v>174</v>
      </c>
      <c r="T106" s="1">
        <v>31840</v>
      </c>
      <c r="U106" s="1">
        <v>43963</v>
      </c>
      <c r="W106" t="s">
        <v>159</v>
      </c>
      <c r="X106" t="s">
        <v>160</v>
      </c>
      <c r="Y106">
        <v>4</v>
      </c>
      <c r="Z106" t="s">
        <v>161</v>
      </c>
      <c r="AA106" t="s">
        <v>162</v>
      </c>
      <c r="AB106" t="s">
        <v>32</v>
      </c>
      <c r="AC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V106">
        <v>1</v>
      </c>
    </row>
    <row r="107" spans="1:48">
      <c r="A107">
        <v>119</v>
      </c>
      <c r="B107" t="s">
        <v>154</v>
      </c>
      <c r="C107">
        <v>11901</v>
      </c>
      <c r="D107" t="s">
        <v>155</v>
      </c>
      <c r="E107">
        <v>1190100</v>
      </c>
      <c r="F107" t="s">
        <v>42</v>
      </c>
      <c r="G107">
        <v>119010000</v>
      </c>
      <c r="H107" t="s">
        <v>156</v>
      </c>
      <c r="I107">
        <v>2473</v>
      </c>
      <c r="J107" t="s">
        <v>157</v>
      </c>
      <c r="K107">
        <v>247319</v>
      </c>
      <c r="L107" t="s">
        <v>66</v>
      </c>
      <c r="M107">
        <v>24731902</v>
      </c>
      <c r="N107" t="s">
        <v>67</v>
      </c>
      <c r="O107">
        <v>801436959</v>
      </c>
      <c r="P107" t="s">
        <v>339</v>
      </c>
      <c r="Q107">
        <v>6441354852</v>
      </c>
      <c r="R107">
        <v>2</v>
      </c>
      <c r="S107" t="s">
        <v>168</v>
      </c>
      <c r="T107" s="1">
        <v>25997</v>
      </c>
      <c r="U107" s="1">
        <v>43971</v>
      </c>
      <c r="W107" t="s">
        <v>159</v>
      </c>
      <c r="X107" t="s">
        <v>160</v>
      </c>
      <c r="Y107">
        <v>4</v>
      </c>
      <c r="Z107" t="s">
        <v>161</v>
      </c>
      <c r="AA107" t="s">
        <v>162</v>
      </c>
      <c r="AB107" t="s">
        <v>32</v>
      </c>
      <c r="AC107">
        <v>4</v>
      </c>
      <c r="AE107">
        <v>2</v>
      </c>
      <c r="AF107">
        <v>4</v>
      </c>
      <c r="AG107">
        <v>2</v>
      </c>
      <c r="AH107">
        <v>0</v>
      </c>
      <c r="AI107">
        <v>0</v>
      </c>
      <c r="AJ107">
        <v>0</v>
      </c>
      <c r="AK107">
        <v>2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4</v>
      </c>
      <c r="AV107">
        <v>4</v>
      </c>
    </row>
    <row r="108" spans="1:48">
      <c r="A108">
        <v>119</v>
      </c>
      <c r="B108" t="s">
        <v>154</v>
      </c>
      <c r="C108">
        <v>11901</v>
      </c>
      <c r="D108" t="s">
        <v>155</v>
      </c>
      <c r="E108">
        <v>1190101</v>
      </c>
      <c r="F108" t="s">
        <v>27</v>
      </c>
      <c r="G108">
        <v>119010101</v>
      </c>
      <c r="H108" t="s">
        <v>27</v>
      </c>
      <c r="I108">
        <v>2225</v>
      </c>
      <c r="J108" t="s">
        <v>169</v>
      </c>
      <c r="K108">
        <v>222523</v>
      </c>
      <c r="L108" t="s">
        <v>28</v>
      </c>
      <c r="M108">
        <v>22252305</v>
      </c>
      <c r="N108" t="s">
        <v>224</v>
      </c>
      <c r="O108">
        <v>801371335</v>
      </c>
      <c r="P108" t="s">
        <v>385</v>
      </c>
      <c r="Q108">
        <v>6376123702</v>
      </c>
      <c r="R108">
        <v>1</v>
      </c>
      <c r="S108" t="s">
        <v>158</v>
      </c>
      <c r="T108" s="1">
        <v>35421</v>
      </c>
      <c r="U108" s="1">
        <v>43902</v>
      </c>
      <c r="W108" t="s">
        <v>159</v>
      </c>
      <c r="X108" t="s">
        <v>160</v>
      </c>
      <c r="Y108">
        <v>4</v>
      </c>
      <c r="Z108" t="s">
        <v>161</v>
      </c>
      <c r="AA108" t="s">
        <v>162</v>
      </c>
      <c r="AB108" t="s">
        <v>32</v>
      </c>
      <c r="AC108">
        <v>1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V108">
        <v>1</v>
      </c>
    </row>
    <row r="109" spans="1:48">
      <c r="A109">
        <v>119</v>
      </c>
      <c r="B109" t="s">
        <v>154</v>
      </c>
      <c r="C109">
        <v>11901</v>
      </c>
      <c r="D109" t="s">
        <v>155</v>
      </c>
      <c r="E109">
        <v>1190101</v>
      </c>
      <c r="F109" t="s">
        <v>27</v>
      </c>
      <c r="G109">
        <v>119010101</v>
      </c>
      <c r="H109" t="s">
        <v>27</v>
      </c>
      <c r="I109">
        <v>2225</v>
      </c>
      <c r="J109" t="s">
        <v>169</v>
      </c>
      <c r="K109">
        <v>222523</v>
      </c>
      <c r="L109" t="s">
        <v>28</v>
      </c>
      <c r="M109">
        <v>22252301</v>
      </c>
      <c r="N109" t="s">
        <v>29</v>
      </c>
      <c r="O109">
        <v>801498822</v>
      </c>
      <c r="P109" t="s">
        <v>309</v>
      </c>
      <c r="Q109">
        <v>6501704222</v>
      </c>
      <c r="R109">
        <v>2</v>
      </c>
      <c r="S109" t="s">
        <v>168</v>
      </c>
      <c r="T109" s="1">
        <v>34996</v>
      </c>
      <c r="U109" s="1">
        <v>44133</v>
      </c>
      <c r="W109" t="s">
        <v>159</v>
      </c>
      <c r="X109" t="s">
        <v>160</v>
      </c>
      <c r="Y109">
        <v>7</v>
      </c>
      <c r="Z109" t="s">
        <v>170</v>
      </c>
      <c r="AA109" t="s">
        <v>162</v>
      </c>
      <c r="AB109" t="s">
        <v>32</v>
      </c>
      <c r="AC109">
        <v>5</v>
      </c>
      <c r="AD109">
        <v>2</v>
      </c>
      <c r="AE109">
        <v>4</v>
      </c>
      <c r="AF109">
        <v>11</v>
      </c>
      <c r="AG109">
        <v>8</v>
      </c>
      <c r="AH109">
        <v>0</v>
      </c>
      <c r="AI109">
        <v>3</v>
      </c>
      <c r="AJ109">
        <v>0</v>
      </c>
      <c r="AK109">
        <v>0</v>
      </c>
      <c r="AL109">
        <v>6</v>
      </c>
      <c r="AM109">
        <v>2</v>
      </c>
      <c r="AN109">
        <v>0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5</v>
      </c>
      <c r="AV109">
        <v>5</v>
      </c>
    </row>
    <row r="110" spans="1:48">
      <c r="A110">
        <v>119</v>
      </c>
      <c r="B110" t="s">
        <v>154</v>
      </c>
      <c r="C110">
        <v>11901</v>
      </c>
      <c r="D110" t="s">
        <v>155</v>
      </c>
      <c r="E110">
        <v>1190102</v>
      </c>
      <c r="F110" t="s">
        <v>48</v>
      </c>
      <c r="G110">
        <v>119010201</v>
      </c>
      <c r="H110" t="s">
        <v>48</v>
      </c>
      <c r="I110">
        <v>2473</v>
      </c>
      <c r="J110" t="s">
        <v>157</v>
      </c>
      <c r="K110">
        <v>247302</v>
      </c>
      <c r="L110" t="s">
        <v>49</v>
      </c>
      <c r="M110">
        <v>24730201</v>
      </c>
      <c r="N110" t="s">
        <v>50</v>
      </c>
      <c r="O110">
        <v>801549222</v>
      </c>
      <c r="P110" t="s">
        <v>292</v>
      </c>
      <c r="Q110">
        <v>6550477082</v>
      </c>
      <c r="R110">
        <v>1</v>
      </c>
      <c r="S110" t="s">
        <v>158</v>
      </c>
      <c r="T110" s="1">
        <v>26693</v>
      </c>
      <c r="U110" s="1">
        <v>44260</v>
      </c>
      <c r="W110" t="s">
        <v>159</v>
      </c>
      <c r="X110" t="s">
        <v>160</v>
      </c>
      <c r="Y110">
        <v>7</v>
      </c>
      <c r="Z110" t="s">
        <v>170</v>
      </c>
      <c r="AA110" t="s">
        <v>162</v>
      </c>
      <c r="AB110" t="s">
        <v>32</v>
      </c>
      <c r="AC110">
        <v>1</v>
      </c>
      <c r="AE110">
        <v>16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V110">
        <v>1</v>
      </c>
    </row>
    <row r="111" spans="1:48">
      <c r="A111">
        <v>119</v>
      </c>
      <c r="B111" t="s">
        <v>154</v>
      </c>
      <c r="C111">
        <v>11901</v>
      </c>
      <c r="D111" t="s">
        <v>155</v>
      </c>
      <c r="E111">
        <v>1190101</v>
      </c>
      <c r="F111" t="s">
        <v>27</v>
      </c>
      <c r="G111">
        <v>119010101</v>
      </c>
      <c r="H111" t="s">
        <v>27</v>
      </c>
      <c r="I111">
        <v>2225</v>
      </c>
      <c r="J111" t="s">
        <v>169</v>
      </c>
      <c r="K111">
        <v>222522</v>
      </c>
      <c r="L111" t="s">
        <v>100</v>
      </c>
      <c r="M111">
        <v>22252201</v>
      </c>
      <c r="N111" t="s">
        <v>101</v>
      </c>
      <c r="O111">
        <v>801577221</v>
      </c>
      <c r="P111" t="s">
        <v>266</v>
      </c>
      <c r="Q111">
        <v>6579086682</v>
      </c>
      <c r="R111">
        <v>1</v>
      </c>
      <c r="S111" t="s">
        <v>158</v>
      </c>
      <c r="T111" s="1">
        <v>26366</v>
      </c>
      <c r="U111" s="1">
        <v>44285</v>
      </c>
      <c r="W111" t="s">
        <v>159</v>
      </c>
      <c r="X111" t="s">
        <v>160</v>
      </c>
      <c r="Y111">
        <v>4</v>
      </c>
      <c r="Z111" t="s">
        <v>161</v>
      </c>
      <c r="AA111" t="s">
        <v>162</v>
      </c>
      <c r="AB111" t="s">
        <v>32</v>
      </c>
      <c r="AC111">
        <v>5</v>
      </c>
      <c r="AD111">
        <v>4</v>
      </c>
      <c r="AE111">
        <v>9</v>
      </c>
      <c r="AF111">
        <v>15</v>
      </c>
      <c r="AG111">
        <v>13</v>
      </c>
      <c r="AH111">
        <v>1</v>
      </c>
      <c r="AI111">
        <v>0</v>
      </c>
      <c r="AJ111">
        <v>0</v>
      </c>
      <c r="AK111">
        <v>1</v>
      </c>
      <c r="AL111">
        <v>12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5</v>
      </c>
      <c r="AV111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7">
    <tabColor rgb="FFFF0000"/>
  </sheetPr>
  <dimension ref="A1:BE109"/>
  <sheetViews>
    <sheetView zoomScale="175" zoomScaleNormal="175" topLeftCell="AP1" workbookViewId="0">
      <selection activeCell="M1" sqref="M1"/>
    </sheetView>
  </sheetViews>
  <sheetFormatPr defaultColWidth="9" defaultRowHeight="13.5"/>
  <cols>
    <col min="8" max="8" width="10.375"/>
    <col min="14" max="14" width="9.375"/>
    <col min="16" max="16" width="10.375"/>
    <col min="18" max="18" width="11.5"/>
    <col min="21" max="21" width="11.5"/>
    <col min="23" max="23" width="11.5"/>
    <col min="25" max="25" width="11.5"/>
    <col min="30" max="30" width="26.0583333333333" style="120" customWidth="1"/>
    <col min="31" max="31" width="12.625"/>
    <col min="36" max="37" width="17.125"/>
    <col min="40" max="40" width="10.375"/>
    <col min="41" max="41" width="11.5"/>
    <col min="42" max="42" width="10.375"/>
    <col min="43" max="45" width="11.5"/>
    <col min="49" max="49" width="10.375"/>
    <col min="50" max="50" width="13.75"/>
    <col min="53" max="53" width="17.125"/>
    <col min="56" max="56" width="9.375"/>
  </cols>
  <sheetData>
    <row r="1" spans="1:57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0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</v>
      </c>
      <c r="N1" t="s">
        <v>123</v>
      </c>
      <c r="O1" t="s">
        <v>2</v>
      </c>
      <c r="P1" t="s">
        <v>124</v>
      </c>
      <c r="Q1" t="s">
        <v>3</v>
      </c>
      <c r="R1" t="s">
        <v>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s="120" t="s">
        <v>5</v>
      </c>
      <c r="AE1" t="s">
        <v>136</v>
      </c>
      <c r="AF1" t="s">
        <v>137</v>
      </c>
      <c r="AG1" t="s">
        <v>138</v>
      </c>
      <c r="AH1" t="s">
        <v>139</v>
      </c>
      <c r="AI1" t="s">
        <v>8</v>
      </c>
      <c r="AJ1" t="s">
        <v>9</v>
      </c>
      <c r="AK1" t="s">
        <v>10</v>
      </c>
      <c r="AL1" t="s">
        <v>11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</v>
      </c>
      <c r="AW1" t="s">
        <v>15</v>
      </c>
      <c r="AX1" t="s">
        <v>16</v>
      </c>
      <c r="AY1" t="s">
        <v>17</v>
      </c>
      <c r="AZ1" t="s">
        <v>18</v>
      </c>
      <c r="BA1" t="s">
        <v>149</v>
      </c>
      <c r="BB1" t="s">
        <v>150</v>
      </c>
      <c r="BC1" t="s">
        <v>151</v>
      </c>
      <c r="BD1" t="s">
        <v>21</v>
      </c>
      <c r="BE1" t="s">
        <v>152</v>
      </c>
    </row>
    <row r="2" hidden="1" spans="1:57">
      <c r="A2" t="s">
        <v>153</v>
      </c>
      <c r="B2">
        <v>119</v>
      </c>
      <c r="C2" t="s">
        <v>154</v>
      </c>
      <c r="D2">
        <v>11901</v>
      </c>
      <c r="E2" t="s">
        <v>155</v>
      </c>
      <c r="F2">
        <v>1190100</v>
      </c>
      <c r="G2" t="s">
        <v>42</v>
      </c>
      <c r="H2">
        <v>119010000</v>
      </c>
      <c r="I2" t="s">
        <v>156</v>
      </c>
      <c r="J2">
        <v>2473</v>
      </c>
      <c r="K2" t="s">
        <v>157</v>
      </c>
      <c r="L2">
        <v>247321</v>
      </c>
      <c r="M2" t="s">
        <v>62</v>
      </c>
      <c r="N2">
        <v>24732104</v>
      </c>
      <c r="O2" t="s">
        <v>63</v>
      </c>
      <c r="P2">
        <v>801547998</v>
      </c>
      <c r="Q2" t="s">
        <v>64</v>
      </c>
      <c r="R2">
        <v>6550500692</v>
      </c>
      <c r="S2">
        <v>1</v>
      </c>
      <c r="T2" t="s">
        <v>158</v>
      </c>
      <c r="U2" s="1">
        <v>31950</v>
      </c>
      <c r="V2" t="s">
        <v>159</v>
      </c>
      <c r="W2" s="1">
        <v>44260</v>
      </c>
      <c r="Y2" s="1">
        <v>44260</v>
      </c>
      <c r="Z2" t="s">
        <v>160</v>
      </c>
      <c r="AA2">
        <v>4</v>
      </c>
      <c r="AB2" t="s">
        <v>161</v>
      </c>
      <c r="AC2" t="s">
        <v>162</v>
      </c>
      <c r="AD2" s="120">
        <v>7945892296001</v>
      </c>
      <c r="AF2">
        <v>4115</v>
      </c>
      <c r="AG2" t="s">
        <v>65</v>
      </c>
      <c r="AH2">
        <v>20</v>
      </c>
      <c r="AI2" t="s">
        <v>32</v>
      </c>
      <c r="AJ2" s="1">
        <v>44325.8691898148</v>
      </c>
      <c r="AK2" s="123"/>
      <c r="AL2" t="s">
        <v>41</v>
      </c>
      <c r="AM2" t="s">
        <v>163</v>
      </c>
      <c r="AN2">
        <v>263981379</v>
      </c>
      <c r="AO2">
        <v>1174505969</v>
      </c>
      <c r="AP2">
        <v>263981379</v>
      </c>
      <c r="AQ2">
        <v>1174505969</v>
      </c>
      <c r="AR2" s="1">
        <v>31863</v>
      </c>
      <c r="AS2" s="1">
        <v>31863</v>
      </c>
      <c r="AT2" t="s">
        <v>164</v>
      </c>
      <c r="AU2" t="s">
        <v>164</v>
      </c>
      <c r="AW2">
        <v>1814.4</v>
      </c>
      <c r="AX2">
        <v>11168.6512837174</v>
      </c>
      <c r="AY2">
        <v>12000</v>
      </c>
      <c r="AZ2">
        <v>12000</v>
      </c>
      <c r="BA2" s="123"/>
      <c r="BD2">
        <f>TEXT(AJ:AJ,"yyyymmdd")*1</f>
        <v>20210509</v>
      </c>
      <c r="BE2">
        <f>IF(AX:AX&gt;=3000,1,0)</f>
        <v>1</v>
      </c>
    </row>
    <row r="3" ht="12" hidden="1" customHeight="1" spans="1:57">
      <c r="A3" t="s">
        <v>153</v>
      </c>
      <c r="B3">
        <v>119</v>
      </c>
      <c r="C3" t="s">
        <v>154</v>
      </c>
      <c r="D3">
        <v>11901</v>
      </c>
      <c r="E3" t="s">
        <v>155</v>
      </c>
      <c r="F3">
        <v>1190100</v>
      </c>
      <c r="G3" t="s">
        <v>42</v>
      </c>
      <c r="H3">
        <v>119010000</v>
      </c>
      <c r="I3" t="s">
        <v>156</v>
      </c>
      <c r="J3">
        <v>2473</v>
      </c>
      <c r="K3" t="s">
        <v>157</v>
      </c>
      <c r="L3">
        <v>247320</v>
      </c>
      <c r="M3" t="s">
        <v>43</v>
      </c>
      <c r="N3">
        <v>24732004</v>
      </c>
      <c r="O3" t="s">
        <v>70</v>
      </c>
      <c r="P3">
        <v>800666389</v>
      </c>
      <c r="Q3" t="s">
        <v>71</v>
      </c>
      <c r="R3">
        <v>5689072702</v>
      </c>
      <c r="S3">
        <v>3</v>
      </c>
      <c r="T3" t="s">
        <v>165</v>
      </c>
      <c r="U3" s="1">
        <v>30563</v>
      </c>
      <c r="V3" t="s">
        <v>159</v>
      </c>
      <c r="W3" s="1">
        <v>43196</v>
      </c>
      <c r="Y3" s="1">
        <v>43196</v>
      </c>
      <c r="Z3" t="s">
        <v>160</v>
      </c>
      <c r="AA3">
        <v>4</v>
      </c>
      <c r="AB3" t="s">
        <v>161</v>
      </c>
      <c r="AC3" t="s">
        <v>162</v>
      </c>
      <c r="AD3" s="120">
        <v>7945834534001</v>
      </c>
      <c r="AE3">
        <v>7945834513008</v>
      </c>
      <c r="AF3">
        <v>4115</v>
      </c>
      <c r="AG3" t="s">
        <v>65</v>
      </c>
      <c r="AH3">
        <v>20</v>
      </c>
      <c r="AI3" t="s">
        <v>32</v>
      </c>
      <c r="AJ3" s="1">
        <v>44325.6194328704</v>
      </c>
      <c r="AK3" s="123">
        <v>44326.6022916667</v>
      </c>
      <c r="AL3" t="s">
        <v>55</v>
      </c>
      <c r="AM3" t="s">
        <v>163</v>
      </c>
      <c r="AN3">
        <v>263975993</v>
      </c>
      <c r="AO3">
        <v>1133586618</v>
      </c>
      <c r="AP3">
        <v>263975993</v>
      </c>
      <c r="AQ3">
        <v>1133586618</v>
      </c>
      <c r="AR3" s="1">
        <v>29855</v>
      </c>
      <c r="AS3" s="1">
        <v>29855</v>
      </c>
      <c r="AT3" t="s">
        <v>159</v>
      </c>
      <c r="AU3" t="s">
        <v>159</v>
      </c>
      <c r="AV3">
        <v>1895.4</v>
      </c>
      <c r="AW3">
        <v>1140829.1</v>
      </c>
      <c r="AX3">
        <v>6412.757079793</v>
      </c>
      <c r="AY3">
        <v>8454</v>
      </c>
      <c r="AZ3">
        <v>8454</v>
      </c>
      <c r="BA3" s="123">
        <v>44326.6022685185</v>
      </c>
      <c r="BB3" t="s">
        <v>57</v>
      </c>
      <c r="BD3">
        <f>TEXT(AJ:AJ,"yyyymmdd")*1</f>
        <v>20210509</v>
      </c>
      <c r="BE3">
        <f>IF(AX:AX&gt;=3000,1,0)</f>
        <v>1</v>
      </c>
    </row>
    <row r="4" s="119" customFormat="1" hidden="1" spans="1:57">
      <c r="A4" s="119" t="s">
        <v>153</v>
      </c>
      <c r="B4" s="119">
        <v>119</v>
      </c>
      <c r="C4" s="119" t="s">
        <v>154</v>
      </c>
      <c r="D4" s="119">
        <v>11901</v>
      </c>
      <c r="E4" s="119" t="s">
        <v>155</v>
      </c>
      <c r="F4" s="119">
        <v>1190102</v>
      </c>
      <c r="G4" s="119" t="s">
        <v>48</v>
      </c>
      <c r="H4" s="119">
        <v>119010201</v>
      </c>
      <c r="I4" s="119" t="s">
        <v>48</v>
      </c>
      <c r="J4" s="119">
        <v>2473</v>
      </c>
      <c r="K4" s="119" t="s">
        <v>157</v>
      </c>
      <c r="L4" s="119">
        <v>247302</v>
      </c>
      <c r="M4" s="119" t="s">
        <v>49</v>
      </c>
      <c r="N4" s="119">
        <v>24730201</v>
      </c>
      <c r="O4" s="119" t="s">
        <v>50</v>
      </c>
      <c r="P4" s="119">
        <v>18924255</v>
      </c>
      <c r="Q4" s="119" t="s">
        <v>91</v>
      </c>
      <c r="R4" s="119">
        <v>157576102</v>
      </c>
      <c r="S4" s="119">
        <v>23</v>
      </c>
      <c r="T4" s="119" t="s">
        <v>166</v>
      </c>
      <c r="U4" s="121">
        <v>23194</v>
      </c>
      <c r="V4" s="119" t="s">
        <v>159</v>
      </c>
      <c r="W4" s="121">
        <v>39295</v>
      </c>
      <c r="Y4" s="121">
        <v>39295</v>
      </c>
      <c r="Z4" s="119" t="s">
        <v>160</v>
      </c>
      <c r="AA4" s="119">
        <v>4</v>
      </c>
      <c r="AB4" s="119" t="s">
        <v>161</v>
      </c>
      <c r="AC4" s="119" t="s">
        <v>162</v>
      </c>
      <c r="AD4" s="122">
        <v>7945452566001</v>
      </c>
      <c r="AF4" s="119">
        <v>4126</v>
      </c>
      <c r="AG4" s="119" t="s">
        <v>31</v>
      </c>
      <c r="AH4" s="119">
        <v>20</v>
      </c>
      <c r="AI4" s="119" t="s">
        <v>32</v>
      </c>
      <c r="AJ4" s="121">
        <v>44323.8398032407</v>
      </c>
      <c r="AK4" s="124"/>
      <c r="AL4" s="119" t="s">
        <v>41</v>
      </c>
      <c r="AM4" s="119" t="s">
        <v>163</v>
      </c>
      <c r="AN4" s="119">
        <v>202095560</v>
      </c>
      <c r="AO4" s="119">
        <v>1024231231</v>
      </c>
      <c r="AP4" s="119">
        <v>202095560</v>
      </c>
      <c r="AQ4" s="119">
        <v>1024231231</v>
      </c>
      <c r="AR4" s="121">
        <v>30081</v>
      </c>
      <c r="AS4" s="121">
        <v>30081</v>
      </c>
      <c r="AT4" s="119" t="s">
        <v>159</v>
      </c>
      <c r="AU4" s="119" t="s">
        <v>159</v>
      </c>
      <c r="AV4" s="119">
        <v>3376</v>
      </c>
      <c r="AW4" s="119">
        <v>200000</v>
      </c>
      <c r="AX4" s="119">
        <v>8628.93635449</v>
      </c>
      <c r="AY4" s="119">
        <v>8440</v>
      </c>
      <c r="AZ4" s="119">
        <v>8440</v>
      </c>
      <c r="BA4" s="124"/>
      <c r="BD4" s="119">
        <f>TEXT(AJ:AJ,"yyyymmdd")*1</f>
        <v>20210507</v>
      </c>
      <c r="BE4" s="119">
        <f>IF(AX:AX&gt;=3000,1,0)</f>
        <v>1</v>
      </c>
    </row>
    <row r="5" hidden="1" spans="1:57">
      <c r="A5" t="s">
        <v>153</v>
      </c>
      <c r="B5">
        <v>119</v>
      </c>
      <c r="C5" t="s">
        <v>154</v>
      </c>
      <c r="D5">
        <v>11901</v>
      </c>
      <c r="E5" t="s">
        <v>155</v>
      </c>
      <c r="F5">
        <v>1190100</v>
      </c>
      <c r="G5" t="s">
        <v>42</v>
      </c>
      <c r="H5">
        <v>119010000</v>
      </c>
      <c r="I5" t="s">
        <v>156</v>
      </c>
      <c r="J5">
        <v>2473</v>
      </c>
      <c r="K5" t="s">
        <v>157</v>
      </c>
      <c r="L5">
        <v>247320</v>
      </c>
      <c r="M5" t="s">
        <v>43</v>
      </c>
      <c r="N5">
        <v>24732001</v>
      </c>
      <c r="O5" t="s">
        <v>44</v>
      </c>
      <c r="P5">
        <v>5247746</v>
      </c>
      <c r="Q5" t="s">
        <v>45</v>
      </c>
      <c r="R5">
        <v>51108342</v>
      </c>
      <c r="S5">
        <v>5</v>
      </c>
      <c r="T5" t="s">
        <v>167</v>
      </c>
      <c r="U5" s="1">
        <v>20986</v>
      </c>
      <c r="V5" t="s">
        <v>159</v>
      </c>
      <c r="W5" s="1">
        <v>38504</v>
      </c>
      <c r="Y5" s="1"/>
      <c r="Z5" t="s">
        <v>160</v>
      </c>
      <c r="AA5">
        <v>4</v>
      </c>
      <c r="AB5" t="s">
        <v>161</v>
      </c>
      <c r="AC5" t="s">
        <v>162</v>
      </c>
      <c r="AD5" s="120">
        <v>7946153982001</v>
      </c>
      <c r="AF5">
        <v>4118</v>
      </c>
      <c r="AG5" t="s">
        <v>47</v>
      </c>
      <c r="AH5">
        <v>20</v>
      </c>
      <c r="AI5" t="s">
        <v>32</v>
      </c>
      <c r="AJ5" s="123">
        <v>44326.6774652778</v>
      </c>
      <c r="AK5" s="123"/>
      <c r="AL5" t="s">
        <v>41</v>
      </c>
      <c r="AM5" t="s">
        <v>163</v>
      </c>
      <c r="AN5">
        <v>263759128</v>
      </c>
      <c r="AO5">
        <v>1188909601</v>
      </c>
      <c r="AP5">
        <v>263759128</v>
      </c>
      <c r="AQ5">
        <v>1188909601</v>
      </c>
      <c r="AR5" s="1">
        <v>25965</v>
      </c>
      <c r="AS5" s="1">
        <v>25965</v>
      </c>
      <c r="AT5" t="s">
        <v>159</v>
      </c>
      <c r="AU5" t="s">
        <v>159</v>
      </c>
      <c r="AW5">
        <v>2260000</v>
      </c>
      <c r="AX5">
        <v>3409.309788181</v>
      </c>
      <c r="AY5">
        <v>6821.9</v>
      </c>
      <c r="AZ5">
        <v>6821.9</v>
      </c>
      <c r="BA5" s="123"/>
      <c r="BD5">
        <f>TEXT(AJ:AJ,"yyyymmdd")*1</f>
        <v>20210510</v>
      </c>
      <c r="BE5">
        <f>IF(AX:AX&gt;=3000,1,0)</f>
        <v>1</v>
      </c>
    </row>
    <row r="6" hidden="1" spans="1:57">
      <c r="A6" t="s">
        <v>153</v>
      </c>
      <c r="B6">
        <v>119</v>
      </c>
      <c r="C6" t="s">
        <v>154</v>
      </c>
      <c r="D6">
        <v>11901</v>
      </c>
      <c r="E6" t="s">
        <v>155</v>
      </c>
      <c r="F6">
        <v>1190100</v>
      </c>
      <c r="G6" t="s">
        <v>42</v>
      </c>
      <c r="H6">
        <v>119010000</v>
      </c>
      <c r="I6" t="s">
        <v>156</v>
      </c>
      <c r="J6">
        <v>2473</v>
      </c>
      <c r="K6" t="s">
        <v>157</v>
      </c>
      <c r="L6">
        <v>247321</v>
      </c>
      <c r="M6" t="s">
        <v>62</v>
      </c>
      <c r="N6">
        <v>24732105</v>
      </c>
      <c r="O6" t="s">
        <v>72</v>
      </c>
      <c r="P6">
        <v>801485271</v>
      </c>
      <c r="Q6" t="s">
        <v>73</v>
      </c>
      <c r="R6">
        <v>6487584872</v>
      </c>
      <c r="S6">
        <v>2</v>
      </c>
      <c r="T6" t="s">
        <v>168</v>
      </c>
      <c r="U6" s="1">
        <v>32256</v>
      </c>
      <c r="V6" t="s">
        <v>159</v>
      </c>
      <c r="W6" s="1">
        <v>44098</v>
      </c>
      <c r="Y6" s="1">
        <v>44098</v>
      </c>
      <c r="Z6" t="s">
        <v>160</v>
      </c>
      <c r="AA6">
        <v>4</v>
      </c>
      <c r="AB6" t="s">
        <v>161</v>
      </c>
      <c r="AC6" t="s">
        <v>162</v>
      </c>
      <c r="AD6" s="120">
        <v>7945788836001</v>
      </c>
      <c r="AF6">
        <v>4112</v>
      </c>
      <c r="AG6" t="s">
        <v>69</v>
      </c>
      <c r="AH6">
        <v>20</v>
      </c>
      <c r="AI6" t="s">
        <v>32</v>
      </c>
      <c r="AJ6" s="1">
        <v>44325.4900578704</v>
      </c>
      <c r="AK6" s="123"/>
      <c r="AL6" t="s">
        <v>41</v>
      </c>
      <c r="AM6" t="s">
        <v>163</v>
      </c>
      <c r="AN6">
        <v>237455378</v>
      </c>
      <c r="AO6">
        <v>1107148610</v>
      </c>
      <c r="AP6">
        <v>241405278</v>
      </c>
      <c r="AQ6">
        <v>1118222834</v>
      </c>
      <c r="AR6" s="1">
        <v>27523</v>
      </c>
      <c r="AS6" s="1">
        <v>37074</v>
      </c>
      <c r="AT6" t="s">
        <v>159</v>
      </c>
      <c r="AU6" t="s">
        <v>164</v>
      </c>
      <c r="AV6">
        <v>2482.6</v>
      </c>
      <c r="AW6">
        <v>4554000</v>
      </c>
      <c r="AX6">
        <v>5341.296846918</v>
      </c>
      <c r="AY6">
        <v>6453</v>
      </c>
      <c r="AZ6">
        <v>6453</v>
      </c>
      <c r="BA6" s="123"/>
      <c r="BD6">
        <f>TEXT(AJ:AJ,"yyyymmdd")*1</f>
        <v>20210509</v>
      </c>
      <c r="BE6">
        <f>IF(AX:AX&gt;=3000,1,0)</f>
        <v>1</v>
      </c>
    </row>
    <row r="7" hidden="1" spans="1:57">
      <c r="A7" t="s">
        <v>153</v>
      </c>
      <c r="B7">
        <v>119</v>
      </c>
      <c r="C7" t="s">
        <v>154</v>
      </c>
      <c r="D7">
        <v>11901</v>
      </c>
      <c r="E7" t="s">
        <v>155</v>
      </c>
      <c r="F7">
        <v>1190101</v>
      </c>
      <c r="G7" t="s">
        <v>27</v>
      </c>
      <c r="H7">
        <v>119010101</v>
      </c>
      <c r="I7" t="s">
        <v>27</v>
      </c>
      <c r="J7">
        <v>2225</v>
      </c>
      <c r="K7" t="s">
        <v>169</v>
      </c>
      <c r="L7">
        <v>222523</v>
      </c>
      <c r="M7" t="s">
        <v>28</v>
      </c>
      <c r="N7">
        <v>22252301</v>
      </c>
      <c r="O7" t="s">
        <v>29</v>
      </c>
      <c r="P7">
        <v>205659905</v>
      </c>
      <c r="Q7" t="s">
        <v>30</v>
      </c>
      <c r="R7">
        <v>588442562</v>
      </c>
      <c r="S7">
        <v>5</v>
      </c>
      <c r="T7" t="s">
        <v>167</v>
      </c>
      <c r="U7" s="1">
        <v>25846</v>
      </c>
      <c r="V7" t="s">
        <v>159</v>
      </c>
      <c r="W7" s="1">
        <v>41612</v>
      </c>
      <c r="Y7" s="1">
        <v>41612</v>
      </c>
      <c r="Z7" t="s">
        <v>160</v>
      </c>
      <c r="AA7">
        <v>7</v>
      </c>
      <c r="AB7" t="s">
        <v>170</v>
      </c>
      <c r="AC7" t="s">
        <v>162</v>
      </c>
      <c r="AD7" s="120">
        <v>7946276531001</v>
      </c>
      <c r="AF7">
        <v>4126</v>
      </c>
      <c r="AG7" t="s">
        <v>31</v>
      </c>
      <c r="AH7">
        <v>20</v>
      </c>
      <c r="AI7" t="s">
        <v>32</v>
      </c>
      <c r="AJ7" s="1">
        <v>44326.8068981481</v>
      </c>
      <c r="AK7" s="123"/>
      <c r="AL7" t="s">
        <v>33</v>
      </c>
      <c r="AM7" t="s">
        <v>163</v>
      </c>
      <c r="AN7">
        <v>263961703</v>
      </c>
      <c r="AP7">
        <v>264004830</v>
      </c>
      <c r="AR7" s="1">
        <v>29210</v>
      </c>
      <c r="AS7" s="1">
        <v>39748</v>
      </c>
      <c r="AT7" t="s">
        <v>164</v>
      </c>
      <c r="AU7" t="s">
        <v>164</v>
      </c>
      <c r="AW7">
        <v>0</v>
      </c>
      <c r="AX7">
        <v>0</v>
      </c>
      <c r="AY7">
        <v>6443</v>
      </c>
      <c r="AZ7">
        <v>6443</v>
      </c>
      <c r="BA7" s="123"/>
      <c r="BD7">
        <f>TEXT(AJ:AJ,"yyyymmdd")*1</f>
        <v>20210510</v>
      </c>
      <c r="BE7">
        <f>IF(AX:AX&gt;=3000,1,0)</f>
        <v>0</v>
      </c>
    </row>
    <row r="8" hidden="1" spans="1:57">
      <c r="A8" t="s">
        <v>153</v>
      </c>
      <c r="B8">
        <v>119</v>
      </c>
      <c r="C8" t="s">
        <v>154</v>
      </c>
      <c r="D8">
        <v>11901</v>
      </c>
      <c r="E8" t="s">
        <v>155</v>
      </c>
      <c r="F8">
        <v>1190102</v>
      </c>
      <c r="G8" t="s">
        <v>48</v>
      </c>
      <c r="H8">
        <v>119010201</v>
      </c>
      <c r="I8" t="s">
        <v>48</v>
      </c>
      <c r="J8">
        <v>2473</v>
      </c>
      <c r="K8" t="s">
        <v>157</v>
      </c>
      <c r="L8">
        <v>247302</v>
      </c>
      <c r="M8" t="s">
        <v>49</v>
      </c>
      <c r="N8">
        <v>24730249</v>
      </c>
      <c r="O8" t="s">
        <v>98</v>
      </c>
      <c r="P8">
        <v>800447975</v>
      </c>
      <c r="Q8" t="s">
        <v>104</v>
      </c>
      <c r="R8">
        <v>5449941392</v>
      </c>
      <c r="S8">
        <v>3</v>
      </c>
      <c r="T8" t="s">
        <v>165</v>
      </c>
      <c r="U8" s="1">
        <v>31296</v>
      </c>
      <c r="V8" t="s">
        <v>159</v>
      </c>
      <c r="W8" s="1">
        <v>42871</v>
      </c>
      <c r="Y8" s="1">
        <v>42871</v>
      </c>
      <c r="Z8" t="s">
        <v>160</v>
      </c>
      <c r="AA8">
        <v>5</v>
      </c>
      <c r="AB8" t="s">
        <v>171</v>
      </c>
      <c r="AC8" t="s">
        <v>162</v>
      </c>
      <c r="AD8" s="120">
        <v>7939863109001</v>
      </c>
      <c r="AE8">
        <v>7939863185008</v>
      </c>
      <c r="AF8">
        <v>4115</v>
      </c>
      <c r="AG8" t="s">
        <v>65</v>
      </c>
      <c r="AH8">
        <v>20</v>
      </c>
      <c r="AI8" t="s">
        <v>32</v>
      </c>
      <c r="AJ8" s="1">
        <v>44322.6202777778</v>
      </c>
      <c r="AK8" s="123">
        <v>44322.892662037</v>
      </c>
      <c r="AL8" t="s">
        <v>55</v>
      </c>
      <c r="AM8" t="s">
        <v>163</v>
      </c>
      <c r="AN8">
        <v>214139125</v>
      </c>
      <c r="AO8">
        <v>6005097420</v>
      </c>
      <c r="AP8">
        <v>214139125</v>
      </c>
      <c r="AQ8">
        <v>6005097420</v>
      </c>
      <c r="AR8" s="1">
        <v>32436</v>
      </c>
      <c r="AS8" s="1">
        <v>32436</v>
      </c>
      <c r="AT8" t="s">
        <v>164</v>
      </c>
      <c r="AU8" t="s">
        <v>164</v>
      </c>
      <c r="AV8">
        <v>1500</v>
      </c>
      <c r="AW8">
        <v>972.5</v>
      </c>
      <c r="AX8">
        <v>5584.104999526</v>
      </c>
      <c r="AY8">
        <v>6000</v>
      </c>
      <c r="AZ8">
        <v>6010</v>
      </c>
      <c r="BA8" s="123">
        <v>44322.892650463</v>
      </c>
      <c r="BB8" t="s">
        <v>57</v>
      </c>
      <c r="BD8">
        <f>TEXT(AJ:AJ,"yyyymmdd")*1</f>
        <v>20210506</v>
      </c>
      <c r="BE8">
        <f>IF(AX:AX&gt;=3000,1,0)</f>
        <v>1</v>
      </c>
    </row>
    <row r="9" spans="1:57">
      <c r="A9" t="s">
        <v>153</v>
      </c>
      <c r="B9">
        <v>119</v>
      </c>
      <c r="C9" t="s">
        <v>154</v>
      </c>
      <c r="D9">
        <v>11901</v>
      </c>
      <c r="E9" t="s">
        <v>155</v>
      </c>
      <c r="F9">
        <v>1190101</v>
      </c>
      <c r="G9" t="s">
        <v>27</v>
      </c>
      <c r="H9">
        <v>119010101</v>
      </c>
      <c r="I9" t="s">
        <v>27</v>
      </c>
      <c r="J9">
        <v>2225</v>
      </c>
      <c r="K9" t="s">
        <v>169</v>
      </c>
      <c r="L9">
        <v>222512</v>
      </c>
      <c r="M9" t="s">
        <v>58</v>
      </c>
      <c r="N9">
        <v>22251201</v>
      </c>
      <c r="O9" t="s">
        <v>59</v>
      </c>
      <c r="P9">
        <v>5248333</v>
      </c>
      <c r="Q9" t="s">
        <v>60</v>
      </c>
      <c r="R9">
        <v>51137372</v>
      </c>
      <c r="S9">
        <v>2</v>
      </c>
      <c r="T9" t="s">
        <v>168</v>
      </c>
      <c r="U9" s="1">
        <v>23357</v>
      </c>
      <c r="V9" t="s">
        <v>159</v>
      </c>
      <c r="W9" s="1">
        <v>38504</v>
      </c>
      <c r="Y9" s="1"/>
      <c r="Z9" t="s">
        <v>160</v>
      </c>
      <c r="AA9">
        <v>7</v>
      </c>
      <c r="AB9" t="s">
        <v>170</v>
      </c>
      <c r="AC9" t="s">
        <v>162</v>
      </c>
      <c r="AD9" s="120">
        <v>7945198858001</v>
      </c>
      <c r="AE9">
        <v>7945198837008</v>
      </c>
      <c r="AF9">
        <v>4126</v>
      </c>
      <c r="AG9" t="s">
        <v>31</v>
      </c>
      <c r="AH9">
        <v>20</v>
      </c>
      <c r="AI9" t="s">
        <v>32</v>
      </c>
      <c r="AJ9" s="123">
        <v>44322.8782060185</v>
      </c>
      <c r="AK9" s="123">
        <v>44322.8783449074</v>
      </c>
      <c r="AL9" t="s">
        <v>55</v>
      </c>
      <c r="AM9" t="s">
        <v>163</v>
      </c>
      <c r="AN9">
        <v>263912780</v>
      </c>
      <c r="AO9">
        <v>1189568591</v>
      </c>
      <c r="AP9">
        <v>263912780</v>
      </c>
      <c r="AQ9">
        <v>1189568591</v>
      </c>
      <c r="AR9" s="1">
        <v>34890</v>
      </c>
      <c r="AS9" s="1">
        <v>34890</v>
      </c>
      <c r="AT9" t="s">
        <v>159</v>
      </c>
      <c r="AU9" t="s">
        <v>159</v>
      </c>
      <c r="AV9">
        <v>2001.4</v>
      </c>
      <c r="AW9">
        <v>1340000</v>
      </c>
      <c r="AX9">
        <v>4854.060369807</v>
      </c>
      <c r="AY9">
        <v>5614</v>
      </c>
      <c r="AZ9">
        <v>5614</v>
      </c>
      <c r="BA9" s="123">
        <v>44322.8783333333</v>
      </c>
      <c r="BB9" t="s">
        <v>57</v>
      </c>
      <c r="BD9">
        <f>TEXT(AJ:AJ,"yyyymmdd")*1</f>
        <v>20210506</v>
      </c>
      <c r="BE9">
        <f>IF(AX:AX&gt;=3000,1,0)</f>
        <v>1</v>
      </c>
    </row>
    <row r="10" spans="1:57">
      <c r="A10" t="s">
        <v>153</v>
      </c>
      <c r="B10">
        <v>119</v>
      </c>
      <c r="C10" t="s">
        <v>154</v>
      </c>
      <c r="D10">
        <v>11901</v>
      </c>
      <c r="E10" t="s">
        <v>155</v>
      </c>
      <c r="F10">
        <v>1190101</v>
      </c>
      <c r="G10" t="s">
        <v>27</v>
      </c>
      <c r="H10">
        <v>119010101</v>
      </c>
      <c r="I10" t="s">
        <v>27</v>
      </c>
      <c r="J10">
        <v>2225</v>
      </c>
      <c r="K10" t="s">
        <v>169</v>
      </c>
      <c r="L10">
        <v>222512</v>
      </c>
      <c r="M10" t="s">
        <v>58</v>
      </c>
      <c r="N10">
        <v>22251201</v>
      </c>
      <c r="O10" t="s">
        <v>59</v>
      </c>
      <c r="P10">
        <v>5248333</v>
      </c>
      <c r="Q10" t="s">
        <v>60</v>
      </c>
      <c r="R10">
        <v>51137372</v>
      </c>
      <c r="S10">
        <v>2</v>
      </c>
      <c r="T10" t="s">
        <v>168</v>
      </c>
      <c r="U10" s="1">
        <v>23357</v>
      </c>
      <c r="V10" t="s">
        <v>159</v>
      </c>
      <c r="W10" s="1">
        <v>38504</v>
      </c>
      <c r="Y10" s="1"/>
      <c r="Z10" t="s">
        <v>160</v>
      </c>
      <c r="AA10">
        <v>7</v>
      </c>
      <c r="AB10" t="s">
        <v>170</v>
      </c>
      <c r="AC10" t="s">
        <v>162</v>
      </c>
      <c r="AD10" s="120">
        <v>7945202847001</v>
      </c>
      <c r="AE10">
        <v>7945202826008</v>
      </c>
      <c r="AF10">
        <v>4126</v>
      </c>
      <c r="AG10" t="s">
        <v>31</v>
      </c>
      <c r="AH10">
        <v>20</v>
      </c>
      <c r="AI10" t="s">
        <v>32</v>
      </c>
      <c r="AJ10" s="123">
        <v>44322.8834259259</v>
      </c>
      <c r="AK10" s="123">
        <v>44322.8835763889</v>
      </c>
      <c r="AL10" t="s">
        <v>55</v>
      </c>
      <c r="AM10" t="s">
        <v>163</v>
      </c>
      <c r="AN10">
        <v>263912780</v>
      </c>
      <c r="AO10">
        <v>1189568591</v>
      </c>
      <c r="AP10">
        <v>263912706</v>
      </c>
      <c r="AQ10">
        <v>1189568709</v>
      </c>
      <c r="AR10" s="1">
        <v>34890</v>
      </c>
      <c r="AS10" s="1">
        <v>44067</v>
      </c>
      <c r="AT10" t="s">
        <v>159</v>
      </c>
      <c r="AU10" t="s">
        <v>159</v>
      </c>
      <c r="AV10">
        <v>1517.7</v>
      </c>
      <c r="AW10">
        <v>1490000</v>
      </c>
      <c r="AX10">
        <v>3262.380326277</v>
      </c>
      <c r="AY10">
        <v>5202</v>
      </c>
      <c r="AZ10">
        <v>5202</v>
      </c>
      <c r="BA10" s="123">
        <v>44322.8835532407</v>
      </c>
      <c r="BB10" t="s">
        <v>57</v>
      </c>
      <c r="BD10">
        <f>TEXT(AJ:AJ,"yyyymmdd")*1</f>
        <v>20210506</v>
      </c>
      <c r="BE10">
        <f>IF(AX:AX&gt;=3000,1,0)</f>
        <v>1</v>
      </c>
    </row>
    <row r="11" hidden="1" spans="1:57">
      <c r="A11" t="s">
        <v>153</v>
      </c>
      <c r="B11">
        <v>119</v>
      </c>
      <c r="C11" t="s">
        <v>154</v>
      </c>
      <c r="D11">
        <v>11901</v>
      </c>
      <c r="E11" t="s">
        <v>155</v>
      </c>
      <c r="F11">
        <v>1190100</v>
      </c>
      <c r="G11" t="s">
        <v>42</v>
      </c>
      <c r="H11">
        <v>119010000</v>
      </c>
      <c r="I11" t="s">
        <v>156</v>
      </c>
      <c r="J11">
        <v>2473</v>
      </c>
      <c r="K11" t="s">
        <v>157</v>
      </c>
      <c r="L11">
        <v>247319</v>
      </c>
      <c r="M11" t="s">
        <v>66</v>
      </c>
      <c r="N11">
        <v>24731902</v>
      </c>
      <c r="O11" t="s">
        <v>67</v>
      </c>
      <c r="P11">
        <v>6141571</v>
      </c>
      <c r="Q11" t="s">
        <v>68</v>
      </c>
      <c r="R11">
        <v>55996582</v>
      </c>
      <c r="S11">
        <v>3</v>
      </c>
      <c r="T11" t="s">
        <v>165</v>
      </c>
      <c r="U11" s="1">
        <v>26640</v>
      </c>
      <c r="V11" t="s">
        <v>159</v>
      </c>
      <c r="W11" s="1">
        <v>38565</v>
      </c>
      <c r="Y11" s="1">
        <v>38565</v>
      </c>
      <c r="Z11" t="s">
        <v>160</v>
      </c>
      <c r="AA11">
        <v>4</v>
      </c>
      <c r="AB11" t="s">
        <v>161</v>
      </c>
      <c r="AC11" t="s">
        <v>162</v>
      </c>
      <c r="AD11" s="120">
        <v>7945848116001</v>
      </c>
      <c r="AE11">
        <v>7945848192008</v>
      </c>
      <c r="AF11">
        <v>4112</v>
      </c>
      <c r="AG11" t="s">
        <v>69</v>
      </c>
      <c r="AH11">
        <v>20</v>
      </c>
      <c r="AI11" t="s">
        <v>32</v>
      </c>
      <c r="AJ11" s="123">
        <v>44325.6433101852</v>
      </c>
      <c r="AK11" s="123">
        <v>44326.5957060185</v>
      </c>
      <c r="AL11" t="s">
        <v>55</v>
      </c>
      <c r="AM11" t="s">
        <v>163</v>
      </c>
      <c r="AN11">
        <v>5269703</v>
      </c>
      <c r="AO11">
        <v>1023232866</v>
      </c>
      <c r="AP11">
        <v>28938083</v>
      </c>
      <c r="AQ11">
        <v>1029606539</v>
      </c>
      <c r="AR11" s="1">
        <v>23266</v>
      </c>
      <c r="AS11" s="1">
        <v>30631</v>
      </c>
      <c r="AT11" t="s">
        <v>159</v>
      </c>
      <c r="AU11" t="s">
        <v>159</v>
      </c>
      <c r="AV11">
        <v>1617.4</v>
      </c>
      <c r="AW11">
        <v>1240000</v>
      </c>
      <c r="AX11">
        <v>3134.360688063</v>
      </c>
      <c r="AY11">
        <v>5134</v>
      </c>
      <c r="AZ11">
        <v>5134</v>
      </c>
      <c r="BA11" s="123">
        <v>44326.5956944444</v>
      </c>
      <c r="BB11" t="s">
        <v>57</v>
      </c>
      <c r="BD11">
        <f>TEXT(AJ:AJ,"yyyymmdd")*1</f>
        <v>20210509</v>
      </c>
      <c r="BE11">
        <f>IF(AX:AX&gt;=3000,1,0)</f>
        <v>1</v>
      </c>
    </row>
    <row r="12" hidden="1" spans="1:57">
      <c r="A12" t="s">
        <v>153</v>
      </c>
      <c r="B12">
        <v>119</v>
      </c>
      <c r="C12" t="s">
        <v>154</v>
      </c>
      <c r="D12">
        <v>11901</v>
      </c>
      <c r="E12" t="s">
        <v>155</v>
      </c>
      <c r="F12">
        <v>1190100</v>
      </c>
      <c r="G12" t="s">
        <v>42</v>
      </c>
      <c r="H12">
        <v>119010000</v>
      </c>
      <c r="I12" t="s">
        <v>156</v>
      </c>
      <c r="J12">
        <v>2473</v>
      </c>
      <c r="K12" t="s">
        <v>157</v>
      </c>
      <c r="L12">
        <v>247319</v>
      </c>
      <c r="M12" t="s">
        <v>66</v>
      </c>
      <c r="N12">
        <v>24731902</v>
      </c>
      <c r="O12" t="s">
        <v>67</v>
      </c>
      <c r="P12">
        <v>208265168</v>
      </c>
      <c r="Q12" t="s">
        <v>97</v>
      </c>
      <c r="R12">
        <v>628297282</v>
      </c>
      <c r="S12">
        <v>2</v>
      </c>
      <c r="T12" t="s">
        <v>168</v>
      </c>
      <c r="U12" s="1">
        <v>27998</v>
      </c>
      <c r="V12" t="s">
        <v>159</v>
      </c>
      <c r="W12" s="1">
        <v>41772</v>
      </c>
      <c r="Y12" s="1">
        <v>41772</v>
      </c>
      <c r="Z12" t="s">
        <v>160</v>
      </c>
      <c r="AA12">
        <v>4</v>
      </c>
      <c r="AB12" t="s">
        <v>161</v>
      </c>
      <c r="AC12" t="s">
        <v>162</v>
      </c>
      <c r="AD12" s="120">
        <v>7945391992001</v>
      </c>
      <c r="AE12">
        <v>7945391971008</v>
      </c>
      <c r="AF12">
        <v>4112</v>
      </c>
      <c r="AG12" t="s">
        <v>69</v>
      </c>
      <c r="AH12">
        <v>20</v>
      </c>
      <c r="AI12" t="s">
        <v>32</v>
      </c>
      <c r="AJ12" s="1">
        <v>44323.6957986111</v>
      </c>
      <c r="AK12" s="123">
        <v>44323.6974074074</v>
      </c>
      <c r="AL12" t="s">
        <v>55</v>
      </c>
      <c r="AM12" t="s">
        <v>163</v>
      </c>
      <c r="AN12">
        <v>263930624</v>
      </c>
      <c r="AO12">
        <v>1189636708</v>
      </c>
      <c r="AP12">
        <v>263930625</v>
      </c>
      <c r="AQ12">
        <v>1189636709</v>
      </c>
      <c r="AR12" s="1">
        <v>34201</v>
      </c>
      <c r="AS12" s="1">
        <v>44238</v>
      </c>
      <c r="AT12" t="s">
        <v>159</v>
      </c>
      <c r="AU12" t="s">
        <v>159</v>
      </c>
      <c r="AV12">
        <v>1435.7</v>
      </c>
      <c r="AW12">
        <v>1440000</v>
      </c>
      <c r="AX12">
        <v>2607.063927732</v>
      </c>
      <c r="AY12">
        <v>4997</v>
      </c>
      <c r="AZ12">
        <v>4997</v>
      </c>
      <c r="BA12" s="123">
        <v>44323.6973842593</v>
      </c>
      <c r="BB12" t="s">
        <v>57</v>
      </c>
      <c r="BD12">
        <f>TEXT(AJ:AJ,"yyyymmdd")*1</f>
        <v>20210507</v>
      </c>
      <c r="BE12">
        <f>IF(AX:AX&gt;=3000,1,0)</f>
        <v>0</v>
      </c>
    </row>
    <row r="13" hidden="1" spans="1:57">
      <c r="A13" t="s">
        <v>153</v>
      </c>
      <c r="B13">
        <v>119</v>
      </c>
      <c r="C13" t="s">
        <v>154</v>
      </c>
      <c r="D13">
        <v>11901</v>
      </c>
      <c r="E13" t="s">
        <v>155</v>
      </c>
      <c r="F13">
        <v>1190100</v>
      </c>
      <c r="G13" t="s">
        <v>42</v>
      </c>
      <c r="H13">
        <v>119010000</v>
      </c>
      <c r="I13" t="s">
        <v>156</v>
      </c>
      <c r="J13">
        <v>2473</v>
      </c>
      <c r="K13" t="s">
        <v>157</v>
      </c>
      <c r="L13">
        <v>247321</v>
      </c>
      <c r="M13" t="s">
        <v>62</v>
      </c>
      <c r="N13">
        <v>24732101</v>
      </c>
      <c r="O13" t="s">
        <v>86</v>
      </c>
      <c r="P13">
        <v>23050910</v>
      </c>
      <c r="Q13" t="s">
        <v>87</v>
      </c>
      <c r="R13">
        <v>214639732</v>
      </c>
      <c r="S13">
        <v>5</v>
      </c>
      <c r="T13" t="s">
        <v>167</v>
      </c>
      <c r="U13" s="1">
        <v>29933</v>
      </c>
      <c r="V13" t="s">
        <v>159</v>
      </c>
      <c r="W13" s="1">
        <v>39539</v>
      </c>
      <c r="Y13" s="1">
        <v>39539</v>
      </c>
      <c r="Z13" t="s">
        <v>160</v>
      </c>
      <c r="AA13">
        <v>4</v>
      </c>
      <c r="AB13" t="s">
        <v>161</v>
      </c>
      <c r="AC13" t="s">
        <v>162</v>
      </c>
      <c r="AD13" s="120">
        <v>7945082672001</v>
      </c>
      <c r="AF13">
        <v>4123</v>
      </c>
      <c r="AG13" t="s">
        <v>36</v>
      </c>
      <c r="AH13">
        <v>1</v>
      </c>
      <c r="AI13" t="s">
        <v>32</v>
      </c>
      <c r="AJ13" s="123">
        <v>44322.7894444444</v>
      </c>
      <c r="AL13" t="s">
        <v>41</v>
      </c>
      <c r="AM13" t="s">
        <v>163</v>
      </c>
      <c r="AN13">
        <v>207506546</v>
      </c>
      <c r="AO13">
        <v>1040120852</v>
      </c>
      <c r="AP13">
        <v>207506546</v>
      </c>
      <c r="AQ13">
        <v>1040120852</v>
      </c>
      <c r="AR13" s="1">
        <v>31242</v>
      </c>
      <c r="AS13" s="1">
        <v>31242</v>
      </c>
      <c r="AT13" t="s">
        <v>164</v>
      </c>
      <c r="AU13" t="s">
        <v>164</v>
      </c>
      <c r="AV13">
        <v>1357.3</v>
      </c>
      <c r="AW13">
        <v>730000</v>
      </c>
      <c r="AX13">
        <v>2208.185512274</v>
      </c>
      <c r="AY13">
        <v>4399</v>
      </c>
      <c r="AZ13">
        <v>4399</v>
      </c>
      <c r="BA13" s="123"/>
      <c r="BD13">
        <f>TEXT(AJ:AJ,"yyyymmdd")*1</f>
        <v>20210506</v>
      </c>
      <c r="BE13">
        <f>IF(AX:AX&gt;=3000,1,0)</f>
        <v>0</v>
      </c>
    </row>
    <row r="14" hidden="1" spans="1:57">
      <c r="A14" t="s">
        <v>153</v>
      </c>
      <c r="B14">
        <v>119</v>
      </c>
      <c r="C14" t="s">
        <v>154</v>
      </c>
      <c r="D14">
        <v>11901</v>
      </c>
      <c r="E14" t="s">
        <v>155</v>
      </c>
      <c r="F14">
        <v>1190102</v>
      </c>
      <c r="G14" t="s">
        <v>48</v>
      </c>
      <c r="H14">
        <v>119010201</v>
      </c>
      <c r="I14" t="s">
        <v>48</v>
      </c>
      <c r="J14">
        <v>2473</v>
      </c>
      <c r="K14" t="s">
        <v>157</v>
      </c>
      <c r="L14">
        <v>247302</v>
      </c>
      <c r="M14" t="s">
        <v>49</v>
      </c>
      <c r="N14">
        <v>24730252</v>
      </c>
      <c r="O14" t="s">
        <v>82</v>
      </c>
      <c r="P14">
        <v>801547481</v>
      </c>
      <c r="Q14" t="s">
        <v>83</v>
      </c>
      <c r="R14">
        <v>6549480842</v>
      </c>
      <c r="S14">
        <v>1</v>
      </c>
      <c r="T14" t="s">
        <v>158</v>
      </c>
      <c r="U14" s="1">
        <v>32392</v>
      </c>
      <c r="V14" t="s">
        <v>159</v>
      </c>
      <c r="W14" s="1">
        <v>44259</v>
      </c>
      <c r="Y14" s="1">
        <v>44259</v>
      </c>
      <c r="Z14" t="s">
        <v>160</v>
      </c>
      <c r="AA14">
        <v>4</v>
      </c>
      <c r="AB14" t="s">
        <v>161</v>
      </c>
      <c r="AC14" t="s">
        <v>162</v>
      </c>
      <c r="AD14" s="120">
        <v>7945579532001</v>
      </c>
      <c r="AE14">
        <v>7945579511008</v>
      </c>
      <c r="AF14">
        <v>4011</v>
      </c>
      <c r="AG14" t="s">
        <v>84</v>
      </c>
      <c r="AH14">
        <v>0</v>
      </c>
      <c r="AI14" t="s">
        <v>32</v>
      </c>
      <c r="AJ14" s="1">
        <v>44324.7236689815</v>
      </c>
      <c r="AK14" s="123">
        <v>44326.7490856481</v>
      </c>
      <c r="AL14" t="s">
        <v>55</v>
      </c>
      <c r="AM14" t="s">
        <v>163</v>
      </c>
      <c r="AN14">
        <v>263298113</v>
      </c>
      <c r="AO14">
        <v>1188019162</v>
      </c>
      <c r="AP14">
        <v>263960439</v>
      </c>
      <c r="AQ14">
        <v>1188642187</v>
      </c>
      <c r="AR14" s="1">
        <v>28996</v>
      </c>
      <c r="AS14" s="1">
        <v>37509</v>
      </c>
      <c r="AT14" t="s">
        <v>159</v>
      </c>
      <c r="AU14" t="s">
        <v>164</v>
      </c>
      <c r="AV14">
        <v>1598.6</v>
      </c>
      <c r="AW14">
        <v>4259100</v>
      </c>
      <c r="AX14">
        <v>3478.429430456</v>
      </c>
      <c r="AY14">
        <v>4181</v>
      </c>
      <c r="AZ14">
        <v>4181</v>
      </c>
      <c r="BA14" s="123">
        <v>44326.7490625</v>
      </c>
      <c r="BB14" t="s">
        <v>57</v>
      </c>
      <c r="BD14">
        <f>TEXT(AJ:AJ,"yyyymmdd")*1</f>
        <v>20210508</v>
      </c>
      <c r="BE14">
        <f>IF(AX:AX&gt;=3000,1,0)</f>
        <v>1</v>
      </c>
    </row>
    <row r="15" hidden="1" spans="1:57">
      <c r="A15" t="s">
        <v>153</v>
      </c>
      <c r="B15">
        <v>119</v>
      </c>
      <c r="C15" t="s">
        <v>154</v>
      </c>
      <c r="D15">
        <v>11901</v>
      </c>
      <c r="E15" t="s">
        <v>155</v>
      </c>
      <c r="F15">
        <v>1190100</v>
      </c>
      <c r="G15" t="s">
        <v>42</v>
      </c>
      <c r="H15">
        <v>119010000</v>
      </c>
      <c r="I15" t="s">
        <v>156</v>
      </c>
      <c r="J15">
        <v>2473</v>
      </c>
      <c r="K15" t="s">
        <v>157</v>
      </c>
      <c r="L15">
        <v>247320</v>
      </c>
      <c r="M15" t="s">
        <v>43</v>
      </c>
      <c r="N15">
        <v>24732004</v>
      </c>
      <c r="O15" t="s">
        <v>70</v>
      </c>
      <c r="P15">
        <v>800666389</v>
      </c>
      <c r="Q15" t="s">
        <v>71</v>
      </c>
      <c r="R15">
        <v>5689072702</v>
      </c>
      <c r="S15">
        <v>3</v>
      </c>
      <c r="T15" t="s">
        <v>165</v>
      </c>
      <c r="U15" s="1">
        <v>30563</v>
      </c>
      <c r="V15" t="s">
        <v>159</v>
      </c>
      <c r="W15" s="1">
        <v>43196</v>
      </c>
      <c r="Y15" s="1">
        <v>43196</v>
      </c>
      <c r="Z15" t="s">
        <v>160</v>
      </c>
      <c r="AA15">
        <v>4</v>
      </c>
      <c r="AB15" t="s">
        <v>161</v>
      </c>
      <c r="AC15" t="s">
        <v>162</v>
      </c>
      <c r="AD15" s="120">
        <v>7945240567001</v>
      </c>
      <c r="AE15">
        <v>7945240546008</v>
      </c>
      <c r="AF15">
        <v>4126</v>
      </c>
      <c r="AG15" t="s">
        <v>31</v>
      </c>
      <c r="AH15">
        <v>20</v>
      </c>
      <c r="AI15" t="s">
        <v>103</v>
      </c>
      <c r="AJ15" s="1">
        <v>44322.9282638889</v>
      </c>
      <c r="AK15" s="123">
        <v>44322.9366319444</v>
      </c>
      <c r="AL15" t="s">
        <v>55</v>
      </c>
      <c r="AM15" t="s">
        <v>163</v>
      </c>
      <c r="AN15">
        <v>48456253</v>
      </c>
      <c r="AO15">
        <v>1018889878</v>
      </c>
      <c r="AP15">
        <v>48456254</v>
      </c>
      <c r="AQ15">
        <v>1023782519</v>
      </c>
      <c r="AR15" s="1">
        <v>30563</v>
      </c>
      <c r="AS15" s="1">
        <v>39850</v>
      </c>
      <c r="AT15" t="s">
        <v>159</v>
      </c>
      <c r="AU15" t="s">
        <v>164</v>
      </c>
      <c r="AV15">
        <v>1320</v>
      </c>
      <c r="AW15">
        <v>220000</v>
      </c>
      <c r="AX15">
        <v>3373.873218496</v>
      </c>
      <c r="AY15">
        <v>3300</v>
      </c>
      <c r="AZ15">
        <v>3300</v>
      </c>
      <c r="BA15" s="123">
        <v>44322.9366087963</v>
      </c>
      <c r="BB15" t="s">
        <v>57</v>
      </c>
      <c r="BD15">
        <f>TEXT(AJ:AJ,"yyyymmdd")*1</f>
        <v>20210506</v>
      </c>
      <c r="BE15">
        <f>IF(AX:AX&gt;=3000,1,0)</f>
        <v>1</v>
      </c>
    </row>
    <row r="16" hidden="1" spans="1:57">
      <c r="A16" t="s">
        <v>153</v>
      </c>
      <c r="B16">
        <v>119</v>
      </c>
      <c r="C16" t="s">
        <v>154</v>
      </c>
      <c r="D16">
        <v>11901</v>
      </c>
      <c r="E16" t="s">
        <v>155</v>
      </c>
      <c r="F16">
        <v>1190100</v>
      </c>
      <c r="G16" t="s">
        <v>42</v>
      </c>
      <c r="H16">
        <v>119010000</v>
      </c>
      <c r="I16" t="s">
        <v>156</v>
      </c>
      <c r="J16">
        <v>2473</v>
      </c>
      <c r="K16" t="s">
        <v>157</v>
      </c>
      <c r="L16">
        <v>247320</v>
      </c>
      <c r="M16" t="s">
        <v>43</v>
      </c>
      <c r="N16">
        <v>24732001</v>
      </c>
      <c r="O16" t="s">
        <v>44</v>
      </c>
      <c r="P16">
        <v>5247746</v>
      </c>
      <c r="Q16" t="s">
        <v>45</v>
      </c>
      <c r="R16">
        <v>51108342</v>
      </c>
      <c r="S16">
        <v>5</v>
      </c>
      <c r="T16" t="s">
        <v>167</v>
      </c>
      <c r="U16" s="1">
        <v>20986</v>
      </c>
      <c r="V16" t="s">
        <v>159</v>
      </c>
      <c r="W16" s="1">
        <v>38504</v>
      </c>
      <c r="Y16" s="1"/>
      <c r="Z16" t="s">
        <v>160</v>
      </c>
      <c r="AA16">
        <v>4</v>
      </c>
      <c r="AB16" t="s">
        <v>161</v>
      </c>
      <c r="AC16" t="s">
        <v>162</v>
      </c>
      <c r="AD16" s="120">
        <v>7945160603001</v>
      </c>
      <c r="AE16">
        <v>7945160679008</v>
      </c>
      <c r="AF16">
        <v>4126</v>
      </c>
      <c r="AG16" t="s">
        <v>31</v>
      </c>
      <c r="AH16">
        <v>20</v>
      </c>
      <c r="AI16" t="s">
        <v>103</v>
      </c>
      <c r="AJ16" s="1">
        <v>44322.8312384259</v>
      </c>
      <c r="AK16" s="123">
        <v>44322.8650462963</v>
      </c>
      <c r="AL16" t="s">
        <v>55</v>
      </c>
      <c r="AM16" t="s">
        <v>163</v>
      </c>
      <c r="AN16">
        <v>249665444</v>
      </c>
      <c r="AO16">
        <v>1133322615</v>
      </c>
      <c r="AP16">
        <v>263911331</v>
      </c>
      <c r="AQ16">
        <v>1189567723</v>
      </c>
      <c r="AR16" s="1">
        <v>31737</v>
      </c>
      <c r="AS16" s="1">
        <v>41181</v>
      </c>
      <c r="AT16" t="s">
        <v>159</v>
      </c>
      <c r="AU16" t="s">
        <v>164</v>
      </c>
      <c r="AV16">
        <v>1290</v>
      </c>
      <c r="AW16">
        <v>250000</v>
      </c>
      <c r="AX16">
        <v>3297.194282657</v>
      </c>
      <c r="AY16">
        <v>3225</v>
      </c>
      <c r="AZ16">
        <v>3225</v>
      </c>
      <c r="BA16" s="123">
        <v>44322.8650231482</v>
      </c>
      <c r="BB16" t="s">
        <v>57</v>
      </c>
      <c r="BD16">
        <f>TEXT(AJ:AJ,"yyyymmdd")*1</f>
        <v>20210506</v>
      </c>
      <c r="BE16">
        <f>IF(AX:AX&gt;=3000,1,0)</f>
        <v>1</v>
      </c>
    </row>
    <row r="17" hidden="1" spans="1:57">
      <c r="A17" t="s">
        <v>153</v>
      </c>
      <c r="B17">
        <v>119</v>
      </c>
      <c r="C17" t="s">
        <v>154</v>
      </c>
      <c r="D17">
        <v>11901</v>
      </c>
      <c r="E17" t="s">
        <v>155</v>
      </c>
      <c r="F17">
        <v>1190101</v>
      </c>
      <c r="G17" t="s">
        <v>27</v>
      </c>
      <c r="H17">
        <v>119010101</v>
      </c>
      <c r="I17" t="s">
        <v>27</v>
      </c>
      <c r="J17">
        <v>2457</v>
      </c>
      <c r="K17" t="s">
        <v>172</v>
      </c>
      <c r="L17">
        <v>245708</v>
      </c>
      <c r="M17" t="s">
        <v>52</v>
      </c>
      <c r="N17">
        <v>24570801</v>
      </c>
      <c r="O17" t="s">
        <v>53</v>
      </c>
      <c r="P17">
        <v>203708725</v>
      </c>
      <c r="Q17" t="s">
        <v>54</v>
      </c>
      <c r="R17">
        <v>531925062</v>
      </c>
      <c r="S17">
        <v>2</v>
      </c>
      <c r="T17" t="s">
        <v>168</v>
      </c>
      <c r="U17" s="1">
        <v>27427</v>
      </c>
      <c r="V17" t="s">
        <v>159</v>
      </c>
      <c r="W17" s="1">
        <v>41434</v>
      </c>
      <c r="Y17" s="1">
        <v>41434</v>
      </c>
      <c r="Z17" t="s">
        <v>160</v>
      </c>
      <c r="AA17">
        <v>4</v>
      </c>
      <c r="AB17" t="s">
        <v>161</v>
      </c>
      <c r="AC17" t="s">
        <v>162</v>
      </c>
      <c r="AD17" s="120">
        <v>6155355938001</v>
      </c>
      <c r="AF17">
        <v>4122</v>
      </c>
      <c r="AG17" t="s">
        <v>61</v>
      </c>
      <c r="AH17">
        <v>1</v>
      </c>
      <c r="AI17" t="s">
        <v>32</v>
      </c>
      <c r="AJ17" s="123">
        <v>44322.6013078704</v>
      </c>
      <c r="AL17" t="s">
        <v>41</v>
      </c>
      <c r="AM17" t="s">
        <v>173</v>
      </c>
      <c r="AN17">
        <v>256181951</v>
      </c>
      <c r="AO17">
        <v>1103038619</v>
      </c>
      <c r="AP17">
        <v>256181952</v>
      </c>
      <c r="AQ17">
        <v>1171106832</v>
      </c>
      <c r="AR17" s="1">
        <v>33899</v>
      </c>
      <c r="AS17" s="1">
        <v>43292</v>
      </c>
      <c r="AT17" t="s">
        <v>159</v>
      </c>
      <c r="AU17" t="s">
        <v>164</v>
      </c>
      <c r="AV17">
        <v>297.01</v>
      </c>
      <c r="AW17">
        <v>6054000</v>
      </c>
      <c r="AX17">
        <v>96.917342108</v>
      </c>
      <c r="AY17">
        <v>2108.1</v>
      </c>
      <c r="AZ17">
        <v>2108.1</v>
      </c>
      <c r="BA17" s="123"/>
      <c r="BD17">
        <f>TEXT(AJ:AJ,"yyyymmdd")*1</f>
        <v>20210506</v>
      </c>
      <c r="BE17">
        <f>IF(AX:AX&gt;=3000,1,0)</f>
        <v>0</v>
      </c>
    </row>
    <row r="18" hidden="1" spans="1:57">
      <c r="A18" t="s">
        <v>153</v>
      </c>
      <c r="B18">
        <v>119</v>
      </c>
      <c r="C18" t="s">
        <v>154</v>
      </c>
      <c r="D18">
        <v>11901</v>
      </c>
      <c r="E18" t="s">
        <v>155</v>
      </c>
      <c r="F18">
        <v>1190102</v>
      </c>
      <c r="G18" t="s">
        <v>48</v>
      </c>
      <c r="H18">
        <v>119010201</v>
      </c>
      <c r="I18" t="s">
        <v>48</v>
      </c>
      <c r="J18">
        <v>2473</v>
      </c>
      <c r="K18" t="s">
        <v>157</v>
      </c>
      <c r="L18">
        <v>247302</v>
      </c>
      <c r="M18" t="s">
        <v>49</v>
      </c>
      <c r="N18">
        <v>24730201</v>
      </c>
      <c r="O18" t="s">
        <v>50</v>
      </c>
      <c r="P18">
        <v>215296695</v>
      </c>
      <c r="Q18" t="s">
        <v>74</v>
      </c>
      <c r="R18">
        <v>782700762</v>
      </c>
      <c r="S18">
        <v>10</v>
      </c>
      <c r="T18" t="s">
        <v>174</v>
      </c>
      <c r="U18" s="1">
        <v>32342</v>
      </c>
      <c r="V18" t="s">
        <v>159</v>
      </c>
      <c r="W18" s="1">
        <v>42191</v>
      </c>
      <c r="Y18" s="1">
        <v>42191</v>
      </c>
      <c r="Z18" t="s">
        <v>160</v>
      </c>
      <c r="AA18">
        <v>4</v>
      </c>
      <c r="AB18" t="s">
        <v>161</v>
      </c>
      <c r="AC18" t="s">
        <v>162</v>
      </c>
      <c r="AD18" s="120">
        <v>6168449858001</v>
      </c>
      <c r="AF18">
        <v>4123</v>
      </c>
      <c r="AG18" t="s">
        <v>36</v>
      </c>
      <c r="AH18">
        <v>1</v>
      </c>
      <c r="AI18" t="s">
        <v>32</v>
      </c>
      <c r="AJ18" s="1">
        <v>44325.3943055556</v>
      </c>
      <c r="AK18" s="123"/>
      <c r="AL18" t="s">
        <v>41</v>
      </c>
      <c r="AM18" t="s">
        <v>173</v>
      </c>
      <c r="AN18">
        <v>249951971</v>
      </c>
      <c r="AO18">
        <v>1148580555</v>
      </c>
      <c r="AP18">
        <v>249951972</v>
      </c>
      <c r="AQ18">
        <v>1148580556</v>
      </c>
      <c r="AR18" s="1">
        <v>34579</v>
      </c>
      <c r="AS18" s="1">
        <v>25379</v>
      </c>
      <c r="AT18" t="s">
        <v>159</v>
      </c>
      <c r="AU18" t="s">
        <v>159</v>
      </c>
      <c r="AV18">
        <v>201.1</v>
      </c>
      <c r="AW18">
        <v>520000</v>
      </c>
      <c r="AX18">
        <v>-153.646419688</v>
      </c>
      <c r="AY18">
        <v>2011</v>
      </c>
      <c r="AZ18">
        <v>2011</v>
      </c>
      <c r="BA18" s="123"/>
      <c r="BD18">
        <f>TEXT(AJ:AJ,"yyyymmdd")*1</f>
        <v>20210509</v>
      </c>
      <c r="BE18">
        <f>IF(AX:AX&gt;=3000,1,0)</f>
        <v>0</v>
      </c>
    </row>
    <row r="19" hidden="1" spans="1:57">
      <c r="A19" t="s">
        <v>153</v>
      </c>
      <c r="B19">
        <v>119</v>
      </c>
      <c r="C19" t="s">
        <v>154</v>
      </c>
      <c r="D19">
        <v>11901</v>
      </c>
      <c r="E19" t="s">
        <v>155</v>
      </c>
      <c r="F19">
        <v>1190102</v>
      </c>
      <c r="G19" t="s">
        <v>48</v>
      </c>
      <c r="H19">
        <v>119010201</v>
      </c>
      <c r="I19" t="s">
        <v>48</v>
      </c>
      <c r="J19">
        <v>2473</v>
      </c>
      <c r="K19" t="s">
        <v>157</v>
      </c>
      <c r="L19">
        <v>247302</v>
      </c>
      <c r="M19" t="s">
        <v>49</v>
      </c>
      <c r="N19">
        <v>24730201</v>
      </c>
      <c r="O19" t="s">
        <v>50</v>
      </c>
      <c r="P19">
        <v>18924255</v>
      </c>
      <c r="Q19" t="s">
        <v>91</v>
      </c>
      <c r="R19">
        <v>157576102</v>
      </c>
      <c r="S19">
        <v>23</v>
      </c>
      <c r="T19" t="s">
        <v>166</v>
      </c>
      <c r="U19" s="1">
        <v>23194</v>
      </c>
      <c r="V19" t="s">
        <v>159</v>
      </c>
      <c r="W19" s="1">
        <v>39295</v>
      </c>
      <c r="Y19" s="1">
        <v>39295</v>
      </c>
      <c r="Z19" t="s">
        <v>160</v>
      </c>
      <c r="AA19">
        <v>4</v>
      </c>
      <c r="AB19" t="s">
        <v>161</v>
      </c>
      <c r="AC19" t="s">
        <v>162</v>
      </c>
      <c r="AD19" s="120">
        <v>6155875214001</v>
      </c>
      <c r="AF19">
        <v>4138</v>
      </c>
      <c r="AG19" t="s">
        <v>88</v>
      </c>
      <c r="AH19">
        <v>1</v>
      </c>
      <c r="AI19" t="s">
        <v>32</v>
      </c>
      <c r="AJ19" s="123">
        <v>44322.6611689815</v>
      </c>
      <c r="AL19" t="s">
        <v>41</v>
      </c>
      <c r="AM19" t="s">
        <v>173</v>
      </c>
      <c r="AN19">
        <v>201153036</v>
      </c>
      <c r="AO19">
        <v>1026577578</v>
      </c>
      <c r="AP19">
        <v>201153036</v>
      </c>
      <c r="AQ19">
        <v>1026577578</v>
      </c>
      <c r="AR19" s="1">
        <v>24612</v>
      </c>
      <c r="AS19" s="1">
        <v>24612</v>
      </c>
      <c r="AT19" t="s">
        <v>159</v>
      </c>
      <c r="AU19" t="s">
        <v>159</v>
      </c>
      <c r="AW19">
        <v>600000</v>
      </c>
      <c r="AX19">
        <v>-452.234042133</v>
      </c>
      <c r="AY19">
        <v>2004</v>
      </c>
      <c r="AZ19">
        <v>2004</v>
      </c>
      <c r="BD19">
        <f>TEXT(AJ:AJ,"yyyymmdd")*1</f>
        <v>20210506</v>
      </c>
      <c r="BE19">
        <f>IF(AX:AX&gt;=3000,1,0)</f>
        <v>0</v>
      </c>
    </row>
    <row r="20" hidden="1" spans="1:57">
      <c r="A20" t="s">
        <v>153</v>
      </c>
      <c r="B20">
        <v>119</v>
      </c>
      <c r="C20" t="s">
        <v>154</v>
      </c>
      <c r="D20">
        <v>11901</v>
      </c>
      <c r="E20" t="s">
        <v>155</v>
      </c>
      <c r="F20">
        <v>1190101</v>
      </c>
      <c r="G20" t="s">
        <v>27</v>
      </c>
      <c r="H20">
        <v>119010101</v>
      </c>
      <c r="I20" t="s">
        <v>27</v>
      </c>
      <c r="J20">
        <v>2473</v>
      </c>
      <c r="K20" t="s">
        <v>157</v>
      </c>
      <c r="L20">
        <v>247307</v>
      </c>
      <c r="M20" t="s">
        <v>94</v>
      </c>
      <c r="N20">
        <v>24730715</v>
      </c>
      <c r="O20" t="s">
        <v>95</v>
      </c>
      <c r="P20">
        <v>201181040</v>
      </c>
      <c r="Q20" t="s">
        <v>96</v>
      </c>
      <c r="R20">
        <v>480193632</v>
      </c>
      <c r="S20">
        <v>2</v>
      </c>
      <c r="T20" t="s">
        <v>168</v>
      </c>
      <c r="U20" s="1">
        <v>24014</v>
      </c>
      <c r="V20" t="s">
        <v>159</v>
      </c>
      <c r="W20" s="1">
        <v>41190</v>
      </c>
      <c r="Y20" s="1">
        <v>41190</v>
      </c>
      <c r="Z20" t="s">
        <v>160</v>
      </c>
      <c r="AA20">
        <v>7</v>
      </c>
      <c r="AB20" t="s">
        <v>170</v>
      </c>
      <c r="AC20" t="s">
        <v>162</v>
      </c>
      <c r="AD20" s="120">
        <v>6152641232001</v>
      </c>
      <c r="AE20">
        <v>6152641211008</v>
      </c>
      <c r="AF20">
        <v>4123</v>
      </c>
      <c r="AG20" t="s">
        <v>36</v>
      </c>
      <c r="AH20">
        <v>1</v>
      </c>
      <c r="AI20" t="s">
        <v>32</v>
      </c>
      <c r="AJ20" s="123">
        <v>44322.3640277778</v>
      </c>
      <c r="AK20" s="123">
        <v>44322.3666319444</v>
      </c>
      <c r="AL20" t="s">
        <v>55</v>
      </c>
      <c r="AM20" t="s">
        <v>173</v>
      </c>
      <c r="AN20">
        <v>24930694</v>
      </c>
      <c r="AO20">
        <v>1022734638</v>
      </c>
      <c r="AP20">
        <v>24930694</v>
      </c>
      <c r="AQ20">
        <v>1022734638</v>
      </c>
      <c r="AR20" s="1">
        <v>26552</v>
      </c>
      <c r="AS20" s="1">
        <v>26552</v>
      </c>
      <c r="AT20" t="s">
        <v>159</v>
      </c>
      <c r="AU20" t="s">
        <v>159</v>
      </c>
      <c r="AV20">
        <v>176.6</v>
      </c>
      <c r="AW20">
        <v>1040000</v>
      </c>
      <c r="AX20">
        <v>-134.927686251</v>
      </c>
      <c r="AY20">
        <v>1766</v>
      </c>
      <c r="AZ20">
        <v>1766</v>
      </c>
      <c r="BA20" s="123">
        <v>44322.3666319444</v>
      </c>
      <c r="BB20" t="s">
        <v>57</v>
      </c>
      <c r="BD20">
        <f>TEXT(AJ:AJ,"yyyymmdd")*1</f>
        <v>20210506</v>
      </c>
      <c r="BE20">
        <f>IF(AX:AX&gt;=3000,1,0)</f>
        <v>0</v>
      </c>
    </row>
    <row r="21" hidden="1" spans="1:57">
      <c r="A21" t="s">
        <v>153</v>
      </c>
      <c r="B21">
        <v>119</v>
      </c>
      <c r="C21" t="s">
        <v>154</v>
      </c>
      <c r="D21">
        <v>11901</v>
      </c>
      <c r="E21" t="s">
        <v>155</v>
      </c>
      <c r="F21">
        <v>1190100</v>
      </c>
      <c r="G21" t="s">
        <v>42</v>
      </c>
      <c r="H21">
        <v>119010000</v>
      </c>
      <c r="I21" t="s">
        <v>156</v>
      </c>
      <c r="J21">
        <v>2473</v>
      </c>
      <c r="K21" t="s">
        <v>157</v>
      </c>
      <c r="L21">
        <v>247321</v>
      </c>
      <c r="M21" t="s">
        <v>62</v>
      </c>
      <c r="N21">
        <v>24732101</v>
      </c>
      <c r="O21" t="s">
        <v>86</v>
      </c>
      <c r="P21">
        <v>23050910</v>
      </c>
      <c r="Q21" t="s">
        <v>87</v>
      </c>
      <c r="R21">
        <v>214639732</v>
      </c>
      <c r="S21">
        <v>5</v>
      </c>
      <c r="T21" t="s">
        <v>167</v>
      </c>
      <c r="U21" s="1">
        <v>29933</v>
      </c>
      <c r="V21" t="s">
        <v>159</v>
      </c>
      <c r="W21" s="1">
        <v>39539</v>
      </c>
      <c r="Y21" s="1">
        <v>39539</v>
      </c>
      <c r="Z21" t="s">
        <v>160</v>
      </c>
      <c r="AA21">
        <v>4</v>
      </c>
      <c r="AB21" t="s">
        <v>161</v>
      </c>
      <c r="AC21" t="s">
        <v>162</v>
      </c>
      <c r="AD21" s="120">
        <v>6166326424001</v>
      </c>
      <c r="AE21">
        <v>6166326403008</v>
      </c>
      <c r="AF21">
        <v>4138</v>
      </c>
      <c r="AG21" t="s">
        <v>88</v>
      </c>
      <c r="AH21">
        <v>1</v>
      </c>
      <c r="AI21" t="s">
        <v>32</v>
      </c>
      <c r="AJ21" s="123">
        <v>44324.6617361111</v>
      </c>
      <c r="AK21" s="123">
        <v>44324.6621412037</v>
      </c>
      <c r="AL21" t="s">
        <v>55</v>
      </c>
      <c r="AM21" t="s">
        <v>173</v>
      </c>
      <c r="AN21">
        <v>243616256</v>
      </c>
      <c r="AO21">
        <v>1126055796</v>
      </c>
      <c r="AP21">
        <v>243616256</v>
      </c>
      <c r="AQ21">
        <v>1126055796</v>
      </c>
      <c r="AR21" s="1">
        <v>27003</v>
      </c>
      <c r="AS21" s="1">
        <v>27003</v>
      </c>
      <c r="AT21" t="s">
        <v>159</v>
      </c>
      <c r="AU21" t="s">
        <v>159</v>
      </c>
      <c r="AW21">
        <v>600000</v>
      </c>
      <c r="AX21">
        <v>-383.180340999</v>
      </c>
      <c r="AY21">
        <v>1698</v>
      </c>
      <c r="AZ21">
        <v>1698</v>
      </c>
      <c r="BA21" s="123">
        <v>44324.6621412037</v>
      </c>
      <c r="BB21" t="s">
        <v>57</v>
      </c>
      <c r="BD21">
        <f>TEXT(AJ:AJ,"yyyymmdd")*1</f>
        <v>20210508</v>
      </c>
      <c r="BE21">
        <f>IF(AX:AX&gt;=3000,1,0)</f>
        <v>0</v>
      </c>
    </row>
    <row r="22" hidden="1" spans="1:57">
      <c r="A22" t="s">
        <v>153</v>
      </c>
      <c r="B22">
        <v>119</v>
      </c>
      <c r="C22" t="s">
        <v>154</v>
      </c>
      <c r="D22">
        <v>11901</v>
      </c>
      <c r="E22" t="s">
        <v>155</v>
      </c>
      <c r="F22">
        <v>1190102</v>
      </c>
      <c r="G22" t="s">
        <v>48</v>
      </c>
      <c r="H22">
        <v>119010201</v>
      </c>
      <c r="I22" t="s">
        <v>48</v>
      </c>
      <c r="J22">
        <v>2473</v>
      </c>
      <c r="K22" t="s">
        <v>157</v>
      </c>
      <c r="L22">
        <v>247302</v>
      </c>
      <c r="M22" t="s">
        <v>49</v>
      </c>
      <c r="N22">
        <v>24730249</v>
      </c>
      <c r="O22" t="s">
        <v>98</v>
      </c>
      <c r="P22">
        <v>801176163</v>
      </c>
      <c r="Q22" t="s">
        <v>99</v>
      </c>
      <c r="R22">
        <v>6183615882</v>
      </c>
      <c r="S22">
        <v>10</v>
      </c>
      <c r="T22" t="s">
        <v>174</v>
      </c>
      <c r="U22" s="1">
        <v>26970</v>
      </c>
      <c r="V22" t="s">
        <v>159</v>
      </c>
      <c r="W22" s="1">
        <v>43600</v>
      </c>
      <c r="Y22" s="1">
        <v>43600</v>
      </c>
      <c r="Z22" t="s">
        <v>160</v>
      </c>
      <c r="AA22">
        <v>7</v>
      </c>
      <c r="AB22" t="s">
        <v>170</v>
      </c>
      <c r="AC22" t="s">
        <v>162</v>
      </c>
      <c r="AD22" s="120">
        <v>6153302233001</v>
      </c>
      <c r="AF22">
        <v>4123</v>
      </c>
      <c r="AG22" t="s">
        <v>36</v>
      </c>
      <c r="AH22">
        <v>1</v>
      </c>
      <c r="AI22" t="s">
        <v>32</v>
      </c>
      <c r="AJ22" s="1">
        <v>44323.4111805556</v>
      </c>
      <c r="AK22" s="123"/>
      <c r="AL22" t="s">
        <v>41</v>
      </c>
      <c r="AM22" t="s">
        <v>173</v>
      </c>
      <c r="AN22">
        <v>38429269</v>
      </c>
      <c r="AO22">
        <v>1020753274</v>
      </c>
      <c r="AP22">
        <v>38429269</v>
      </c>
      <c r="AQ22">
        <v>1020753274</v>
      </c>
      <c r="AR22" s="1">
        <v>26970</v>
      </c>
      <c r="AS22" s="1">
        <v>26970</v>
      </c>
      <c r="AT22" t="s">
        <v>159</v>
      </c>
      <c r="AU22" t="s">
        <v>159</v>
      </c>
      <c r="AV22">
        <v>167.5</v>
      </c>
      <c r="AW22">
        <v>520000</v>
      </c>
      <c r="AX22">
        <v>-127.975014031</v>
      </c>
      <c r="AY22">
        <v>1675</v>
      </c>
      <c r="AZ22">
        <v>1675</v>
      </c>
      <c r="BA22" s="123"/>
      <c r="BD22">
        <f>TEXT(AJ:AJ,"yyyymmdd")*1</f>
        <v>20210507</v>
      </c>
      <c r="BE22">
        <f>IF(AX:AX&gt;=3000,1,0)</f>
        <v>0</v>
      </c>
    </row>
    <row r="23" hidden="1" spans="1:57">
      <c r="A23" t="s">
        <v>153</v>
      </c>
      <c r="B23">
        <v>119</v>
      </c>
      <c r="C23" t="s">
        <v>154</v>
      </c>
      <c r="D23">
        <v>11901</v>
      </c>
      <c r="E23" t="s">
        <v>155</v>
      </c>
      <c r="F23">
        <v>1190100</v>
      </c>
      <c r="G23" t="s">
        <v>42</v>
      </c>
      <c r="H23">
        <v>119010000</v>
      </c>
      <c r="I23" t="s">
        <v>156</v>
      </c>
      <c r="J23">
        <v>2473</v>
      </c>
      <c r="K23" t="s">
        <v>157</v>
      </c>
      <c r="L23">
        <v>247320</v>
      </c>
      <c r="M23" t="s">
        <v>43</v>
      </c>
      <c r="N23">
        <v>24732001</v>
      </c>
      <c r="O23" t="s">
        <v>44</v>
      </c>
      <c r="P23">
        <v>5247746</v>
      </c>
      <c r="Q23" t="s">
        <v>45</v>
      </c>
      <c r="R23">
        <v>51108342</v>
      </c>
      <c r="S23">
        <v>5</v>
      </c>
      <c r="T23" t="s">
        <v>167</v>
      </c>
      <c r="U23" s="1">
        <v>20986</v>
      </c>
      <c r="V23" t="s">
        <v>159</v>
      </c>
      <c r="W23" s="1">
        <v>38504</v>
      </c>
      <c r="Y23" s="1"/>
      <c r="Z23" t="s">
        <v>160</v>
      </c>
      <c r="AA23">
        <v>4</v>
      </c>
      <c r="AB23" t="s">
        <v>161</v>
      </c>
      <c r="AC23" t="s">
        <v>162</v>
      </c>
      <c r="AD23" s="120">
        <v>7945362571001</v>
      </c>
      <c r="AE23">
        <v>7945362550008</v>
      </c>
      <c r="AF23">
        <v>4123</v>
      </c>
      <c r="AG23" t="s">
        <v>36</v>
      </c>
      <c r="AH23">
        <v>1</v>
      </c>
      <c r="AI23" t="s">
        <v>32</v>
      </c>
      <c r="AJ23" s="123">
        <v>44323.6325115741</v>
      </c>
      <c r="AK23" s="123">
        <v>44323.6337384259</v>
      </c>
      <c r="AL23" t="s">
        <v>55</v>
      </c>
      <c r="AM23" t="s">
        <v>163</v>
      </c>
      <c r="AN23">
        <v>19474640</v>
      </c>
      <c r="AO23">
        <v>1043200592</v>
      </c>
      <c r="AP23">
        <v>19474640</v>
      </c>
      <c r="AQ23">
        <v>1043200592</v>
      </c>
      <c r="AR23" s="1">
        <v>31619</v>
      </c>
      <c r="AS23" s="1">
        <v>31619</v>
      </c>
      <c r="AT23" t="s">
        <v>164</v>
      </c>
      <c r="AU23" t="s">
        <v>164</v>
      </c>
      <c r="AV23">
        <v>144.2</v>
      </c>
      <c r="AW23">
        <v>1140000</v>
      </c>
      <c r="AX23">
        <v>-101.372666403</v>
      </c>
      <c r="AY23">
        <v>1442</v>
      </c>
      <c r="AZ23">
        <v>1442</v>
      </c>
      <c r="BA23" s="123">
        <v>44323.6337152778</v>
      </c>
      <c r="BB23" t="s">
        <v>57</v>
      </c>
      <c r="BD23">
        <f>TEXT(AJ:AJ,"yyyymmdd")*1</f>
        <v>20210507</v>
      </c>
      <c r="BE23">
        <f>IF(AX:AX&gt;=3000,1,0)</f>
        <v>0</v>
      </c>
    </row>
    <row r="24" hidden="1" spans="1:57">
      <c r="A24" t="s">
        <v>153</v>
      </c>
      <c r="B24">
        <v>119</v>
      </c>
      <c r="C24" t="s">
        <v>154</v>
      </c>
      <c r="D24">
        <v>11901</v>
      </c>
      <c r="E24" t="s">
        <v>155</v>
      </c>
      <c r="F24">
        <v>1190100</v>
      </c>
      <c r="G24" t="s">
        <v>42</v>
      </c>
      <c r="H24">
        <v>119010000</v>
      </c>
      <c r="I24" t="s">
        <v>156</v>
      </c>
      <c r="J24">
        <v>2473</v>
      </c>
      <c r="K24" t="s">
        <v>157</v>
      </c>
      <c r="L24">
        <v>247320</v>
      </c>
      <c r="M24" t="s">
        <v>43</v>
      </c>
      <c r="N24">
        <v>24732003</v>
      </c>
      <c r="O24" t="s">
        <v>75</v>
      </c>
      <c r="P24">
        <v>800649369</v>
      </c>
      <c r="Q24" t="s">
        <v>76</v>
      </c>
      <c r="R24">
        <v>5671371552</v>
      </c>
      <c r="S24">
        <v>3</v>
      </c>
      <c r="T24" t="s">
        <v>165</v>
      </c>
      <c r="U24" s="1">
        <v>33188</v>
      </c>
      <c r="V24" t="s">
        <v>159</v>
      </c>
      <c r="W24" s="1">
        <v>43172</v>
      </c>
      <c r="Y24" s="1">
        <v>43172</v>
      </c>
      <c r="Z24" t="s">
        <v>160</v>
      </c>
      <c r="AA24">
        <v>4</v>
      </c>
      <c r="AB24" t="s">
        <v>161</v>
      </c>
      <c r="AC24" t="s">
        <v>162</v>
      </c>
      <c r="AD24" s="120">
        <v>6164051127001</v>
      </c>
      <c r="AF24">
        <v>4122</v>
      </c>
      <c r="AG24" t="s">
        <v>61</v>
      </c>
      <c r="AH24">
        <v>1</v>
      </c>
      <c r="AI24" t="s">
        <v>32</v>
      </c>
      <c r="AJ24" s="1">
        <v>44324.3851851852</v>
      </c>
      <c r="AK24" s="123"/>
      <c r="AL24" t="s">
        <v>41</v>
      </c>
      <c r="AM24" t="s">
        <v>173</v>
      </c>
      <c r="AN24">
        <v>248002394</v>
      </c>
      <c r="AO24">
        <v>1141507530</v>
      </c>
      <c r="AP24">
        <v>250048681</v>
      </c>
      <c r="AQ24">
        <v>1148865568</v>
      </c>
      <c r="AR24" s="1">
        <v>33357</v>
      </c>
      <c r="AS24" s="1">
        <v>25480</v>
      </c>
      <c r="AT24" t="s">
        <v>159</v>
      </c>
      <c r="AU24" t="s">
        <v>164</v>
      </c>
      <c r="AV24">
        <v>281</v>
      </c>
      <c r="AW24">
        <v>4054000</v>
      </c>
      <c r="AX24">
        <v>122.887609338</v>
      </c>
      <c r="AY24">
        <v>1405</v>
      </c>
      <c r="AZ24">
        <v>1405</v>
      </c>
      <c r="BA24" s="123"/>
      <c r="BD24">
        <f>TEXT(AJ:AJ,"yyyymmdd")*1</f>
        <v>20210508</v>
      </c>
      <c r="BE24">
        <f>IF(AX:AX&gt;=3000,1,0)</f>
        <v>0</v>
      </c>
    </row>
    <row r="25" hidden="1" spans="1:57">
      <c r="A25" t="s">
        <v>153</v>
      </c>
      <c r="B25">
        <v>119</v>
      </c>
      <c r="C25" t="s">
        <v>154</v>
      </c>
      <c r="D25">
        <v>11901</v>
      </c>
      <c r="E25" t="s">
        <v>155</v>
      </c>
      <c r="F25">
        <v>1190100</v>
      </c>
      <c r="G25" t="s">
        <v>42</v>
      </c>
      <c r="H25">
        <v>119010000</v>
      </c>
      <c r="I25" t="s">
        <v>156</v>
      </c>
      <c r="J25">
        <v>2473</v>
      </c>
      <c r="K25" t="s">
        <v>157</v>
      </c>
      <c r="L25">
        <v>247320</v>
      </c>
      <c r="M25" t="s">
        <v>43</v>
      </c>
      <c r="N25">
        <v>24732003</v>
      </c>
      <c r="O25" t="s">
        <v>75</v>
      </c>
      <c r="P25">
        <v>800649369</v>
      </c>
      <c r="Q25" t="s">
        <v>76</v>
      </c>
      <c r="R25">
        <v>5671371552</v>
      </c>
      <c r="S25">
        <v>3</v>
      </c>
      <c r="T25" t="s">
        <v>165</v>
      </c>
      <c r="U25" s="1">
        <v>33188</v>
      </c>
      <c r="V25" t="s">
        <v>159</v>
      </c>
      <c r="W25" s="1">
        <v>43172</v>
      </c>
      <c r="Y25" s="1">
        <v>43172</v>
      </c>
      <c r="Z25" t="s">
        <v>160</v>
      </c>
      <c r="AA25">
        <v>4</v>
      </c>
      <c r="AB25" t="s">
        <v>161</v>
      </c>
      <c r="AC25" t="s">
        <v>162</v>
      </c>
      <c r="AD25" s="120">
        <v>6164023097001</v>
      </c>
      <c r="AF25">
        <v>4122</v>
      </c>
      <c r="AG25" t="s">
        <v>61</v>
      </c>
      <c r="AH25">
        <v>1</v>
      </c>
      <c r="AI25" t="s">
        <v>32</v>
      </c>
      <c r="AJ25" s="1">
        <v>44324.3816782407</v>
      </c>
      <c r="AK25" s="123"/>
      <c r="AL25" t="s">
        <v>41</v>
      </c>
      <c r="AM25" t="s">
        <v>173</v>
      </c>
      <c r="AN25">
        <v>248002394</v>
      </c>
      <c r="AO25">
        <v>1141507530</v>
      </c>
      <c r="AP25">
        <v>250048715</v>
      </c>
      <c r="AQ25">
        <v>1148865606</v>
      </c>
      <c r="AR25" s="1">
        <v>33357</v>
      </c>
      <c r="AS25" s="1">
        <v>24607</v>
      </c>
      <c r="AT25" t="s">
        <v>159</v>
      </c>
      <c r="AU25" t="s">
        <v>159</v>
      </c>
      <c r="AV25">
        <v>281</v>
      </c>
      <c r="AW25">
        <v>4054000</v>
      </c>
      <c r="AX25">
        <v>122.887609338</v>
      </c>
      <c r="AY25">
        <v>1405</v>
      </c>
      <c r="AZ25">
        <v>1405</v>
      </c>
      <c r="BA25" s="123"/>
      <c r="BD25">
        <f>TEXT(AJ:AJ,"yyyymmdd")*1</f>
        <v>20210508</v>
      </c>
      <c r="BE25">
        <f>IF(AX:AX&gt;=3000,1,0)</f>
        <v>0</v>
      </c>
    </row>
    <row r="26" hidden="1" spans="1:57">
      <c r="A26" t="s">
        <v>153</v>
      </c>
      <c r="B26">
        <v>119</v>
      </c>
      <c r="C26" t="s">
        <v>154</v>
      </c>
      <c r="D26">
        <v>11901</v>
      </c>
      <c r="E26" t="s">
        <v>155</v>
      </c>
      <c r="F26">
        <v>1190101</v>
      </c>
      <c r="G26" t="s">
        <v>27</v>
      </c>
      <c r="H26">
        <v>119010101</v>
      </c>
      <c r="I26" t="s">
        <v>27</v>
      </c>
      <c r="J26">
        <v>2473</v>
      </c>
      <c r="K26" t="s">
        <v>157</v>
      </c>
      <c r="L26">
        <v>247307</v>
      </c>
      <c r="M26" t="s">
        <v>94</v>
      </c>
      <c r="N26">
        <v>24730715</v>
      </c>
      <c r="O26" t="s">
        <v>95</v>
      </c>
      <c r="P26">
        <v>201181040</v>
      </c>
      <c r="Q26" t="s">
        <v>96</v>
      </c>
      <c r="R26">
        <v>480193632</v>
      </c>
      <c r="S26">
        <v>2</v>
      </c>
      <c r="T26" t="s">
        <v>168</v>
      </c>
      <c r="U26" s="1">
        <v>24014</v>
      </c>
      <c r="V26" t="s">
        <v>159</v>
      </c>
      <c r="W26" s="1">
        <v>41190</v>
      </c>
      <c r="Y26" s="1">
        <v>41190</v>
      </c>
      <c r="Z26" t="s">
        <v>160</v>
      </c>
      <c r="AA26">
        <v>7</v>
      </c>
      <c r="AB26" t="s">
        <v>170</v>
      </c>
      <c r="AC26" t="s">
        <v>162</v>
      </c>
      <c r="AD26" s="120">
        <v>6161718165001</v>
      </c>
      <c r="AE26">
        <v>6161718144008</v>
      </c>
      <c r="AF26">
        <v>4123</v>
      </c>
      <c r="AG26" t="s">
        <v>36</v>
      </c>
      <c r="AH26">
        <v>1</v>
      </c>
      <c r="AI26" t="s">
        <v>32</v>
      </c>
      <c r="AJ26" s="123">
        <v>44323.6961226852</v>
      </c>
      <c r="AK26" s="123">
        <v>44323.6966203704</v>
      </c>
      <c r="AL26" t="s">
        <v>55</v>
      </c>
      <c r="AM26" t="s">
        <v>173</v>
      </c>
      <c r="AN26">
        <v>245752072</v>
      </c>
      <c r="AO26">
        <v>1133508026</v>
      </c>
      <c r="AP26">
        <v>251436248</v>
      </c>
      <c r="AQ26">
        <v>1154293790</v>
      </c>
      <c r="AR26" s="1">
        <v>24593</v>
      </c>
      <c r="AS26" s="1">
        <v>32581</v>
      </c>
      <c r="AT26" t="s">
        <v>159</v>
      </c>
      <c r="AU26" t="s">
        <v>164</v>
      </c>
      <c r="AV26">
        <v>126.2</v>
      </c>
      <c r="AW26">
        <v>1040000</v>
      </c>
      <c r="AX26">
        <v>-96.420578265</v>
      </c>
      <c r="AY26">
        <v>1262</v>
      </c>
      <c r="AZ26">
        <v>1262</v>
      </c>
      <c r="BA26" s="123">
        <v>44323.6966087963</v>
      </c>
      <c r="BB26" t="s">
        <v>57</v>
      </c>
      <c r="BD26">
        <f>TEXT(AJ:AJ,"yyyymmdd")*1</f>
        <v>20210507</v>
      </c>
      <c r="BE26">
        <f>IF(AX:AX&gt;=3000,1,0)</f>
        <v>0</v>
      </c>
    </row>
    <row r="27" hidden="1" spans="1:57">
      <c r="A27" t="s">
        <v>153</v>
      </c>
      <c r="B27">
        <v>119</v>
      </c>
      <c r="C27" t="s">
        <v>154</v>
      </c>
      <c r="D27">
        <v>11901</v>
      </c>
      <c r="E27" t="s">
        <v>155</v>
      </c>
      <c r="F27">
        <v>1190102</v>
      </c>
      <c r="G27" t="s">
        <v>48</v>
      </c>
      <c r="H27">
        <v>119010201</v>
      </c>
      <c r="I27" t="s">
        <v>48</v>
      </c>
      <c r="J27">
        <v>2473</v>
      </c>
      <c r="K27" t="s">
        <v>157</v>
      </c>
      <c r="L27">
        <v>247302</v>
      </c>
      <c r="M27" t="s">
        <v>49</v>
      </c>
      <c r="N27">
        <v>24730201</v>
      </c>
      <c r="O27" t="s">
        <v>50</v>
      </c>
      <c r="P27">
        <v>18924255</v>
      </c>
      <c r="Q27" t="s">
        <v>91</v>
      </c>
      <c r="R27">
        <v>157576102</v>
      </c>
      <c r="S27">
        <v>23</v>
      </c>
      <c r="T27" t="s">
        <v>166</v>
      </c>
      <c r="U27" s="1">
        <v>23194</v>
      </c>
      <c r="V27" t="s">
        <v>159</v>
      </c>
      <c r="W27" s="1">
        <v>39295</v>
      </c>
      <c r="Y27" s="1">
        <v>39295</v>
      </c>
      <c r="Z27" t="s">
        <v>160</v>
      </c>
      <c r="AA27">
        <v>4</v>
      </c>
      <c r="AB27" t="s">
        <v>161</v>
      </c>
      <c r="AC27" t="s">
        <v>162</v>
      </c>
      <c r="AD27" s="120">
        <v>6155945157001</v>
      </c>
      <c r="AF27">
        <v>4123</v>
      </c>
      <c r="AG27" t="s">
        <v>36</v>
      </c>
      <c r="AH27">
        <v>1</v>
      </c>
      <c r="AI27" t="s">
        <v>32</v>
      </c>
      <c r="AJ27" s="123">
        <v>44322.6684606482</v>
      </c>
      <c r="AK27" s="123"/>
      <c r="AL27" t="s">
        <v>41</v>
      </c>
      <c r="AM27" t="s">
        <v>173</v>
      </c>
      <c r="AN27">
        <v>250470704</v>
      </c>
      <c r="AO27">
        <v>1149787183</v>
      </c>
      <c r="AP27">
        <v>250470704</v>
      </c>
      <c r="AQ27">
        <v>1149787183</v>
      </c>
      <c r="AR27" s="1">
        <v>32639</v>
      </c>
      <c r="AS27" s="1">
        <v>32639</v>
      </c>
      <c r="AT27" t="s">
        <v>159</v>
      </c>
      <c r="AU27" t="s">
        <v>159</v>
      </c>
      <c r="AV27">
        <v>119.5</v>
      </c>
      <c r="AW27">
        <v>520000</v>
      </c>
      <c r="AX27">
        <v>-91.301577664</v>
      </c>
      <c r="AY27">
        <v>1195</v>
      </c>
      <c r="AZ27">
        <v>1195</v>
      </c>
      <c r="BA27" s="123">
        <v>44323.4233101852</v>
      </c>
      <c r="BD27">
        <f>TEXT(AJ:AJ,"yyyymmdd")*1</f>
        <v>20210506</v>
      </c>
      <c r="BE27">
        <f>IF(AX:AX&gt;=3000,1,0)</f>
        <v>0</v>
      </c>
    </row>
    <row r="28" hidden="1" spans="1:57">
      <c r="A28" t="s">
        <v>153</v>
      </c>
      <c r="B28">
        <v>119</v>
      </c>
      <c r="C28" t="s">
        <v>154</v>
      </c>
      <c r="D28">
        <v>11901</v>
      </c>
      <c r="E28" t="s">
        <v>155</v>
      </c>
      <c r="F28">
        <v>1190101</v>
      </c>
      <c r="G28" t="s">
        <v>27</v>
      </c>
      <c r="H28">
        <v>119010101</v>
      </c>
      <c r="I28" t="s">
        <v>27</v>
      </c>
      <c r="J28">
        <v>2457</v>
      </c>
      <c r="K28" t="s">
        <v>172</v>
      </c>
      <c r="L28">
        <v>245708</v>
      </c>
      <c r="M28" t="s">
        <v>52</v>
      </c>
      <c r="N28">
        <v>24570801</v>
      </c>
      <c r="O28" t="s">
        <v>53</v>
      </c>
      <c r="P28">
        <v>203708725</v>
      </c>
      <c r="Q28" t="s">
        <v>54</v>
      </c>
      <c r="R28">
        <v>531925062</v>
      </c>
      <c r="S28">
        <v>2</v>
      </c>
      <c r="T28" t="s">
        <v>168</v>
      </c>
      <c r="U28" s="1">
        <v>27427</v>
      </c>
      <c r="V28" t="s">
        <v>159</v>
      </c>
      <c r="W28" s="1">
        <v>41434</v>
      </c>
      <c r="Y28" s="1">
        <v>41434</v>
      </c>
      <c r="Z28" t="s">
        <v>160</v>
      </c>
      <c r="AA28">
        <v>4</v>
      </c>
      <c r="AB28" t="s">
        <v>161</v>
      </c>
      <c r="AC28" t="s">
        <v>162</v>
      </c>
      <c r="AD28" s="120">
        <v>6171537367001</v>
      </c>
      <c r="AF28">
        <v>4124</v>
      </c>
      <c r="AG28" t="s">
        <v>40</v>
      </c>
      <c r="AH28">
        <v>1</v>
      </c>
      <c r="AI28" t="s">
        <v>32</v>
      </c>
      <c r="AJ28" s="1">
        <v>44326.4802083333</v>
      </c>
      <c r="AK28" s="123"/>
      <c r="AL28" t="s">
        <v>41</v>
      </c>
      <c r="AM28" t="s">
        <v>173</v>
      </c>
      <c r="AN28">
        <v>248400275</v>
      </c>
      <c r="AO28">
        <v>1143412830</v>
      </c>
      <c r="AP28">
        <v>249728104</v>
      </c>
      <c r="AQ28">
        <v>1148074909</v>
      </c>
      <c r="AR28" s="1">
        <v>32369</v>
      </c>
      <c r="AS28" s="1">
        <v>43241</v>
      </c>
      <c r="AT28" t="s">
        <v>159</v>
      </c>
      <c r="AU28" t="s">
        <v>159</v>
      </c>
      <c r="AW28">
        <v>0</v>
      </c>
      <c r="AX28">
        <v>18.884695605</v>
      </c>
      <c r="AY28">
        <v>1170</v>
      </c>
      <c r="AZ28">
        <v>1170</v>
      </c>
      <c r="BA28" s="123">
        <v>44326.4815509259</v>
      </c>
      <c r="BD28">
        <f>TEXT(AJ:AJ,"yyyymmdd")*1</f>
        <v>20210510</v>
      </c>
      <c r="BE28">
        <f>IF(AX:AX&gt;=3000,1,0)</f>
        <v>0</v>
      </c>
    </row>
    <row r="29" hidden="1" spans="1:57">
      <c r="A29" t="s">
        <v>153</v>
      </c>
      <c r="B29">
        <v>119</v>
      </c>
      <c r="C29" t="s">
        <v>154</v>
      </c>
      <c r="D29">
        <v>11901</v>
      </c>
      <c r="E29" t="s">
        <v>155</v>
      </c>
      <c r="F29">
        <v>1190101</v>
      </c>
      <c r="G29" t="s">
        <v>27</v>
      </c>
      <c r="H29">
        <v>119010101</v>
      </c>
      <c r="I29" t="s">
        <v>27</v>
      </c>
      <c r="J29">
        <v>2457</v>
      </c>
      <c r="K29" t="s">
        <v>172</v>
      </c>
      <c r="L29">
        <v>245708</v>
      </c>
      <c r="M29" t="s">
        <v>52</v>
      </c>
      <c r="N29">
        <v>24570801</v>
      </c>
      <c r="O29" t="s">
        <v>53</v>
      </c>
      <c r="P29">
        <v>203708725</v>
      </c>
      <c r="Q29" t="s">
        <v>54</v>
      </c>
      <c r="R29">
        <v>531925062</v>
      </c>
      <c r="S29">
        <v>2</v>
      </c>
      <c r="T29" t="s">
        <v>168</v>
      </c>
      <c r="U29" s="1">
        <v>27427</v>
      </c>
      <c r="V29" t="s">
        <v>159</v>
      </c>
      <c r="W29" s="1">
        <v>41434</v>
      </c>
      <c r="Y29" s="1">
        <v>41434</v>
      </c>
      <c r="Z29" t="s">
        <v>160</v>
      </c>
      <c r="AA29">
        <v>4</v>
      </c>
      <c r="AB29" t="s">
        <v>161</v>
      </c>
      <c r="AC29" t="s">
        <v>162</v>
      </c>
      <c r="AD29" s="120">
        <v>6155314550001</v>
      </c>
      <c r="AF29">
        <v>4124</v>
      </c>
      <c r="AG29" t="s">
        <v>40</v>
      </c>
      <c r="AH29">
        <v>1</v>
      </c>
      <c r="AI29" t="s">
        <v>32</v>
      </c>
      <c r="AJ29" s="1">
        <v>44322.6223032407</v>
      </c>
      <c r="AK29" s="123"/>
      <c r="AL29" t="s">
        <v>41</v>
      </c>
      <c r="AM29" t="s">
        <v>173</v>
      </c>
      <c r="AN29">
        <v>249582516</v>
      </c>
      <c r="AO29">
        <v>1147618412</v>
      </c>
      <c r="AP29">
        <v>249582517</v>
      </c>
      <c r="AQ29">
        <v>1147618413</v>
      </c>
      <c r="AR29" s="1">
        <v>33467</v>
      </c>
      <c r="AS29" s="1">
        <v>43409</v>
      </c>
      <c r="AT29" t="s">
        <v>164</v>
      </c>
      <c r="AU29" t="s">
        <v>164</v>
      </c>
      <c r="AV29">
        <v>117</v>
      </c>
      <c r="AW29">
        <v>0</v>
      </c>
      <c r="AX29">
        <v>18.884695605</v>
      </c>
      <c r="AY29">
        <v>1170</v>
      </c>
      <c r="AZ29">
        <v>1170</v>
      </c>
      <c r="BA29" s="123"/>
      <c r="BD29">
        <f>TEXT(AJ:AJ,"yyyymmdd")*1</f>
        <v>20210506</v>
      </c>
      <c r="BE29">
        <f>IF(AX:AX&gt;=3000,1,0)</f>
        <v>0</v>
      </c>
    </row>
    <row r="30" hidden="1" spans="1:57">
      <c r="A30" t="s">
        <v>153</v>
      </c>
      <c r="B30">
        <v>119</v>
      </c>
      <c r="C30" t="s">
        <v>154</v>
      </c>
      <c r="D30">
        <v>11901</v>
      </c>
      <c r="E30" t="s">
        <v>155</v>
      </c>
      <c r="F30">
        <v>1190102</v>
      </c>
      <c r="G30" t="s">
        <v>48</v>
      </c>
      <c r="H30">
        <v>119010201</v>
      </c>
      <c r="I30" t="s">
        <v>48</v>
      </c>
      <c r="J30">
        <v>2473</v>
      </c>
      <c r="K30" t="s">
        <v>157</v>
      </c>
      <c r="L30">
        <v>247302</v>
      </c>
      <c r="M30" t="s">
        <v>49</v>
      </c>
      <c r="N30">
        <v>24730201</v>
      </c>
      <c r="O30" t="s">
        <v>50</v>
      </c>
      <c r="P30">
        <v>18924255</v>
      </c>
      <c r="Q30" t="s">
        <v>91</v>
      </c>
      <c r="R30">
        <v>157576102</v>
      </c>
      <c r="S30">
        <v>23</v>
      </c>
      <c r="T30" t="s">
        <v>166</v>
      </c>
      <c r="U30" s="1">
        <v>23194</v>
      </c>
      <c r="V30" t="s">
        <v>159</v>
      </c>
      <c r="W30" s="1">
        <v>39295</v>
      </c>
      <c r="Y30" s="1">
        <v>39295</v>
      </c>
      <c r="Z30" t="s">
        <v>160</v>
      </c>
      <c r="AA30">
        <v>4</v>
      </c>
      <c r="AB30" t="s">
        <v>161</v>
      </c>
      <c r="AC30" t="s">
        <v>162</v>
      </c>
      <c r="AD30" s="120">
        <v>6156132152001</v>
      </c>
      <c r="AF30">
        <v>4124</v>
      </c>
      <c r="AG30" t="s">
        <v>40</v>
      </c>
      <c r="AH30">
        <v>1</v>
      </c>
      <c r="AI30" t="s">
        <v>32</v>
      </c>
      <c r="AJ30" s="123">
        <v>44322.6896064815</v>
      </c>
      <c r="AL30" t="s">
        <v>41</v>
      </c>
      <c r="AM30" t="s">
        <v>173</v>
      </c>
      <c r="AN30">
        <v>250321952</v>
      </c>
      <c r="AO30">
        <v>1016926961</v>
      </c>
      <c r="AP30">
        <v>250321953</v>
      </c>
      <c r="AQ30">
        <v>1149517727</v>
      </c>
      <c r="AR30" s="1">
        <v>32356</v>
      </c>
      <c r="AS30" s="1">
        <v>43576</v>
      </c>
      <c r="AT30" t="s">
        <v>159</v>
      </c>
      <c r="AU30" t="s">
        <v>159</v>
      </c>
      <c r="AV30">
        <v>117</v>
      </c>
      <c r="AW30">
        <v>0</v>
      </c>
      <c r="AX30">
        <v>18.884695605</v>
      </c>
      <c r="AY30">
        <v>1170</v>
      </c>
      <c r="AZ30">
        <v>1170</v>
      </c>
      <c r="BA30" s="123">
        <v>44322.6951041667</v>
      </c>
      <c r="BD30">
        <f>TEXT(AJ:AJ,"yyyymmdd")*1</f>
        <v>20210506</v>
      </c>
      <c r="BE30">
        <f>IF(AX:AX&gt;=3000,1,0)</f>
        <v>0</v>
      </c>
    </row>
    <row r="31" hidden="1" spans="1:57">
      <c r="A31" t="s">
        <v>153</v>
      </c>
      <c r="B31">
        <v>119</v>
      </c>
      <c r="C31" t="s">
        <v>154</v>
      </c>
      <c r="D31">
        <v>11901</v>
      </c>
      <c r="E31" t="s">
        <v>155</v>
      </c>
      <c r="F31">
        <v>1190100</v>
      </c>
      <c r="G31" t="s">
        <v>42</v>
      </c>
      <c r="H31">
        <v>119010000</v>
      </c>
      <c r="I31" t="s">
        <v>156</v>
      </c>
      <c r="J31">
        <v>2473</v>
      </c>
      <c r="K31" t="s">
        <v>157</v>
      </c>
      <c r="L31">
        <v>247321</v>
      </c>
      <c r="M31" t="s">
        <v>62</v>
      </c>
      <c r="N31">
        <v>24732101</v>
      </c>
      <c r="O31" t="s">
        <v>86</v>
      </c>
      <c r="P31">
        <v>205437992</v>
      </c>
      <c r="Q31" t="s">
        <v>89</v>
      </c>
      <c r="R31">
        <v>584648952</v>
      </c>
      <c r="S31">
        <v>2</v>
      </c>
      <c r="T31" t="s">
        <v>168</v>
      </c>
      <c r="U31" s="1">
        <v>31199</v>
      </c>
      <c r="V31" t="s">
        <v>159</v>
      </c>
      <c r="W31" s="1">
        <v>41596</v>
      </c>
      <c r="Y31" s="1">
        <v>41596</v>
      </c>
      <c r="Z31" t="s">
        <v>160</v>
      </c>
      <c r="AA31">
        <v>4</v>
      </c>
      <c r="AB31" t="s">
        <v>161</v>
      </c>
      <c r="AC31" t="s">
        <v>162</v>
      </c>
      <c r="AD31" s="120">
        <v>6165084279001</v>
      </c>
      <c r="AE31">
        <v>6165084258008</v>
      </c>
      <c r="AF31">
        <v>4138</v>
      </c>
      <c r="AG31" t="s">
        <v>88</v>
      </c>
      <c r="AH31">
        <v>1</v>
      </c>
      <c r="AI31" t="s">
        <v>32</v>
      </c>
      <c r="AJ31" s="123">
        <v>44324.48375</v>
      </c>
      <c r="AK31" s="123">
        <v>44324.4858217593</v>
      </c>
      <c r="AL31" t="s">
        <v>55</v>
      </c>
      <c r="AM31" t="s">
        <v>173</v>
      </c>
      <c r="AN31">
        <v>236720020</v>
      </c>
      <c r="AO31">
        <v>1104582483</v>
      </c>
      <c r="AP31">
        <v>236720020</v>
      </c>
      <c r="AQ31">
        <v>1104582483</v>
      </c>
      <c r="AR31" s="1">
        <v>32907</v>
      </c>
      <c r="AS31" s="1">
        <v>32907</v>
      </c>
      <c r="AT31" t="s">
        <v>159</v>
      </c>
      <c r="AU31" t="s">
        <v>159</v>
      </c>
      <c r="AW31">
        <v>250000</v>
      </c>
      <c r="AX31">
        <v>-259.289877729</v>
      </c>
      <c r="AY31">
        <v>1149</v>
      </c>
      <c r="AZ31">
        <v>1149</v>
      </c>
      <c r="BA31" s="123">
        <v>44324.4858217593</v>
      </c>
      <c r="BB31" t="s">
        <v>57</v>
      </c>
      <c r="BD31">
        <f>TEXT(AJ:AJ,"yyyymmdd")*1</f>
        <v>20210508</v>
      </c>
      <c r="BE31">
        <f>IF(AX:AX&gt;=3000,1,0)</f>
        <v>0</v>
      </c>
    </row>
    <row r="32" hidden="1" spans="1:57">
      <c r="A32" t="s">
        <v>153</v>
      </c>
      <c r="B32">
        <v>119</v>
      </c>
      <c r="C32" t="s">
        <v>154</v>
      </c>
      <c r="D32">
        <v>11901</v>
      </c>
      <c r="E32" t="s">
        <v>155</v>
      </c>
      <c r="F32">
        <v>1190100</v>
      </c>
      <c r="G32" t="s">
        <v>42</v>
      </c>
      <c r="H32">
        <v>119010000</v>
      </c>
      <c r="I32" t="s">
        <v>156</v>
      </c>
      <c r="J32">
        <v>2473</v>
      </c>
      <c r="K32" t="s">
        <v>157</v>
      </c>
      <c r="L32">
        <v>247320</v>
      </c>
      <c r="M32" t="s">
        <v>43</v>
      </c>
      <c r="N32">
        <v>24732003</v>
      </c>
      <c r="O32" t="s">
        <v>75</v>
      </c>
      <c r="P32">
        <v>800649369</v>
      </c>
      <c r="Q32" t="s">
        <v>76</v>
      </c>
      <c r="R32">
        <v>5671371552</v>
      </c>
      <c r="S32">
        <v>3</v>
      </c>
      <c r="T32" t="s">
        <v>165</v>
      </c>
      <c r="U32" s="1">
        <v>33188</v>
      </c>
      <c r="V32" t="s">
        <v>159</v>
      </c>
      <c r="W32" s="1">
        <v>43172</v>
      </c>
      <c r="Y32" s="1">
        <v>43172</v>
      </c>
      <c r="Z32" t="s">
        <v>160</v>
      </c>
      <c r="AA32">
        <v>4</v>
      </c>
      <c r="AB32" t="s">
        <v>161</v>
      </c>
      <c r="AC32" t="s">
        <v>162</v>
      </c>
      <c r="AD32" s="120">
        <v>6162062734001</v>
      </c>
      <c r="AF32">
        <v>4122</v>
      </c>
      <c r="AG32" t="s">
        <v>61</v>
      </c>
      <c r="AH32">
        <v>1</v>
      </c>
      <c r="AI32" t="s">
        <v>32</v>
      </c>
      <c r="AJ32" s="1">
        <v>44323.729837963</v>
      </c>
      <c r="AK32" s="123"/>
      <c r="AL32" t="s">
        <v>41</v>
      </c>
      <c r="AM32" t="s">
        <v>173</v>
      </c>
      <c r="AN32">
        <v>250377222</v>
      </c>
      <c r="AO32">
        <v>1141213742</v>
      </c>
      <c r="AP32">
        <v>250377346</v>
      </c>
      <c r="AQ32">
        <v>1141213741</v>
      </c>
      <c r="AR32" s="1">
        <v>26094</v>
      </c>
      <c r="AS32" s="1">
        <v>26149</v>
      </c>
      <c r="AT32" t="s">
        <v>164</v>
      </c>
      <c r="AU32" t="s">
        <v>159</v>
      </c>
      <c r="AV32">
        <v>214</v>
      </c>
      <c r="AW32">
        <v>4054000</v>
      </c>
      <c r="AX32">
        <v>93.587004841</v>
      </c>
      <c r="AY32">
        <v>1070</v>
      </c>
      <c r="AZ32">
        <v>1070</v>
      </c>
      <c r="BA32" s="123"/>
      <c r="BD32">
        <f>TEXT(AJ:AJ,"yyyymmdd")*1</f>
        <v>20210507</v>
      </c>
      <c r="BE32">
        <f>IF(AX:AX&gt;=3000,1,0)</f>
        <v>0</v>
      </c>
    </row>
    <row r="33" hidden="1" spans="1:57">
      <c r="A33" t="s">
        <v>153</v>
      </c>
      <c r="B33">
        <v>119</v>
      </c>
      <c r="C33" t="s">
        <v>154</v>
      </c>
      <c r="D33">
        <v>11901</v>
      </c>
      <c r="E33" t="s">
        <v>155</v>
      </c>
      <c r="F33">
        <v>1190100</v>
      </c>
      <c r="G33" t="s">
        <v>42</v>
      </c>
      <c r="H33">
        <v>119010000</v>
      </c>
      <c r="I33" t="s">
        <v>156</v>
      </c>
      <c r="J33">
        <v>2473</v>
      </c>
      <c r="K33" t="s">
        <v>157</v>
      </c>
      <c r="L33">
        <v>247320</v>
      </c>
      <c r="M33" t="s">
        <v>43</v>
      </c>
      <c r="N33">
        <v>24732003</v>
      </c>
      <c r="O33" t="s">
        <v>75</v>
      </c>
      <c r="P33">
        <v>800649369</v>
      </c>
      <c r="Q33" t="s">
        <v>76</v>
      </c>
      <c r="R33">
        <v>5671371552</v>
      </c>
      <c r="S33">
        <v>3</v>
      </c>
      <c r="T33" t="s">
        <v>165</v>
      </c>
      <c r="U33" s="1">
        <v>33188</v>
      </c>
      <c r="V33" t="s">
        <v>159</v>
      </c>
      <c r="W33" s="1">
        <v>43172</v>
      </c>
      <c r="Y33" s="1">
        <v>43172</v>
      </c>
      <c r="Z33" t="s">
        <v>160</v>
      </c>
      <c r="AA33">
        <v>4</v>
      </c>
      <c r="AB33" t="s">
        <v>161</v>
      </c>
      <c r="AC33" t="s">
        <v>162</v>
      </c>
      <c r="AD33" s="120">
        <v>6161985990001</v>
      </c>
      <c r="AF33">
        <v>4122</v>
      </c>
      <c r="AG33" t="s">
        <v>61</v>
      </c>
      <c r="AH33">
        <v>1</v>
      </c>
      <c r="AI33" t="s">
        <v>32</v>
      </c>
      <c r="AJ33" s="123">
        <v>44323.7261458333</v>
      </c>
      <c r="AK33" s="123"/>
      <c r="AL33" t="s">
        <v>41</v>
      </c>
      <c r="AM33" t="s">
        <v>173</v>
      </c>
      <c r="AN33">
        <v>250377222</v>
      </c>
      <c r="AO33">
        <v>1141213742</v>
      </c>
      <c r="AP33">
        <v>250377222</v>
      </c>
      <c r="AQ33">
        <v>1141213742</v>
      </c>
      <c r="AR33" s="1">
        <v>26094</v>
      </c>
      <c r="AS33" s="1">
        <v>26094</v>
      </c>
      <c r="AT33" t="s">
        <v>164</v>
      </c>
      <c r="AU33" t="s">
        <v>164</v>
      </c>
      <c r="AV33">
        <v>214</v>
      </c>
      <c r="AW33">
        <v>4054000</v>
      </c>
      <c r="AX33">
        <v>93.587004841</v>
      </c>
      <c r="AY33">
        <v>1070</v>
      </c>
      <c r="AZ33">
        <v>1070</v>
      </c>
      <c r="BA33" s="123"/>
      <c r="BD33">
        <f>TEXT(AJ:AJ,"yyyymmdd")*1</f>
        <v>20210507</v>
      </c>
      <c r="BE33">
        <f>IF(AX:AX&gt;=3000,1,0)</f>
        <v>0</v>
      </c>
    </row>
    <row r="34" hidden="1" spans="1:57">
      <c r="A34" t="s">
        <v>153</v>
      </c>
      <c r="B34">
        <v>119</v>
      </c>
      <c r="C34" t="s">
        <v>154</v>
      </c>
      <c r="D34">
        <v>11901</v>
      </c>
      <c r="E34" t="s">
        <v>155</v>
      </c>
      <c r="F34">
        <v>1190101</v>
      </c>
      <c r="G34" t="s">
        <v>27</v>
      </c>
      <c r="H34">
        <v>119010101</v>
      </c>
      <c r="I34" t="s">
        <v>27</v>
      </c>
      <c r="J34">
        <v>2457</v>
      </c>
      <c r="K34" t="s">
        <v>172</v>
      </c>
      <c r="L34">
        <v>245708</v>
      </c>
      <c r="M34" t="s">
        <v>52</v>
      </c>
      <c r="N34">
        <v>24570801</v>
      </c>
      <c r="O34" t="s">
        <v>53</v>
      </c>
      <c r="P34">
        <v>203708725</v>
      </c>
      <c r="Q34" t="s">
        <v>54</v>
      </c>
      <c r="R34">
        <v>531925062</v>
      </c>
      <c r="S34">
        <v>2</v>
      </c>
      <c r="T34" t="s">
        <v>168</v>
      </c>
      <c r="U34" s="1">
        <v>27427</v>
      </c>
      <c r="V34" t="s">
        <v>159</v>
      </c>
      <c r="W34" s="1">
        <v>41434</v>
      </c>
      <c r="Y34" s="1">
        <v>41434</v>
      </c>
      <c r="Z34" t="s">
        <v>160</v>
      </c>
      <c r="AA34">
        <v>4</v>
      </c>
      <c r="AB34" t="s">
        <v>161</v>
      </c>
      <c r="AC34" t="s">
        <v>162</v>
      </c>
      <c r="AD34" s="120">
        <v>6153224633001</v>
      </c>
      <c r="AF34">
        <v>4122</v>
      </c>
      <c r="AG34" t="s">
        <v>61</v>
      </c>
      <c r="AH34">
        <v>1</v>
      </c>
      <c r="AI34" t="s">
        <v>32</v>
      </c>
      <c r="AJ34" s="1">
        <v>44322.4004050926</v>
      </c>
      <c r="AK34" s="123"/>
      <c r="AL34" t="s">
        <v>41</v>
      </c>
      <c r="AM34" t="s">
        <v>173</v>
      </c>
      <c r="AN34">
        <v>203867745</v>
      </c>
      <c r="AO34">
        <v>1000613225</v>
      </c>
      <c r="AP34">
        <v>203867745</v>
      </c>
      <c r="AQ34">
        <v>1000613225</v>
      </c>
      <c r="AR34" s="1">
        <v>27427</v>
      </c>
      <c r="AS34" s="1">
        <v>27427</v>
      </c>
      <c r="AT34" t="s">
        <v>159</v>
      </c>
      <c r="AU34" t="s">
        <v>159</v>
      </c>
      <c r="AV34">
        <v>214</v>
      </c>
      <c r="AW34">
        <v>4054000</v>
      </c>
      <c r="AX34">
        <v>93.587004841</v>
      </c>
      <c r="AY34">
        <v>1070</v>
      </c>
      <c r="AZ34">
        <v>1070</v>
      </c>
      <c r="BA34" s="123">
        <v>44322.4052083333</v>
      </c>
      <c r="BD34">
        <f>TEXT(AJ:AJ,"yyyymmdd")*1</f>
        <v>20210506</v>
      </c>
      <c r="BE34">
        <f>IF(AX:AX&gt;=3000,1,0)</f>
        <v>0</v>
      </c>
    </row>
    <row r="35" hidden="1" spans="1:57">
      <c r="A35" t="s">
        <v>153</v>
      </c>
      <c r="B35">
        <v>119</v>
      </c>
      <c r="C35" t="s">
        <v>154</v>
      </c>
      <c r="D35">
        <v>11901</v>
      </c>
      <c r="E35" t="s">
        <v>155</v>
      </c>
      <c r="F35">
        <v>1190100</v>
      </c>
      <c r="G35" t="s">
        <v>42</v>
      </c>
      <c r="H35">
        <v>119010000</v>
      </c>
      <c r="I35" t="s">
        <v>156</v>
      </c>
      <c r="J35">
        <v>2473</v>
      </c>
      <c r="K35" t="s">
        <v>157</v>
      </c>
      <c r="L35">
        <v>247320</v>
      </c>
      <c r="M35" t="s">
        <v>43</v>
      </c>
      <c r="N35">
        <v>24732002</v>
      </c>
      <c r="O35" t="s">
        <v>77</v>
      </c>
      <c r="P35">
        <v>47866793</v>
      </c>
      <c r="Q35" t="s">
        <v>78</v>
      </c>
      <c r="R35">
        <v>430700742</v>
      </c>
      <c r="S35">
        <v>10</v>
      </c>
      <c r="T35" t="s">
        <v>174</v>
      </c>
      <c r="U35" s="1">
        <v>23926</v>
      </c>
      <c r="V35" t="s">
        <v>164</v>
      </c>
      <c r="W35" s="1">
        <v>40725</v>
      </c>
      <c r="Y35" s="1">
        <v>40725</v>
      </c>
      <c r="Z35" t="s">
        <v>160</v>
      </c>
      <c r="AA35">
        <v>4</v>
      </c>
      <c r="AB35" t="s">
        <v>161</v>
      </c>
      <c r="AC35" t="s">
        <v>162</v>
      </c>
      <c r="AD35" s="120">
        <v>6166973522001</v>
      </c>
      <c r="AF35">
        <v>4122</v>
      </c>
      <c r="AG35" t="s">
        <v>61</v>
      </c>
      <c r="AH35">
        <v>1</v>
      </c>
      <c r="AI35" t="s">
        <v>32</v>
      </c>
      <c r="AJ35" s="123">
        <v>44324.7397569444</v>
      </c>
      <c r="AL35" t="s">
        <v>41</v>
      </c>
      <c r="AM35" t="s">
        <v>173</v>
      </c>
      <c r="AN35">
        <v>210568163</v>
      </c>
      <c r="AO35">
        <v>1052772745</v>
      </c>
      <c r="AP35">
        <v>219097011</v>
      </c>
      <c r="AQ35">
        <v>1072818090</v>
      </c>
      <c r="AR35" s="1">
        <v>28926</v>
      </c>
      <c r="AS35" s="1">
        <v>27075</v>
      </c>
      <c r="AT35" t="s">
        <v>159</v>
      </c>
      <c r="AU35" t="s">
        <v>164</v>
      </c>
      <c r="AV35">
        <v>214</v>
      </c>
      <c r="AW35">
        <v>4054000</v>
      </c>
      <c r="AX35">
        <v>93.587004841</v>
      </c>
      <c r="AY35">
        <v>1070</v>
      </c>
      <c r="AZ35">
        <v>1070</v>
      </c>
      <c r="BA35" s="123"/>
      <c r="BD35">
        <f>TEXT(AJ:AJ,"yyyymmdd")*1</f>
        <v>20210508</v>
      </c>
      <c r="BE35">
        <f>IF(AX:AX&gt;=3000,1,0)</f>
        <v>0</v>
      </c>
    </row>
    <row r="36" hidden="1" spans="1:57">
      <c r="A36" t="s">
        <v>153</v>
      </c>
      <c r="B36">
        <v>119</v>
      </c>
      <c r="C36" t="s">
        <v>154</v>
      </c>
      <c r="D36">
        <v>11901</v>
      </c>
      <c r="E36" t="s">
        <v>155</v>
      </c>
      <c r="F36">
        <v>1190101</v>
      </c>
      <c r="G36" t="s">
        <v>27</v>
      </c>
      <c r="H36">
        <v>119010101</v>
      </c>
      <c r="I36" t="s">
        <v>27</v>
      </c>
      <c r="J36">
        <v>2225</v>
      </c>
      <c r="K36" t="s">
        <v>169</v>
      </c>
      <c r="L36">
        <v>222522</v>
      </c>
      <c r="M36" t="s">
        <v>100</v>
      </c>
      <c r="N36">
        <v>22252201</v>
      </c>
      <c r="O36" t="s">
        <v>101</v>
      </c>
      <c r="P36">
        <v>6722378</v>
      </c>
      <c r="Q36" t="s">
        <v>102</v>
      </c>
      <c r="R36">
        <v>61598022</v>
      </c>
      <c r="S36">
        <v>2</v>
      </c>
      <c r="T36" t="s">
        <v>168</v>
      </c>
      <c r="U36" s="1">
        <v>25984</v>
      </c>
      <c r="V36" t="s">
        <v>159</v>
      </c>
      <c r="W36" s="1">
        <v>38626</v>
      </c>
      <c r="Y36" s="1">
        <v>38626</v>
      </c>
      <c r="Z36" t="s">
        <v>160</v>
      </c>
      <c r="AA36">
        <v>7</v>
      </c>
      <c r="AB36" t="s">
        <v>170</v>
      </c>
      <c r="AC36" t="s">
        <v>162</v>
      </c>
      <c r="AD36" s="120">
        <v>9486943156001</v>
      </c>
      <c r="AE36">
        <v>9486943135008</v>
      </c>
      <c r="AF36">
        <v>4122</v>
      </c>
      <c r="AG36" t="s">
        <v>61</v>
      </c>
      <c r="AH36">
        <v>1</v>
      </c>
      <c r="AI36" t="s">
        <v>32</v>
      </c>
      <c r="AJ36" s="1">
        <v>44323</v>
      </c>
      <c r="AK36" s="123">
        <v>44323.5297569444</v>
      </c>
      <c r="AL36" t="s">
        <v>55</v>
      </c>
      <c r="AM36" t="s">
        <v>173</v>
      </c>
      <c r="AN36">
        <v>247934027</v>
      </c>
      <c r="AO36">
        <v>1141139678</v>
      </c>
      <c r="AP36">
        <v>247933774</v>
      </c>
      <c r="AQ36">
        <v>1141160545</v>
      </c>
      <c r="AR36" s="1">
        <v>34738</v>
      </c>
      <c r="AS36" s="1">
        <v>25700</v>
      </c>
      <c r="AT36" t="s">
        <v>159</v>
      </c>
      <c r="AU36" t="s">
        <v>159</v>
      </c>
      <c r="AV36">
        <v>208</v>
      </c>
      <c r="AW36">
        <v>4054000</v>
      </c>
      <c r="AX36">
        <v>90.963070602</v>
      </c>
      <c r="AY36">
        <v>1040</v>
      </c>
      <c r="AZ36">
        <v>1040</v>
      </c>
      <c r="BA36" s="123">
        <v>44323.5297453704</v>
      </c>
      <c r="BB36" t="s">
        <v>57</v>
      </c>
      <c r="BD36">
        <f>TEXT(AJ:AJ,"yyyymmdd")*1</f>
        <v>20210507</v>
      </c>
      <c r="BE36">
        <f>IF(AX:AX&gt;=3000,1,0)</f>
        <v>0</v>
      </c>
    </row>
    <row r="37" hidden="1" spans="1:57">
      <c r="A37" t="s">
        <v>153</v>
      </c>
      <c r="B37">
        <v>119</v>
      </c>
      <c r="C37" t="s">
        <v>154</v>
      </c>
      <c r="D37">
        <v>11901</v>
      </c>
      <c r="E37" t="s">
        <v>155</v>
      </c>
      <c r="F37">
        <v>1190100</v>
      </c>
      <c r="G37" t="s">
        <v>42</v>
      </c>
      <c r="H37">
        <v>119010000</v>
      </c>
      <c r="I37" t="s">
        <v>156</v>
      </c>
      <c r="J37">
        <v>2473</v>
      </c>
      <c r="K37" t="s">
        <v>157</v>
      </c>
      <c r="L37">
        <v>247320</v>
      </c>
      <c r="M37" t="s">
        <v>43</v>
      </c>
      <c r="N37">
        <v>24732003</v>
      </c>
      <c r="O37" t="s">
        <v>75</v>
      </c>
      <c r="P37">
        <v>800649369</v>
      </c>
      <c r="Q37" t="s">
        <v>76</v>
      </c>
      <c r="R37">
        <v>5671371552</v>
      </c>
      <c r="S37">
        <v>3</v>
      </c>
      <c r="T37" t="s">
        <v>165</v>
      </c>
      <c r="U37" s="1">
        <v>33188</v>
      </c>
      <c r="V37" t="s">
        <v>159</v>
      </c>
      <c r="W37" s="1">
        <v>43172</v>
      </c>
      <c r="Y37" s="1">
        <v>43172</v>
      </c>
      <c r="Z37" t="s">
        <v>160</v>
      </c>
      <c r="AA37">
        <v>4</v>
      </c>
      <c r="AB37" t="s">
        <v>161</v>
      </c>
      <c r="AC37" t="s">
        <v>162</v>
      </c>
      <c r="AD37" s="120">
        <v>6163406286001</v>
      </c>
      <c r="AE37">
        <v>6163406265008</v>
      </c>
      <c r="AF37">
        <v>4123</v>
      </c>
      <c r="AG37" t="s">
        <v>36</v>
      </c>
      <c r="AH37">
        <v>1</v>
      </c>
      <c r="AI37" t="s">
        <v>32</v>
      </c>
      <c r="AJ37" s="123">
        <v>44323.9184837963</v>
      </c>
      <c r="AK37" s="123">
        <v>44326.4399074074</v>
      </c>
      <c r="AL37" t="s">
        <v>55</v>
      </c>
      <c r="AM37" t="s">
        <v>173</v>
      </c>
      <c r="AN37">
        <v>243799501</v>
      </c>
      <c r="AO37">
        <v>1126721064</v>
      </c>
      <c r="AP37">
        <v>243799501</v>
      </c>
      <c r="AQ37">
        <v>1126721064</v>
      </c>
      <c r="AR37" s="1">
        <v>33382</v>
      </c>
      <c r="AS37" s="1">
        <v>33382</v>
      </c>
      <c r="AT37" t="s">
        <v>164</v>
      </c>
      <c r="AU37" t="s">
        <v>164</v>
      </c>
      <c r="AV37">
        <v>93.4</v>
      </c>
      <c r="AW37">
        <v>1040000</v>
      </c>
      <c r="AX37">
        <v>-71.360395815</v>
      </c>
      <c r="AY37">
        <v>934</v>
      </c>
      <c r="AZ37">
        <v>934</v>
      </c>
      <c r="BA37" s="123">
        <v>44326.4385763889</v>
      </c>
      <c r="BB37" t="s">
        <v>57</v>
      </c>
      <c r="BD37">
        <f>TEXT(AJ:AJ,"yyyymmdd")*1</f>
        <v>20210507</v>
      </c>
      <c r="BE37">
        <f>IF(AX:AX&gt;=3000,1,0)</f>
        <v>0</v>
      </c>
    </row>
    <row r="38" spans="1:57">
      <c r="A38" t="s">
        <v>153</v>
      </c>
      <c r="B38">
        <v>119</v>
      </c>
      <c r="C38" t="s">
        <v>154</v>
      </c>
      <c r="D38">
        <v>11901</v>
      </c>
      <c r="E38" t="s">
        <v>155</v>
      </c>
      <c r="F38">
        <v>1190101</v>
      </c>
      <c r="G38" t="s">
        <v>27</v>
      </c>
      <c r="H38">
        <v>119010101</v>
      </c>
      <c r="I38" t="s">
        <v>27</v>
      </c>
      <c r="J38">
        <v>2225</v>
      </c>
      <c r="K38" t="s">
        <v>169</v>
      </c>
      <c r="L38">
        <v>222512</v>
      </c>
      <c r="M38" t="s">
        <v>58</v>
      </c>
      <c r="N38">
        <v>22251201</v>
      </c>
      <c r="O38" t="s">
        <v>59</v>
      </c>
      <c r="P38">
        <v>5248333</v>
      </c>
      <c r="Q38" t="s">
        <v>60</v>
      </c>
      <c r="R38">
        <v>51137372</v>
      </c>
      <c r="S38">
        <v>2</v>
      </c>
      <c r="T38" t="s">
        <v>168</v>
      </c>
      <c r="U38" s="1">
        <v>23357</v>
      </c>
      <c r="V38" t="s">
        <v>159</v>
      </c>
      <c r="W38" s="1">
        <v>38504</v>
      </c>
      <c r="Y38" s="1"/>
      <c r="Z38" t="s">
        <v>160</v>
      </c>
      <c r="AA38">
        <v>7</v>
      </c>
      <c r="AB38" t="s">
        <v>170</v>
      </c>
      <c r="AC38" t="s">
        <v>162</v>
      </c>
      <c r="AD38" s="120">
        <v>6170983611001</v>
      </c>
      <c r="AF38">
        <v>4122</v>
      </c>
      <c r="AG38" t="s">
        <v>61</v>
      </c>
      <c r="AH38">
        <v>1</v>
      </c>
      <c r="AI38" t="s">
        <v>32</v>
      </c>
      <c r="AJ38" s="1">
        <v>44326.4245138889</v>
      </c>
      <c r="AK38" s="123"/>
      <c r="AL38" t="s">
        <v>41</v>
      </c>
      <c r="AM38" t="s">
        <v>173</v>
      </c>
      <c r="AN38">
        <v>15478178</v>
      </c>
      <c r="AO38">
        <v>1011926118</v>
      </c>
      <c r="AP38">
        <v>42262111</v>
      </c>
      <c r="AQ38">
        <v>1028375031</v>
      </c>
      <c r="AR38" s="1">
        <v>23964</v>
      </c>
      <c r="AS38" s="1">
        <v>31826</v>
      </c>
      <c r="AT38" t="s">
        <v>159</v>
      </c>
      <c r="AU38" t="s">
        <v>159</v>
      </c>
      <c r="AW38">
        <v>4054000</v>
      </c>
      <c r="AX38">
        <v>44.725613001</v>
      </c>
      <c r="AY38">
        <v>809</v>
      </c>
      <c r="AZ38">
        <v>809</v>
      </c>
      <c r="BA38" s="123"/>
      <c r="BD38">
        <f>TEXT(AJ:AJ,"yyyymmdd")*1</f>
        <v>20210510</v>
      </c>
      <c r="BE38">
        <f>IF(AX:AX&gt;=3000,1,0)</f>
        <v>0</v>
      </c>
    </row>
    <row r="39" hidden="1" spans="1:57">
      <c r="A39" t="s">
        <v>153</v>
      </c>
      <c r="B39">
        <v>119</v>
      </c>
      <c r="C39" t="s">
        <v>154</v>
      </c>
      <c r="D39">
        <v>11901</v>
      </c>
      <c r="E39" t="s">
        <v>155</v>
      </c>
      <c r="F39">
        <v>1190100</v>
      </c>
      <c r="G39" t="s">
        <v>42</v>
      </c>
      <c r="H39">
        <v>119010000</v>
      </c>
      <c r="I39" t="s">
        <v>156</v>
      </c>
      <c r="J39">
        <v>2473</v>
      </c>
      <c r="K39" t="s">
        <v>157</v>
      </c>
      <c r="L39">
        <v>247320</v>
      </c>
      <c r="M39" t="s">
        <v>43</v>
      </c>
      <c r="N39">
        <v>24732002</v>
      </c>
      <c r="O39" t="s">
        <v>77</v>
      </c>
      <c r="P39">
        <v>47866793</v>
      </c>
      <c r="Q39" t="s">
        <v>78</v>
      </c>
      <c r="R39">
        <v>430700742</v>
      </c>
      <c r="S39">
        <v>10</v>
      </c>
      <c r="T39" t="s">
        <v>174</v>
      </c>
      <c r="U39" s="1">
        <v>23926</v>
      </c>
      <c r="V39" t="s">
        <v>164</v>
      </c>
      <c r="W39" s="1">
        <v>40725</v>
      </c>
      <c r="Y39" s="1">
        <v>40725</v>
      </c>
      <c r="Z39" t="s">
        <v>160</v>
      </c>
      <c r="AA39">
        <v>4</v>
      </c>
      <c r="AB39" t="s">
        <v>161</v>
      </c>
      <c r="AC39" t="s">
        <v>162</v>
      </c>
      <c r="AD39" s="120">
        <v>6166924263001</v>
      </c>
      <c r="AF39">
        <v>4122</v>
      </c>
      <c r="AG39" t="s">
        <v>61</v>
      </c>
      <c r="AH39">
        <v>1</v>
      </c>
      <c r="AI39" t="s">
        <v>32</v>
      </c>
      <c r="AJ39" s="1">
        <v>44324.7306828704</v>
      </c>
      <c r="AK39" s="123"/>
      <c r="AL39" t="s">
        <v>41</v>
      </c>
      <c r="AM39" t="s">
        <v>173</v>
      </c>
      <c r="AN39">
        <v>210568163</v>
      </c>
      <c r="AO39">
        <v>1052772745</v>
      </c>
      <c r="AP39">
        <v>210568163</v>
      </c>
      <c r="AQ39">
        <v>1052772745</v>
      </c>
      <c r="AR39" s="1">
        <v>28926</v>
      </c>
      <c r="AS39" s="1">
        <v>28926</v>
      </c>
      <c r="AT39" t="s">
        <v>159</v>
      </c>
      <c r="AU39" t="s">
        <v>159</v>
      </c>
      <c r="AV39">
        <v>146.6</v>
      </c>
      <c r="AW39">
        <v>4054000</v>
      </c>
      <c r="AX39">
        <v>64.111471995</v>
      </c>
      <c r="AY39">
        <v>733</v>
      </c>
      <c r="AZ39">
        <v>733</v>
      </c>
      <c r="BA39" s="123"/>
      <c r="BD39">
        <f>TEXT(AJ:AJ,"yyyymmdd")*1</f>
        <v>20210508</v>
      </c>
      <c r="BE39">
        <f>IF(AX:AX&gt;=3000,1,0)</f>
        <v>0</v>
      </c>
    </row>
    <row r="40" hidden="1" spans="1:57">
      <c r="A40" t="s">
        <v>153</v>
      </c>
      <c r="B40">
        <v>119</v>
      </c>
      <c r="C40" t="s">
        <v>154</v>
      </c>
      <c r="D40">
        <v>11901</v>
      </c>
      <c r="E40" t="s">
        <v>155</v>
      </c>
      <c r="F40">
        <v>1190102</v>
      </c>
      <c r="G40" t="s">
        <v>48</v>
      </c>
      <c r="H40">
        <v>119010201</v>
      </c>
      <c r="I40" t="s">
        <v>48</v>
      </c>
      <c r="J40">
        <v>2473</v>
      </c>
      <c r="K40" t="s">
        <v>157</v>
      </c>
      <c r="L40">
        <v>247302</v>
      </c>
      <c r="M40" t="s">
        <v>49</v>
      </c>
      <c r="N40">
        <v>24730252</v>
      </c>
      <c r="O40" t="s">
        <v>82</v>
      </c>
      <c r="P40">
        <v>801128989</v>
      </c>
      <c r="Q40" t="s">
        <v>90</v>
      </c>
      <c r="R40">
        <v>6137982332</v>
      </c>
      <c r="S40">
        <v>2</v>
      </c>
      <c r="T40" t="s">
        <v>168</v>
      </c>
      <c r="U40" s="1">
        <v>26731</v>
      </c>
      <c r="V40" t="s">
        <v>164</v>
      </c>
      <c r="W40" s="1">
        <v>43569</v>
      </c>
      <c r="Y40" s="1">
        <v>43569</v>
      </c>
      <c r="Z40" t="s">
        <v>160</v>
      </c>
      <c r="AA40">
        <v>5</v>
      </c>
      <c r="AB40" t="s">
        <v>171</v>
      </c>
      <c r="AC40" t="s">
        <v>162</v>
      </c>
      <c r="AD40" s="120">
        <v>6165107561001</v>
      </c>
      <c r="AE40">
        <v>6165107540008</v>
      </c>
      <c r="AF40">
        <v>4123</v>
      </c>
      <c r="AG40" t="s">
        <v>36</v>
      </c>
      <c r="AH40">
        <v>1</v>
      </c>
      <c r="AI40" t="s">
        <v>32</v>
      </c>
      <c r="AJ40" s="1">
        <v>44324.4799768518</v>
      </c>
      <c r="AK40" s="123">
        <v>44326.8059837963</v>
      </c>
      <c r="AL40" t="s">
        <v>55</v>
      </c>
      <c r="AM40" t="s">
        <v>173</v>
      </c>
      <c r="AN40">
        <v>7773401</v>
      </c>
      <c r="AO40">
        <v>1020523707</v>
      </c>
      <c r="AP40">
        <v>7773402</v>
      </c>
      <c r="AQ40">
        <v>1024593077</v>
      </c>
      <c r="AR40" s="1">
        <v>26002</v>
      </c>
      <c r="AS40" s="1">
        <v>36412</v>
      </c>
      <c r="AT40" t="s">
        <v>159</v>
      </c>
      <c r="AU40" t="s">
        <v>159</v>
      </c>
      <c r="AV40">
        <v>60</v>
      </c>
      <c r="AW40">
        <v>520000</v>
      </c>
      <c r="AX40">
        <v>-45.841796459</v>
      </c>
      <c r="AY40">
        <v>600</v>
      </c>
      <c r="AZ40">
        <v>600</v>
      </c>
      <c r="BA40" s="123">
        <v>44326.8059722222</v>
      </c>
      <c r="BB40" t="s">
        <v>57</v>
      </c>
      <c r="BD40">
        <f>TEXT(AJ:AJ,"yyyymmdd")*1</f>
        <v>20210508</v>
      </c>
      <c r="BE40">
        <f>IF(AX:AX&gt;=3000,1,0)</f>
        <v>0</v>
      </c>
    </row>
    <row r="41" hidden="1" spans="1:57">
      <c r="A41" t="s">
        <v>153</v>
      </c>
      <c r="B41">
        <v>119</v>
      </c>
      <c r="C41" t="s">
        <v>154</v>
      </c>
      <c r="D41">
        <v>11901</v>
      </c>
      <c r="E41" t="s">
        <v>155</v>
      </c>
      <c r="F41">
        <v>1190101</v>
      </c>
      <c r="G41" t="s">
        <v>27</v>
      </c>
      <c r="H41">
        <v>119010101</v>
      </c>
      <c r="I41" t="s">
        <v>27</v>
      </c>
      <c r="J41">
        <v>2457</v>
      </c>
      <c r="K41" t="s">
        <v>172</v>
      </c>
      <c r="L41">
        <v>245708</v>
      </c>
      <c r="M41" t="s">
        <v>52</v>
      </c>
      <c r="N41">
        <v>24570801</v>
      </c>
      <c r="O41" t="s">
        <v>53</v>
      </c>
      <c r="P41">
        <v>203708725</v>
      </c>
      <c r="Q41" t="s">
        <v>54</v>
      </c>
      <c r="R41">
        <v>531925062</v>
      </c>
      <c r="S41">
        <v>2</v>
      </c>
      <c r="T41" t="s">
        <v>168</v>
      </c>
      <c r="U41" s="1">
        <v>27427</v>
      </c>
      <c r="V41" t="s">
        <v>159</v>
      </c>
      <c r="W41" s="1">
        <v>41434</v>
      </c>
      <c r="Y41" s="1">
        <v>41434</v>
      </c>
      <c r="Z41" t="s">
        <v>160</v>
      </c>
      <c r="AA41">
        <v>4</v>
      </c>
      <c r="AB41" t="s">
        <v>161</v>
      </c>
      <c r="AC41" t="s">
        <v>162</v>
      </c>
      <c r="AD41" s="120">
        <v>6153383822001</v>
      </c>
      <c r="AF41">
        <v>4124</v>
      </c>
      <c r="AG41" t="s">
        <v>40</v>
      </c>
      <c r="AH41">
        <v>1</v>
      </c>
      <c r="AI41" t="s">
        <v>32</v>
      </c>
      <c r="AJ41" s="123">
        <v>44324.7792013889</v>
      </c>
      <c r="AK41" s="123"/>
      <c r="AL41" t="s">
        <v>41</v>
      </c>
      <c r="AM41" t="s">
        <v>173</v>
      </c>
      <c r="AN41">
        <v>242857224</v>
      </c>
      <c r="AO41">
        <v>1123869088</v>
      </c>
      <c r="AP41">
        <v>249951667</v>
      </c>
      <c r="AQ41">
        <v>1148594731</v>
      </c>
      <c r="AR41" s="1">
        <v>25669</v>
      </c>
      <c r="AS41" s="1">
        <v>37436</v>
      </c>
      <c r="AT41" t="s">
        <v>159</v>
      </c>
      <c r="AU41" t="s">
        <v>164</v>
      </c>
      <c r="AV41">
        <v>66.9</v>
      </c>
      <c r="AW41">
        <v>4054000</v>
      </c>
      <c r="AX41">
        <v>21.779581392</v>
      </c>
      <c r="AY41">
        <v>470</v>
      </c>
      <c r="AZ41">
        <v>470</v>
      </c>
      <c r="BA41" s="123"/>
      <c r="BD41">
        <f>TEXT(AJ:AJ,"yyyymmdd")*1</f>
        <v>20210508</v>
      </c>
      <c r="BE41">
        <f>IF(AX:AX&gt;=3000,1,0)</f>
        <v>0</v>
      </c>
    </row>
    <row r="42" hidden="1" spans="1:57">
      <c r="A42" t="s">
        <v>153</v>
      </c>
      <c r="B42">
        <v>119</v>
      </c>
      <c r="C42" t="s">
        <v>154</v>
      </c>
      <c r="D42">
        <v>11901</v>
      </c>
      <c r="E42" t="s">
        <v>155</v>
      </c>
      <c r="F42">
        <v>1190102</v>
      </c>
      <c r="G42" t="s">
        <v>48</v>
      </c>
      <c r="H42">
        <v>119010201</v>
      </c>
      <c r="I42" t="s">
        <v>48</v>
      </c>
      <c r="J42">
        <v>2473</v>
      </c>
      <c r="K42" t="s">
        <v>157</v>
      </c>
      <c r="L42">
        <v>247302</v>
      </c>
      <c r="M42" t="s">
        <v>49</v>
      </c>
      <c r="N42">
        <v>24730201</v>
      </c>
      <c r="O42" t="s">
        <v>50</v>
      </c>
      <c r="P42">
        <v>18924255</v>
      </c>
      <c r="Q42" t="s">
        <v>91</v>
      </c>
      <c r="R42">
        <v>157576102</v>
      </c>
      <c r="S42">
        <v>23</v>
      </c>
      <c r="T42" t="s">
        <v>166</v>
      </c>
      <c r="U42" s="1">
        <v>23194</v>
      </c>
      <c r="V42" t="s">
        <v>159</v>
      </c>
      <c r="W42" s="1">
        <v>39295</v>
      </c>
      <c r="Y42" s="1">
        <v>39295</v>
      </c>
      <c r="Z42" t="s">
        <v>160</v>
      </c>
      <c r="AA42">
        <v>4</v>
      </c>
      <c r="AB42" t="s">
        <v>161</v>
      </c>
      <c r="AC42" t="s">
        <v>162</v>
      </c>
      <c r="AD42" s="120">
        <v>6165037511001</v>
      </c>
      <c r="AF42">
        <v>4122</v>
      </c>
      <c r="AG42" t="s">
        <v>61</v>
      </c>
      <c r="AH42">
        <v>1</v>
      </c>
      <c r="AI42" t="s">
        <v>32</v>
      </c>
      <c r="AJ42" s="123">
        <v>44324.4706018519</v>
      </c>
      <c r="AL42" t="s">
        <v>41</v>
      </c>
      <c r="AM42" t="s">
        <v>173</v>
      </c>
      <c r="AN42">
        <v>22901851</v>
      </c>
      <c r="AO42">
        <v>1026509076</v>
      </c>
      <c r="AP42">
        <v>22901853</v>
      </c>
      <c r="AQ42">
        <v>1028680368</v>
      </c>
      <c r="AR42" s="1">
        <v>23033</v>
      </c>
      <c r="AS42" s="1">
        <v>31496</v>
      </c>
      <c r="AT42" t="s">
        <v>159</v>
      </c>
      <c r="AU42" t="s">
        <v>159</v>
      </c>
      <c r="AV42">
        <v>88.8</v>
      </c>
      <c r="AW42">
        <v>4054000</v>
      </c>
      <c r="AX42">
        <v>38.83423353</v>
      </c>
      <c r="AY42">
        <v>444</v>
      </c>
      <c r="AZ42">
        <v>444</v>
      </c>
      <c r="BA42" s="123"/>
      <c r="BD42">
        <f>TEXT(AJ:AJ,"yyyymmdd")*1</f>
        <v>20210508</v>
      </c>
      <c r="BE42">
        <f>IF(AX:AX&gt;=3000,1,0)</f>
        <v>0</v>
      </c>
    </row>
    <row r="43" hidden="1" spans="1:57">
      <c r="A43" t="s">
        <v>153</v>
      </c>
      <c r="B43">
        <v>119</v>
      </c>
      <c r="C43" t="s">
        <v>154</v>
      </c>
      <c r="D43">
        <v>11901</v>
      </c>
      <c r="E43" t="s">
        <v>155</v>
      </c>
      <c r="F43">
        <v>1190102</v>
      </c>
      <c r="G43" t="s">
        <v>48</v>
      </c>
      <c r="H43">
        <v>119010201</v>
      </c>
      <c r="I43" t="s">
        <v>48</v>
      </c>
      <c r="J43">
        <v>2473</v>
      </c>
      <c r="K43" t="s">
        <v>157</v>
      </c>
      <c r="L43">
        <v>247302</v>
      </c>
      <c r="M43" t="s">
        <v>49</v>
      </c>
      <c r="N43">
        <v>24730201</v>
      </c>
      <c r="O43" t="s">
        <v>50</v>
      </c>
      <c r="P43">
        <v>18924255</v>
      </c>
      <c r="Q43" t="s">
        <v>91</v>
      </c>
      <c r="R43">
        <v>157576102</v>
      </c>
      <c r="S43">
        <v>23</v>
      </c>
      <c r="T43" t="s">
        <v>166</v>
      </c>
      <c r="U43" s="1">
        <v>23194</v>
      </c>
      <c r="V43" t="s">
        <v>159</v>
      </c>
      <c r="W43" s="1">
        <v>39295</v>
      </c>
      <c r="Y43" s="1">
        <v>39295</v>
      </c>
      <c r="Z43" t="s">
        <v>160</v>
      </c>
      <c r="AA43">
        <v>4</v>
      </c>
      <c r="AB43" t="s">
        <v>161</v>
      </c>
      <c r="AC43" t="s">
        <v>162</v>
      </c>
      <c r="AD43" s="120">
        <v>6158474921001</v>
      </c>
      <c r="AF43">
        <v>4122</v>
      </c>
      <c r="AG43" t="s">
        <v>61</v>
      </c>
      <c r="AH43">
        <v>1</v>
      </c>
      <c r="AI43" t="s">
        <v>32</v>
      </c>
      <c r="AJ43" s="123">
        <v>44323.3881481482</v>
      </c>
      <c r="AL43" t="s">
        <v>41</v>
      </c>
      <c r="AM43" t="s">
        <v>173</v>
      </c>
      <c r="AN43">
        <v>22221900</v>
      </c>
      <c r="AO43">
        <v>1010300675</v>
      </c>
      <c r="AP43">
        <v>22877041</v>
      </c>
      <c r="AQ43">
        <v>1019521048</v>
      </c>
      <c r="AR43" s="1">
        <v>23194</v>
      </c>
      <c r="AS43" s="1">
        <v>32816</v>
      </c>
      <c r="AT43" t="s">
        <v>159</v>
      </c>
      <c r="AU43" t="s">
        <v>159</v>
      </c>
      <c r="AV43">
        <v>88.8</v>
      </c>
      <c r="AW43">
        <v>4054000</v>
      </c>
      <c r="AX43">
        <v>38.83423353</v>
      </c>
      <c r="AY43">
        <v>444</v>
      </c>
      <c r="AZ43">
        <v>444</v>
      </c>
      <c r="BA43" s="123">
        <v>44323.3886921296</v>
      </c>
      <c r="BD43">
        <f>TEXT(AJ:AJ,"yyyymmdd")*1</f>
        <v>20210507</v>
      </c>
      <c r="BE43">
        <f>IF(AX:AX&gt;=3000,1,0)</f>
        <v>0</v>
      </c>
    </row>
    <row r="44" hidden="1" spans="1:57">
      <c r="A44" t="s">
        <v>153</v>
      </c>
      <c r="B44">
        <v>119</v>
      </c>
      <c r="C44" t="s">
        <v>154</v>
      </c>
      <c r="D44">
        <v>11901</v>
      </c>
      <c r="E44" t="s">
        <v>155</v>
      </c>
      <c r="F44">
        <v>1190102</v>
      </c>
      <c r="G44" t="s">
        <v>48</v>
      </c>
      <c r="H44">
        <v>119010201</v>
      </c>
      <c r="I44" t="s">
        <v>48</v>
      </c>
      <c r="J44">
        <v>2473</v>
      </c>
      <c r="K44" t="s">
        <v>157</v>
      </c>
      <c r="L44">
        <v>247302</v>
      </c>
      <c r="M44" t="s">
        <v>49</v>
      </c>
      <c r="N44">
        <v>24730201</v>
      </c>
      <c r="O44" t="s">
        <v>50</v>
      </c>
      <c r="P44">
        <v>18924255</v>
      </c>
      <c r="Q44" t="s">
        <v>91</v>
      </c>
      <c r="R44">
        <v>157576102</v>
      </c>
      <c r="S44">
        <v>23</v>
      </c>
      <c r="T44" t="s">
        <v>166</v>
      </c>
      <c r="U44" s="1">
        <v>23194</v>
      </c>
      <c r="V44" t="s">
        <v>159</v>
      </c>
      <c r="W44" s="1">
        <v>39295</v>
      </c>
      <c r="Y44" s="1">
        <v>39295</v>
      </c>
      <c r="Z44" t="s">
        <v>160</v>
      </c>
      <c r="AA44">
        <v>4</v>
      </c>
      <c r="AB44" t="s">
        <v>161</v>
      </c>
      <c r="AC44" t="s">
        <v>162</v>
      </c>
      <c r="AD44" s="120">
        <v>6158426314001</v>
      </c>
      <c r="AF44">
        <v>4122</v>
      </c>
      <c r="AG44" t="s">
        <v>61</v>
      </c>
      <c r="AH44">
        <v>1</v>
      </c>
      <c r="AI44" t="s">
        <v>32</v>
      </c>
      <c r="AJ44" s="123">
        <v>44323.3842824074</v>
      </c>
      <c r="AL44" t="s">
        <v>41</v>
      </c>
      <c r="AM44" t="s">
        <v>173</v>
      </c>
      <c r="AN44">
        <v>22221900</v>
      </c>
      <c r="AO44">
        <v>1010300675</v>
      </c>
      <c r="AP44">
        <v>19062654</v>
      </c>
      <c r="AQ44">
        <v>1001915496</v>
      </c>
      <c r="AR44" s="1">
        <v>23194</v>
      </c>
      <c r="AS44" s="1">
        <v>32011</v>
      </c>
      <c r="AT44" t="s">
        <v>159</v>
      </c>
      <c r="AU44" t="s">
        <v>159</v>
      </c>
      <c r="AV44">
        <v>88.8</v>
      </c>
      <c r="AW44">
        <v>4054000</v>
      </c>
      <c r="AX44">
        <v>38.83423353</v>
      </c>
      <c r="AY44">
        <v>444</v>
      </c>
      <c r="AZ44">
        <v>444</v>
      </c>
      <c r="BA44" s="123">
        <v>44323.3851041667</v>
      </c>
      <c r="BD44">
        <f>TEXT(AJ:AJ,"yyyymmdd")*1</f>
        <v>20210507</v>
      </c>
      <c r="BE44">
        <f>IF(AX:AX&gt;=3000,1,0)</f>
        <v>0</v>
      </c>
    </row>
    <row r="45" hidden="1" spans="1:57">
      <c r="A45" t="s">
        <v>153</v>
      </c>
      <c r="B45">
        <v>119</v>
      </c>
      <c r="C45" t="s">
        <v>154</v>
      </c>
      <c r="D45">
        <v>11901</v>
      </c>
      <c r="E45" t="s">
        <v>155</v>
      </c>
      <c r="F45">
        <v>1190102</v>
      </c>
      <c r="G45" t="s">
        <v>48</v>
      </c>
      <c r="H45">
        <v>119010201</v>
      </c>
      <c r="I45" t="s">
        <v>48</v>
      </c>
      <c r="J45">
        <v>2473</v>
      </c>
      <c r="K45" t="s">
        <v>157</v>
      </c>
      <c r="L45">
        <v>247302</v>
      </c>
      <c r="M45" t="s">
        <v>49</v>
      </c>
      <c r="N45">
        <v>24730201</v>
      </c>
      <c r="O45" t="s">
        <v>50</v>
      </c>
      <c r="P45">
        <v>18924255</v>
      </c>
      <c r="Q45" t="s">
        <v>91</v>
      </c>
      <c r="R45">
        <v>157576102</v>
      </c>
      <c r="S45">
        <v>23</v>
      </c>
      <c r="T45" t="s">
        <v>166</v>
      </c>
      <c r="U45" s="1">
        <v>23194</v>
      </c>
      <c r="V45" t="s">
        <v>159</v>
      </c>
      <c r="W45" s="1">
        <v>39295</v>
      </c>
      <c r="Y45" s="1">
        <v>39295</v>
      </c>
      <c r="Z45" t="s">
        <v>160</v>
      </c>
      <c r="AA45">
        <v>4</v>
      </c>
      <c r="AB45" t="s">
        <v>161</v>
      </c>
      <c r="AC45" t="s">
        <v>162</v>
      </c>
      <c r="AD45" s="120">
        <v>6158395589001</v>
      </c>
      <c r="AF45">
        <v>4122</v>
      </c>
      <c r="AG45" t="s">
        <v>61</v>
      </c>
      <c r="AH45">
        <v>1</v>
      </c>
      <c r="AI45" t="s">
        <v>32</v>
      </c>
      <c r="AJ45" s="123">
        <v>44323.381099537</v>
      </c>
      <c r="AL45" t="s">
        <v>41</v>
      </c>
      <c r="AM45" t="s">
        <v>173</v>
      </c>
      <c r="AN45">
        <v>19215596</v>
      </c>
      <c r="AO45">
        <v>1030350374</v>
      </c>
      <c r="AP45">
        <v>19215596</v>
      </c>
      <c r="AQ45">
        <v>1030350374</v>
      </c>
      <c r="AR45" s="1">
        <v>32028</v>
      </c>
      <c r="AS45" s="1">
        <v>32028</v>
      </c>
      <c r="AT45" t="s">
        <v>159</v>
      </c>
      <c r="AU45" t="s">
        <v>159</v>
      </c>
      <c r="AV45">
        <v>88.8</v>
      </c>
      <c r="AW45">
        <v>4054000</v>
      </c>
      <c r="AX45">
        <v>38.83423353</v>
      </c>
      <c r="AY45">
        <v>444</v>
      </c>
      <c r="AZ45">
        <v>444</v>
      </c>
      <c r="BA45" s="123">
        <v>44323.3815625</v>
      </c>
      <c r="BD45">
        <f>TEXT(AJ:AJ,"yyyymmdd")*1</f>
        <v>20210507</v>
      </c>
      <c r="BE45">
        <f>IF(AX:AX&gt;=3000,1,0)</f>
        <v>0</v>
      </c>
    </row>
    <row r="46" hidden="1" spans="1:57">
      <c r="A46" t="s">
        <v>153</v>
      </c>
      <c r="B46">
        <v>119</v>
      </c>
      <c r="C46" t="s">
        <v>154</v>
      </c>
      <c r="D46">
        <v>11901</v>
      </c>
      <c r="E46" t="s">
        <v>155</v>
      </c>
      <c r="F46">
        <v>1190102</v>
      </c>
      <c r="G46" t="s">
        <v>48</v>
      </c>
      <c r="H46">
        <v>119010201</v>
      </c>
      <c r="I46" t="s">
        <v>48</v>
      </c>
      <c r="J46">
        <v>2473</v>
      </c>
      <c r="K46" t="s">
        <v>157</v>
      </c>
      <c r="L46">
        <v>247302</v>
      </c>
      <c r="M46" t="s">
        <v>49</v>
      </c>
      <c r="N46">
        <v>24730201</v>
      </c>
      <c r="O46" t="s">
        <v>50</v>
      </c>
      <c r="P46">
        <v>18924255</v>
      </c>
      <c r="Q46" t="s">
        <v>91</v>
      </c>
      <c r="R46">
        <v>157576102</v>
      </c>
      <c r="S46">
        <v>23</v>
      </c>
      <c r="T46" t="s">
        <v>166</v>
      </c>
      <c r="U46" s="1">
        <v>23194</v>
      </c>
      <c r="V46" t="s">
        <v>159</v>
      </c>
      <c r="W46" s="1">
        <v>39295</v>
      </c>
      <c r="Y46" s="1">
        <v>39295</v>
      </c>
      <c r="Z46" t="s">
        <v>160</v>
      </c>
      <c r="AA46">
        <v>4</v>
      </c>
      <c r="AB46" t="s">
        <v>161</v>
      </c>
      <c r="AC46" t="s">
        <v>162</v>
      </c>
      <c r="AD46" s="120">
        <v>6155944408001</v>
      </c>
      <c r="AF46">
        <v>4122</v>
      </c>
      <c r="AG46" t="s">
        <v>61</v>
      </c>
      <c r="AH46">
        <v>1</v>
      </c>
      <c r="AI46" t="s">
        <v>32</v>
      </c>
      <c r="AJ46" s="1">
        <v>44322.6688888889</v>
      </c>
      <c r="AK46" s="123"/>
      <c r="AL46" t="s">
        <v>41</v>
      </c>
      <c r="AM46" t="s">
        <v>173</v>
      </c>
      <c r="AN46">
        <v>201153036</v>
      </c>
      <c r="AO46">
        <v>1026577578</v>
      </c>
      <c r="AP46">
        <v>221697963</v>
      </c>
      <c r="AQ46">
        <v>1078583860</v>
      </c>
      <c r="AR46" s="1">
        <v>24612</v>
      </c>
      <c r="AS46" s="1">
        <v>32627</v>
      </c>
      <c r="AT46" t="s">
        <v>159</v>
      </c>
      <c r="AU46" t="s">
        <v>159</v>
      </c>
      <c r="AV46">
        <v>88.8</v>
      </c>
      <c r="AW46">
        <v>4054000</v>
      </c>
      <c r="AX46">
        <v>38.83423353</v>
      </c>
      <c r="AY46">
        <v>444</v>
      </c>
      <c r="AZ46">
        <v>444</v>
      </c>
      <c r="BA46" s="123"/>
      <c r="BD46">
        <f>TEXT(AJ:AJ,"yyyymmdd")*1</f>
        <v>20210506</v>
      </c>
      <c r="BE46">
        <f>IF(AX:AX&gt;=3000,1,0)</f>
        <v>0</v>
      </c>
    </row>
    <row r="47" hidden="1" spans="1:57">
      <c r="A47" t="s">
        <v>153</v>
      </c>
      <c r="B47">
        <v>119</v>
      </c>
      <c r="C47" t="s">
        <v>154</v>
      </c>
      <c r="D47">
        <v>11901</v>
      </c>
      <c r="E47" t="s">
        <v>155</v>
      </c>
      <c r="F47">
        <v>1190101</v>
      </c>
      <c r="G47" t="s">
        <v>27</v>
      </c>
      <c r="H47">
        <v>119010101</v>
      </c>
      <c r="I47" t="s">
        <v>27</v>
      </c>
      <c r="J47">
        <v>2457</v>
      </c>
      <c r="K47" t="s">
        <v>172</v>
      </c>
      <c r="L47">
        <v>245708</v>
      </c>
      <c r="M47" t="s">
        <v>52</v>
      </c>
      <c r="N47">
        <v>24570801</v>
      </c>
      <c r="O47" t="s">
        <v>53</v>
      </c>
      <c r="P47">
        <v>203708725</v>
      </c>
      <c r="Q47" t="s">
        <v>54</v>
      </c>
      <c r="R47">
        <v>531925062</v>
      </c>
      <c r="S47">
        <v>2</v>
      </c>
      <c r="T47" t="s">
        <v>168</v>
      </c>
      <c r="U47" s="1">
        <v>27427</v>
      </c>
      <c r="V47" t="s">
        <v>159</v>
      </c>
      <c r="W47" s="1">
        <v>41434</v>
      </c>
      <c r="Y47" s="1">
        <v>41434</v>
      </c>
      <c r="Z47" t="s">
        <v>160</v>
      </c>
      <c r="AA47">
        <v>4</v>
      </c>
      <c r="AB47" t="s">
        <v>161</v>
      </c>
      <c r="AC47" t="s">
        <v>162</v>
      </c>
      <c r="AD47" s="120">
        <v>6171397909001</v>
      </c>
      <c r="AF47">
        <v>4124</v>
      </c>
      <c r="AG47" t="s">
        <v>40</v>
      </c>
      <c r="AH47">
        <v>1</v>
      </c>
      <c r="AI47" t="s">
        <v>32</v>
      </c>
      <c r="AJ47" s="1">
        <v>44326.4637615741</v>
      </c>
      <c r="AK47" s="123"/>
      <c r="AL47" t="s">
        <v>41</v>
      </c>
      <c r="AM47" t="s">
        <v>173</v>
      </c>
      <c r="AN47">
        <v>248400275</v>
      </c>
      <c r="AO47">
        <v>1143412830</v>
      </c>
      <c r="AP47">
        <v>249728175</v>
      </c>
      <c r="AQ47">
        <v>1148052555</v>
      </c>
      <c r="AR47" s="1">
        <v>32369</v>
      </c>
      <c r="AS47" s="1">
        <v>40825</v>
      </c>
      <c r="AT47" t="s">
        <v>159</v>
      </c>
      <c r="AU47" t="s">
        <v>164</v>
      </c>
      <c r="AW47">
        <v>0</v>
      </c>
      <c r="AX47">
        <v>5.69769028</v>
      </c>
      <c r="AY47">
        <v>353</v>
      </c>
      <c r="AZ47">
        <v>353</v>
      </c>
      <c r="BA47" s="123">
        <v>44326.464525463</v>
      </c>
      <c r="BD47">
        <f>TEXT(AJ:AJ,"yyyymmdd")*1</f>
        <v>20210510</v>
      </c>
      <c r="BE47">
        <f>IF(AX:AX&gt;=3000,1,0)</f>
        <v>0</v>
      </c>
    </row>
    <row r="48" hidden="1" spans="1:57">
      <c r="A48" t="s">
        <v>153</v>
      </c>
      <c r="B48">
        <v>119</v>
      </c>
      <c r="C48" t="s">
        <v>154</v>
      </c>
      <c r="D48">
        <v>11901</v>
      </c>
      <c r="E48" t="s">
        <v>155</v>
      </c>
      <c r="F48">
        <v>1190101</v>
      </c>
      <c r="G48" t="s">
        <v>27</v>
      </c>
      <c r="H48">
        <v>119010101</v>
      </c>
      <c r="I48" t="s">
        <v>27</v>
      </c>
      <c r="J48">
        <v>2457</v>
      </c>
      <c r="K48" t="s">
        <v>172</v>
      </c>
      <c r="L48">
        <v>245708</v>
      </c>
      <c r="M48" t="s">
        <v>52</v>
      </c>
      <c r="N48">
        <v>24570801</v>
      </c>
      <c r="O48" t="s">
        <v>53</v>
      </c>
      <c r="P48">
        <v>203708725</v>
      </c>
      <c r="Q48" t="s">
        <v>54</v>
      </c>
      <c r="R48">
        <v>531925062</v>
      </c>
      <c r="S48">
        <v>2</v>
      </c>
      <c r="T48" t="s">
        <v>168</v>
      </c>
      <c r="U48" s="1">
        <v>27427</v>
      </c>
      <c r="V48" t="s">
        <v>159</v>
      </c>
      <c r="W48" s="1">
        <v>41434</v>
      </c>
      <c r="Y48" s="1">
        <v>41434</v>
      </c>
      <c r="Z48" t="s">
        <v>160</v>
      </c>
      <c r="AA48">
        <v>4</v>
      </c>
      <c r="AB48" t="s">
        <v>161</v>
      </c>
      <c r="AC48" t="s">
        <v>162</v>
      </c>
      <c r="AD48" s="120">
        <v>6156571989001</v>
      </c>
      <c r="AF48">
        <v>4122</v>
      </c>
      <c r="AG48" t="s">
        <v>61</v>
      </c>
      <c r="AH48">
        <v>1</v>
      </c>
      <c r="AI48" t="s">
        <v>32</v>
      </c>
      <c r="AJ48" s="123">
        <v>44322.7434143519</v>
      </c>
      <c r="AK48" s="123"/>
      <c r="AL48" t="s">
        <v>41</v>
      </c>
      <c r="AM48" t="s">
        <v>173</v>
      </c>
      <c r="AN48">
        <v>249582516</v>
      </c>
      <c r="AO48">
        <v>1147618412</v>
      </c>
      <c r="AP48">
        <v>249582516</v>
      </c>
      <c r="AQ48">
        <v>1147618412</v>
      </c>
      <c r="AR48" s="1">
        <v>33467</v>
      </c>
      <c r="AS48" s="1">
        <v>33467</v>
      </c>
      <c r="AT48" t="s">
        <v>164</v>
      </c>
      <c r="AU48" t="s">
        <v>164</v>
      </c>
      <c r="AV48">
        <v>65.6</v>
      </c>
      <c r="AW48">
        <v>4054000</v>
      </c>
      <c r="AX48">
        <v>28.688353275</v>
      </c>
      <c r="AY48">
        <v>328</v>
      </c>
      <c r="AZ48">
        <v>328</v>
      </c>
      <c r="BA48" s="123"/>
      <c r="BD48">
        <f>TEXT(AJ:AJ,"yyyymmdd")*1</f>
        <v>20210506</v>
      </c>
      <c r="BE48">
        <f>IF(AX:AX&gt;=3000,1,0)</f>
        <v>0</v>
      </c>
    </row>
    <row r="49" hidden="1" spans="1:57">
      <c r="A49" t="s">
        <v>153</v>
      </c>
      <c r="B49">
        <v>119</v>
      </c>
      <c r="C49" t="s">
        <v>154</v>
      </c>
      <c r="D49">
        <v>11901</v>
      </c>
      <c r="E49" t="s">
        <v>155</v>
      </c>
      <c r="F49">
        <v>1190101</v>
      </c>
      <c r="G49" t="s">
        <v>27</v>
      </c>
      <c r="H49">
        <v>119010101</v>
      </c>
      <c r="I49" t="s">
        <v>27</v>
      </c>
      <c r="J49">
        <v>2457</v>
      </c>
      <c r="K49" t="s">
        <v>172</v>
      </c>
      <c r="L49">
        <v>245708</v>
      </c>
      <c r="M49" t="s">
        <v>52</v>
      </c>
      <c r="N49">
        <v>24570801</v>
      </c>
      <c r="O49" t="s">
        <v>53</v>
      </c>
      <c r="P49">
        <v>203708725</v>
      </c>
      <c r="Q49" t="s">
        <v>54</v>
      </c>
      <c r="R49">
        <v>531925062</v>
      </c>
      <c r="S49">
        <v>2</v>
      </c>
      <c r="T49" t="s">
        <v>168</v>
      </c>
      <c r="U49" s="1">
        <v>27427</v>
      </c>
      <c r="V49" t="s">
        <v>159</v>
      </c>
      <c r="W49" s="1">
        <v>41434</v>
      </c>
      <c r="Y49" s="1">
        <v>41434</v>
      </c>
      <c r="Z49" t="s">
        <v>160</v>
      </c>
      <c r="AA49">
        <v>4</v>
      </c>
      <c r="AB49" t="s">
        <v>161</v>
      </c>
      <c r="AC49" t="s">
        <v>162</v>
      </c>
      <c r="AD49" s="120">
        <v>6154452651001</v>
      </c>
      <c r="AF49">
        <v>4122</v>
      </c>
      <c r="AG49" t="s">
        <v>61</v>
      </c>
      <c r="AH49">
        <v>1</v>
      </c>
      <c r="AI49" t="s">
        <v>32</v>
      </c>
      <c r="AJ49" s="1">
        <v>44322.4804976852</v>
      </c>
      <c r="AK49" s="123"/>
      <c r="AL49" t="s">
        <v>41</v>
      </c>
      <c r="AM49" t="s">
        <v>173</v>
      </c>
      <c r="AN49">
        <v>249329949</v>
      </c>
      <c r="AO49">
        <v>1146746724</v>
      </c>
      <c r="AP49">
        <v>250075160</v>
      </c>
      <c r="AQ49">
        <v>1148929503</v>
      </c>
      <c r="AR49" s="1">
        <v>34297</v>
      </c>
      <c r="AS49" s="1">
        <v>33707</v>
      </c>
      <c r="AT49" t="s">
        <v>159</v>
      </c>
      <c r="AU49" t="s">
        <v>164</v>
      </c>
      <c r="AV49">
        <v>65.6</v>
      </c>
      <c r="AW49">
        <v>4054000</v>
      </c>
      <c r="AX49">
        <v>28.688353275</v>
      </c>
      <c r="AY49">
        <v>328</v>
      </c>
      <c r="AZ49">
        <v>328</v>
      </c>
      <c r="BA49" s="123">
        <v>44322.4808564815</v>
      </c>
      <c r="BD49">
        <f>TEXT(AJ:AJ,"yyyymmdd")*1</f>
        <v>20210506</v>
      </c>
      <c r="BE49">
        <f>IF(AX:AX&gt;=3000,1,0)</f>
        <v>0</v>
      </c>
    </row>
    <row r="50" hidden="1" spans="1:57">
      <c r="A50" t="s">
        <v>153</v>
      </c>
      <c r="B50">
        <v>119</v>
      </c>
      <c r="C50" t="s">
        <v>154</v>
      </c>
      <c r="D50">
        <v>11901</v>
      </c>
      <c r="E50" t="s">
        <v>155</v>
      </c>
      <c r="F50">
        <v>1190101</v>
      </c>
      <c r="G50" t="s">
        <v>27</v>
      </c>
      <c r="H50">
        <v>119010101</v>
      </c>
      <c r="I50" t="s">
        <v>27</v>
      </c>
      <c r="J50">
        <v>2457</v>
      </c>
      <c r="K50" t="s">
        <v>172</v>
      </c>
      <c r="L50">
        <v>245708</v>
      </c>
      <c r="M50" t="s">
        <v>52</v>
      </c>
      <c r="N50">
        <v>24570801</v>
      </c>
      <c r="O50" t="s">
        <v>53</v>
      </c>
      <c r="P50">
        <v>203708725</v>
      </c>
      <c r="Q50" t="s">
        <v>54</v>
      </c>
      <c r="R50">
        <v>531925062</v>
      </c>
      <c r="S50">
        <v>2</v>
      </c>
      <c r="T50" t="s">
        <v>168</v>
      </c>
      <c r="U50" s="1">
        <v>27427</v>
      </c>
      <c r="V50" t="s">
        <v>159</v>
      </c>
      <c r="W50" s="1">
        <v>41434</v>
      </c>
      <c r="Y50" s="1">
        <v>41434</v>
      </c>
      <c r="Z50" t="s">
        <v>160</v>
      </c>
      <c r="AA50">
        <v>4</v>
      </c>
      <c r="AB50" t="s">
        <v>161</v>
      </c>
      <c r="AC50" t="s">
        <v>162</v>
      </c>
      <c r="AD50" s="120">
        <v>6154394344001</v>
      </c>
      <c r="AF50">
        <v>4122</v>
      </c>
      <c r="AG50" t="s">
        <v>61</v>
      </c>
      <c r="AH50">
        <v>1</v>
      </c>
      <c r="AI50" t="s">
        <v>32</v>
      </c>
      <c r="AJ50" s="1">
        <v>44322.4738425926</v>
      </c>
      <c r="AK50" s="123"/>
      <c r="AL50" t="s">
        <v>41</v>
      </c>
      <c r="AM50" t="s">
        <v>173</v>
      </c>
      <c r="AN50">
        <v>249329949</v>
      </c>
      <c r="AO50">
        <v>1146746724</v>
      </c>
      <c r="AP50">
        <v>249329949</v>
      </c>
      <c r="AQ50">
        <v>1146746724</v>
      </c>
      <c r="AR50" s="1">
        <v>34297</v>
      </c>
      <c r="AS50" s="1">
        <v>34297</v>
      </c>
      <c r="AT50" t="s">
        <v>159</v>
      </c>
      <c r="AU50" t="s">
        <v>159</v>
      </c>
      <c r="AV50">
        <v>65.6</v>
      </c>
      <c r="AW50">
        <v>4054000</v>
      </c>
      <c r="AX50">
        <v>28.688353275</v>
      </c>
      <c r="AY50">
        <v>328</v>
      </c>
      <c r="AZ50">
        <v>328</v>
      </c>
      <c r="BA50" s="123">
        <v>44322.4742361111</v>
      </c>
      <c r="BD50">
        <f>TEXT(AJ:AJ,"yyyymmdd")*1</f>
        <v>20210506</v>
      </c>
      <c r="BE50">
        <f>IF(AX:AX&gt;=3000,1,0)</f>
        <v>0</v>
      </c>
    </row>
    <row r="51" hidden="1" spans="1:57">
      <c r="A51" t="s">
        <v>153</v>
      </c>
      <c r="B51">
        <v>119</v>
      </c>
      <c r="C51" t="s">
        <v>154</v>
      </c>
      <c r="D51">
        <v>11901</v>
      </c>
      <c r="E51" t="s">
        <v>155</v>
      </c>
      <c r="F51">
        <v>1190101</v>
      </c>
      <c r="G51" t="s">
        <v>27</v>
      </c>
      <c r="H51">
        <v>119010101</v>
      </c>
      <c r="I51" t="s">
        <v>27</v>
      </c>
      <c r="J51">
        <v>2473</v>
      </c>
      <c r="K51" t="s">
        <v>157</v>
      </c>
      <c r="L51">
        <v>247312</v>
      </c>
      <c r="M51" t="s">
        <v>37</v>
      </c>
      <c r="N51">
        <v>24731213</v>
      </c>
      <c r="O51" t="s">
        <v>110</v>
      </c>
      <c r="P51">
        <v>200921334</v>
      </c>
      <c r="Q51" t="s">
        <v>111</v>
      </c>
      <c r="R51">
        <v>477030872</v>
      </c>
      <c r="S51">
        <v>3</v>
      </c>
      <c r="T51" t="s">
        <v>165</v>
      </c>
      <c r="U51" s="1">
        <v>23994</v>
      </c>
      <c r="V51" t="s">
        <v>164</v>
      </c>
      <c r="W51" s="1">
        <v>41155</v>
      </c>
      <c r="Y51" s="1">
        <v>41155</v>
      </c>
      <c r="Z51" t="s">
        <v>160</v>
      </c>
      <c r="AA51">
        <v>7</v>
      </c>
      <c r="AB51" t="s">
        <v>170</v>
      </c>
      <c r="AC51" t="s">
        <v>162</v>
      </c>
      <c r="AD51" s="120">
        <v>9486169209001</v>
      </c>
      <c r="AE51">
        <v>9486169285008</v>
      </c>
      <c r="AF51">
        <v>4122</v>
      </c>
      <c r="AG51" t="s">
        <v>61</v>
      </c>
      <c r="AH51">
        <v>1</v>
      </c>
      <c r="AI51" t="s">
        <v>32</v>
      </c>
      <c r="AJ51" s="1">
        <v>44318</v>
      </c>
      <c r="AK51" s="123">
        <v>44318.9600347222</v>
      </c>
      <c r="AL51" t="s">
        <v>55</v>
      </c>
      <c r="AM51" t="s">
        <v>173</v>
      </c>
      <c r="AN51">
        <v>226796108</v>
      </c>
      <c r="AO51">
        <v>1084826165</v>
      </c>
      <c r="AP51">
        <v>226796108</v>
      </c>
      <c r="AQ51">
        <v>1084826165</v>
      </c>
      <c r="AR51" s="1">
        <v>33941</v>
      </c>
      <c r="AS51" s="1">
        <v>33941</v>
      </c>
      <c r="AT51" t="s">
        <v>164</v>
      </c>
      <c r="AU51" t="s">
        <v>164</v>
      </c>
      <c r="AV51">
        <v>63.8</v>
      </c>
      <c r="AW51">
        <v>4054000</v>
      </c>
      <c r="AX51">
        <v>27.901172703</v>
      </c>
      <c r="AY51">
        <v>319</v>
      </c>
      <c r="AZ51">
        <v>319</v>
      </c>
      <c r="BA51" s="123">
        <v>44318.9600231481</v>
      </c>
      <c r="BB51" t="s">
        <v>57</v>
      </c>
      <c r="BD51">
        <f>TEXT(AJ:AJ,"yyyymmdd")*1</f>
        <v>20210502</v>
      </c>
      <c r="BE51">
        <f>IF(AX:AX&gt;=3000,1,0)</f>
        <v>0</v>
      </c>
    </row>
    <row r="52" hidden="1" spans="1:57">
      <c r="A52" t="s">
        <v>153</v>
      </c>
      <c r="B52">
        <v>119</v>
      </c>
      <c r="C52" t="s">
        <v>154</v>
      </c>
      <c r="D52">
        <v>11901</v>
      </c>
      <c r="E52" t="s">
        <v>155</v>
      </c>
      <c r="F52">
        <v>1190101</v>
      </c>
      <c r="G52" t="s">
        <v>27</v>
      </c>
      <c r="H52">
        <v>119010101</v>
      </c>
      <c r="I52" t="s">
        <v>27</v>
      </c>
      <c r="J52">
        <v>2473</v>
      </c>
      <c r="K52" t="s">
        <v>157</v>
      </c>
      <c r="L52">
        <v>247312</v>
      </c>
      <c r="M52" t="s">
        <v>37</v>
      </c>
      <c r="N52">
        <v>24731201</v>
      </c>
      <c r="O52" t="s">
        <v>38</v>
      </c>
      <c r="P52">
        <v>7414724</v>
      </c>
      <c r="Q52" t="s">
        <v>39</v>
      </c>
      <c r="R52">
        <v>68852502</v>
      </c>
      <c r="S52">
        <v>5</v>
      </c>
      <c r="T52" t="s">
        <v>167</v>
      </c>
      <c r="U52" s="1">
        <v>24535</v>
      </c>
      <c r="V52" t="s">
        <v>159</v>
      </c>
      <c r="W52" s="1">
        <v>38687</v>
      </c>
      <c r="Y52" s="1"/>
      <c r="Z52" t="s">
        <v>160</v>
      </c>
      <c r="AA52">
        <v>4</v>
      </c>
      <c r="AB52" t="s">
        <v>161</v>
      </c>
      <c r="AC52" t="s">
        <v>162</v>
      </c>
      <c r="AD52" s="120">
        <v>6173088725001</v>
      </c>
      <c r="AF52">
        <v>4124</v>
      </c>
      <c r="AG52" t="s">
        <v>40</v>
      </c>
      <c r="AH52">
        <v>1</v>
      </c>
      <c r="AI52" t="s">
        <v>32</v>
      </c>
      <c r="AJ52" s="123">
        <v>44326.7046875</v>
      </c>
      <c r="AK52" s="123"/>
      <c r="AL52" t="s">
        <v>41</v>
      </c>
      <c r="AM52" t="s">
        <v>173</v>
      </c>
      <c r="AN52">
        <v>244045702</v>
      </c>
      <c r="AO52">
        <v>1127680468</v>
      </c>
      <c r="AP52">
        <v>244045921</v>
      </c>
      <c r="AQ52">
        <v>1127695021</v>
      </c>
      <c r="AR52" s="1">
        <v>34866</v>
      </c>
      <c r="AS52" s="1">
        <v>41476</v>
      </c>
      <c r="AT52" t="s">
        <v>159</v>
      </c>
      <c r="AU52" t="s">
        <v>164</v>
      </c>
      <c r="AW52">
        <v>0</v>
      </c>
      <c r="AX52">
        <v>4.551695484</v>
      </c>
      <c r="AY52">
        <v>282</v>
      </c>
      <c r="AZ52">
        <v>282</v>
      </c>
      <c r="BA52" s="123"/>
      <c r="BD52">
        <f>TEXT(AJ:AJ,"yyyymmdd")*1</f>
        <v>20210510</v>
      </c>
      <c r="BE52">
        <f>IF(AX:AX&gt;=3000,1,0)</f>
        <v>0</v>
      </c>
    </row>
    <row r="53" hidden="1" spans="1:57">
      <c r="A53" t="s">
        <v>153</v>
      </c>
      <c r="B53">
        <v>119</v>
      </c>
      <c r="C53" t="s">
        <v>154</v>
      </c>
      <c r="D53">
        <v>11901</v>
      </c>
      <c r="E53" t="s">
        <v>155</v>
      </c>
      <c r="F53">
        <v>1190102</v>
      </c>
      <c r="G53" t="s">
        <v>48</v>
      </c>
      <c r="H53">
        <v>119010201</v>
      </c>
      <c r="I53" t="s">
        <v>48</v>
      </c>
      <c r="J53">
        <v>2473</v>
      </c>
      <c r="K53" t="s">
        <v>157</v>
      </c>
      <c r="L53">
        <v>247302</v>
      </c>
      <c r="M53" t="s">
        <v>49</v>
      </c>
      <c r="N53">
        <v>24730201</v>
      </c>
      <c r="O53" t="s">
        <v>50</v>
      </c>
      <c r="P53">
        <v>800206409</v>
      </c>
      <c r="Q53" t="s">
        <v>51</v>
      </c>
      <c r="R53">
        <v>5212998502</v>
      </c>
      <c r="S53">
        <v>10</v>
      </c>
      <c r="T53" t="s">
        <v>174</v>
      </c>
      <c r="U53" s="1">
        <v>32853</v>
      </c>
      <c r="V53" t="s">
        <v>159</v>
      </c>
      <c r="W53" s="1">
        <v>42593</v>
      </c>
      <c r="Y53" s="1">
        <v>42593</v>
      </c>
      <c r="Z53" t="s">
        <v>160</v>
      </c>
      <c r="AA53">
        <v>4</v>
      </c>
      <c r="AB53" t="s">
        <v>161</v>
      </c>
      <c r="AC53" t="s">
        <v>162</v>
      </c>
      <c r="AD53" s="120">
        <v>6171706149001</v>
      </c>
      <c r="AF53">
        <v>4124</v>
      </c>
      <c r="AG53" t="s">
        <v>40</v>
      </c>
      <c r="AH53">
        <v>1</v>
      </c>
      <c r="AI53" t="s">
        <v>32</v>
      </c>
      <c r="AJ53" s="1">
        <v>44326.5097222222</v>
      </c>
      <c r="AK53" s="123"/>
      <c r="AL53" t="s">
        <v>41</v>
      </c>
      <c r="AM53" t="s">
        <v>173</v>
      </c>
      <c r="AN53">
        <v>230546989</v>
      </c>
      <c r="AO53">
        <v>1091642586</v>
      </c>
      <c r="AP53">
        <v>250380496</v>
      </c>
      <c r="AQ53">
        <v>1149631827</v>
      </c>
      <c r="AR53" s="1">
        <v>31108</v>
      </c>
      <c r="AS53" s="1">
        <v>40462</v>
      </c>
      <c r="AT53" t="s">
        <v>159</v>
      </c>
      <c r="AU53" t="s">
        <v>164</v>
      </c>
      <c r="AW53">
        <v>0</v>
      </c>
      <c r="AX53">
        <v>4.551695484</v>
      </c>
      <c r="AY53">
        <v>282</v>
      </c>
      <c r="AZ53">
        <v>282</v>
      </c>
      <c r="BA53" s="123"/>
      <c r="BD53">
        <f>TEXT(AJ:AJ,"yyyymmdd")*1</f>
        <v>20210510</v>
      </c>
      <c r="BE53">
        <f>IF(AX:AX&gt;=3000,1,0)</f>
        <v>0</v>
      </c>
    </row>
    <row r="54" hidden="1" spans="1:57">
      <c r="A54" t="s">
        <v>153</v>
      </c>
      <c r="B54">
        <v>119</v>
      </c>
      <c r="C54" t="s">
        <v>154</v>
      </c>
      <c r="D54">
        <v>11901</v>
      </c>
      <c r="E54" t="s">
        <v>155</v>
      </c>
      <c r="F54">
        <v>1190102</v>
      </c>
      <c r="G54" t="s">
        <v>48</v>
      </c>
      <c r="H54">
        <v>119010201</v>
      </c>
      <c r="I54" t="s">
        <v>48</v>
      </c>
      <c r="J54">
        <v>2473</v>
      </c>
      <c r="K54" t="s">
        <v>157</v>
      </c>
      <c r="L54">
        <v>247302</v>
      </c>
      <c r="M54" t="s">
        <v>49</v>
      </c>
      <c r="N54">
        <v>24730201</v>
      </c>
      <c r="O54" t="s">
        <v>50</v>
      </c>
      <c r="P54">
        <v>800206409</v>
      </c>
      <c r="Q54" t="s">
        <v>51</v>
      </c>
      <c r="R54">
        <v>5212998502</v>
      </c>
      <c r="S54">
        <v>10</v>
      </c>
      <c r="T54" t="s">
        <v>174</v>
      </c>
      <c r="U54" s="1">
        <v>32853</v>
      </c>
      <c r="V54" t="s">
        <v>159</v>
      </c>
      <c r="W54" s="1">
        <v>42593</v>
      </c>
      <c r="Y54" s="1">
        <v>42593</v>
      </c>
      <c r="Z54" t="s">
        <v>160</v>
      </c>
      <c r="AA54">
        <v>4</v>
      </c>
      <c r="AB54" t="s">
        <v>161</v>
      </c>
      <c r="AC54" t="s">
        <v>162</v>
      </c>
      <c r="AD54" s="120">
        <v>6170963987001</v>
      </c>
      <c r="AE54">
        <v>6170963966008</v>
      </c>
      <c r="AF54">
        <v>4124</v>
      </c>
      <c r="AG54" t="s">
        <v>40</v>
      </c>
      <c r="AH54">
        <v>1</v>
      </c>
      <c r="AI54" t="s">
        <v>32</v>
      </c>
      <c r="AJ54" s="1">
        <v>44326.424525463</v>
      </c>
      <c r="AK54" s="123">
        <v>44326.6959490741</v>
      </c>
      <c r="AL54" t="s">
        <v>55</v>
      </c>
      <c r="AM54" t="s">
        <v>173</v>
      </c>
      <c r="AN54">
        <v>236741644</v>
      </c>
      <c r="AO54">
        <v>1104751329</v>
      </c>
      <c r="AP54">
        <v>236741645</v>
      </c>
      <c r="AQ54">
        <v>1104751330</v>
      </c>
      <c r="AR54" s="1">
        <v>32232</v>
      </c>
      <c r="AS54" s="1">
        <v>41412</v>
      </c>
      <c r="AT54" t="s">
        <v>159</v>
      </c>
      <c r="AU54" t="s">
        <v>164</v>
      </c>
      <c r="AW54">
        <v>0</v>
      </c>
      <c r="AX54">
        <v>4.551695484</v>
      </c>
      <c r="AY54">
        <v>282</v>
      </c>
      <c r="AZ54">
        <v>282</v>
      </c>
      <c r="BA54" s="123">
        <v>44326.6949074074</v>
      </c>
      <c r="BB54" t="s">
        <v>57</v>
      </c>
      <c r="BD54">
        <f>TEXT(AJ:AJ,"yyyymmdd")*1</f>
        <v>20210510</v>
      </c>
      <c r="BE54">
        <f>IF(AX:AX&gt;=3000,1,0)</f>
        <v>0</v>
      </c>
    </row>
    <row r="55" hidden="1" spans="1:57">
      <c r="A55" t="s">
        <v>153</v>
      </c>
      <c r="B55">
        <v>119</v>
      </c>
      <c r="C55" t="s">
        <v>154</v>
      </c>
      <c r="D55">
        <v>11901</v>
      </c>
      <c r="E55" t="s">
        <v>155</v>
      </c>
      <c r="F55">
        <v>1190100</v>
      </c>
      <c r="G55" t="s">
        <v>42</v>
      </c>
      <c r="H55">
        <v>119010000</v>
      </c>
      <c r="I55" t="s">
        <v>156</v>
      </c>
      <c r="J55">
        <v>2473</v>
      </c>
      <c r="K55" t="s">
        <v>157</v>
      </c>
      <c r="L55">
        <v>247320</v>
      </c>
      <c r="M55" t="s">
        <v>43</v>
      </c>
      <c r="N55">
        <v>24732003</v>
      </c>
      <c r="O55" t="s">
        <v>75</v>
      </c>
      <c r="P55">
        <v>800649369</v>
      </c>
      <c r="Q55" t="s">
        <v>76</v>
      </c>
      <c r="R55">
        <v>5671371552</v>
      </c>
      <c r="S55">
        <v>3</v>
      </c>
      <c r="T55" t="s">
        <v>165</v>
      </c>
      <c r="U55" s="1">
        <v>33188</v>
      </c>
      <c r="V55" t="s">
        <v>159</v>
      </c>
      <c r="W55" s="1">
        <v>43172</v>
      </c>
      <c r="Y55" s="1">
        <v>43172</v>
      </c>
      <c r="Z55" t="s">
        <v>160</v>
      </c>
      <c r="AA55">
        <v>4</v>
      </c>
      <c r="AB55" t="s">
        <v>161</v>
      </c>
      <c r="AC55" t="s">
        <v>162</v>
      </c>
      <c r="AD55" s="120">
        <v>6167281548001</v>
      </c>
      <c r="AF55">
        <v>4122</v>
      </c>
      <c r="AG55" t="s">
        <v>61</v>
      </c>
      <c r="AH55">
        <v>1</v>
      </c>
      <c r="AI55" t="s">
        <v>32</v>
      </c>
      <c r="AJ55" s="1">
        <v>44324.7934606482</v>
      </c>
      <c r="AK55" s="123"/>
      <c r="AL55" t="s">
        <v>41</v>
      </c>
      <c r="AM55" t="s">
        <v>173</v>
      </c>
      <c r="AN55">
        <v>249515055</v>
      </c>
      <c r="AO55">
        <v>1147360797</v>
      </c>
      <c r="AP55">
        <v>250063655</v>
      </c>
      <c r="AQ55">
        <v>1148916096</v>
      </c>
      <c r="AR55" s="1">
        <v>28043</v>
      </c>
      <c r="AS55" s="1">
        <v>36143</v>
      </c>
      <c r="AT55" t="s">
        <v>159</v>
      </c>
      <c r="AU55" t="s">
        <v>164</v>
      </c>
      <c r="AV55">
        <v>53.8</v>
      </c>
      <c r="AW55">
        <v>4054000</v>
      </c>
      <c r="AX55">
        <v>23.527947972</v>
      </c>
      <c r="AY55">
        <v>269</v>
      </c>
      <c r="AZ55">
        <v>269</v>
      </c>
      <c r="BA55" s="123"/>
      <c r="BD55">
        <f>TEXT(AJ:AJ,"yyyymmdd")*1</f>
        <v>20210508</v>
      </c>
      <c r="BE55">
        <f>IF(AX:AX&gt;=3000,1,0)</f>
        <v>0</v>
      </c>
    </row>
    <row r="56" hidden="1" spans="1:57">
      <c r="A56" t="s">
        <v>153</v>
      </c>
      <c r="B56">
        <v>119</v>
      </c>
      <c r="C56" t="s">
        <v>154</v>
      </c>
      <c r="D56">
        <v>11901</v>
      </c>
      <c r="E56" t="s">
        <v>155</v>
      </c>
      <c r="F56">
        <v>1190100</v>
      </c>
      <c r="G56" t="s">
        <v>42</v>
      </c>
      <c r="H56">
        <v>119010000</v>
      </c>
      <c r="I56" t="s">
        <v>156</v>
      </c>
      <c r="J56">
        <v>2473</v>
      </c>
      <c r="K56" t="s">
        <v>157</v>
      </c>
      <c r="L56">
        <v>247319</v>
      </c>
      <c r="M56" t="s">
        <v>66</v>
      </c>
      <c r="N56">
        <v>24731902</v>
      </c>
      <c r="O56" t="s">
        <v>67</v>
      </c>
      <c r="P56">
        <v>6141571</v>
      </c>
      <c r="Q56" t="s">
        <v>68</v>
      </c>
      <c r="R56">
        <v>55996582</v>
      </c>
      <c r="S56">
        <v>3</v>
      </c>
      <c r="T56" t="s">
        <v>165</v>
      </c>
      <c r="U56" s="1">
        <v>26640</v>
      </c>
      <c r="V56" t="s">
        <v>159</v>
      </c>
      <c r="W56" s="1">
        <v>38565</v>
      </c>
      <c r="Y56" s="1">
        <v>38565</v>
      </c>
      <c r="Z56" t="s">
        <v>160</v>
      </c>
      <c r="AA56">
        <v>4</v>
      </c>
      <c r="AB56" t="s">
        <v>161</v>
      </c>
      <c r="AC56" t="s">
        <v>162</v>
      </c>
      <c r="AD56" s="120">
        <v>6167027188001</v>
      </c>
      <c r="AF56">
        <v>4122</v>
      </c>
      <c r="AG56" t="s">
        <v>61</v>
      </c>
      <c r="AH56">
        <v>1</v>
      </c>
      <c r="AI56" t="s">
        <v>32</v>
      </c>
      <c r="AJ56" s="123">
        <v>44324.763599537</v>
      </c>
      <c r="AL56" t="s">
        <v>41</v>
      </c>
      <c r="AM56" t="s">
        <v>173</v>
      </c>
      <c r="AN56">
        <v>49620546</v>
      </c>
      <c r="AO56">
        <v>1019542615</v>
      </c>
      <c r="AP56">
        <v>201626826</v>
      </c>
      <c r="AQ56">
        <v>1018303903</v>
      </c>
      <c r="AR56" s="1">
        <v>27379</v>
      </c>
      <c r="AS56" s="1">
        <v>37741</v>
      </c>
      <c r="AT56" t="s">
        <v>159</v>
      </c>
      <c r="AU56" t="s">
        <v>164</v>
      </c>
      <c r="AV56">
        <v>39.8</v>
      </c>
      <c r="AW56">
        <v>4054000</v>
      </c>
      <c r="AX56">
        <v>17.405433749</v>
      </c>
      <c r="AY56">
        <v>199</v>
      </c>
      <c r="AZ56">
        <v>199</v>
      </c>
      <c r="BD56">
        <f>TEXT(AJ:AJ,"yyyymmdd")*1</f>
        <v>20210508</v>
      </c>
      <c r="BE56">
        <f>IF(AX:AX&gt;=3000,1,0)</f>
        <v>0</v>
      </c>
    </row>
    <row r="57" hidden="1" spans="1:57">
      <c r="A57" t="s">
        <v>153</v>
      </c>
      <c r="B57">
        <v>119</v>
      </c>
      <c r="C57" t="s">
        <v>154</v>
      </c>
      <c r="D57">
        <v>11901</v>
      </c>
      <c r="E57" t="s">
        <v>155</v>
      </c>
      <c r="F57">
        <v>1190100</v>
      </c>
      <c r="G57" t="s">
        <v>42</v>
      </c>
      <c r="H57">
        <v>119010000</v>
      </c>
      <c r="I57" t="s">
        <v>156</v>
      </c>
      <c r="J57">
        <v>2473</v>
      </c>
      <c r="K57" t="s">
        <v>157</v>
      </c>
      <c r="L57">
        <v>247321</v>
      </c>
      <c r="M57" t="s">
        <v>62</v>
      </c>
      <c r="N57">
        <v>24732102</v>
      </c>
      <c r="O57" t="s">
        <v>108</v>
      </c>
      <c r="P57">
        <v>800503126</v>
      </c>
      <c r="Q57" t="s">
        <v>109</v>
      </c>
      <c r="R57">
        <v>5503363952</v>
      </c>
      <c r="S57">
        <v>2</v>
      </c>
      <c r="T57" t="s">
        <v>168</v>
      </c>
      <c r="U57" s="1">
        <v>28095</v>
      </c>
      <c r="V57" t="s">
        <v>159</v>
      </c>
      <c r="W57" s="1">
        <v>42930</v>
      </c>
      <c r="Y57" s="1">
        <v>42930</v>
      </c>
      <c r="Z57" t="s">
        <v>160</v>
      </c>
      <c r="AA57">
        <v>5</v>
      </c>
      <c r="AB57" t="s">
        <v>171</v>
      </c>
      <c r="AC57" t="s">
        <v>162</v>
      </c>
      <c r="AD57" s="120">
        <v>9486233976001</v>
      </c>
      <c r="AE57">
        <v>9486233955008</v>
      </c>
      <c r="AF57">
        <v>4122</v>
      </c>
      <c r="AG57" t="s">
        <v>61</v>
      </c>
      <c r="AH57">
        <v>1</v>
      </c>
      <c r="AI57" t="s">
        <v>32</v>
      </c>
      <c r="AJ57" s="1">
        <v>44319</v>
      </c>
      <c r="AK57" s="123">
        <v>44319.510625</v>
      </c>
      <c r="AL57" t="s">
        <v>55</v>
      </c>
      <c r="AM57" t="s">
        <v>173</v>
      </c>
      <c r="AN57">
        <v>41753631</v>
      </c>
      <c r="AO57">
        <v>1029006500</v>
      </c>
      <c r="AP57">
        <v>41753632</v>
      </c>
      <c r="AQ57">
        <v>1020075917</v>
      </c>
      <c r="AR57" s="1">
        <v>30050</v>
      </c>
      <c r="AS57" s="1">
        <v>40255</v>
      </c>
      <c r="AT57" t="s">
        <v>159</v>
      </c>
      <c r="AU57" t="s">
        <v>164</v>
      </c>
      <c r="AV57">
        <v>31.4</v>
      </c>
      <c r="AW57">
        <v>4054000</v>
      </c>
      <c r="AX57">
        <v>13.731925415</v>
      </c>
      <c r="AY57">
        <v>157</v>
      </c>
      <c r="AZ57">
        <v>157</v>
      </c>
      <c r="BA57" s="123">
        <v>44319.5106134259</v>
      </c>
      <c r="BB57" t="s">
        <v>57</v>
      </c>
      <c r="BD57">
        <f>TEXT(AJ:AJ,"yyyymmdd")*1</f>
        <v>20210503</v>
      </c>
      <c r="BE57">
        <f>IF(AX:AX&gt;=3000,1,0)</f>
        <v>0</v>
      </c>
    </row>
    <row r="58" hidden="1" spans="1:57">
      <c r="A58" t="s">
        <v>153</v>
      </c>
      <c r="B58">
        <v>119</v>
      </c>
      <c r="C58" t="s">
        <v>154</v>
      </c>
      <c r="D58">
        <v>11901</v>
      </c>
      <c r="E58" t="s">
        <v>155</v>
      </c>
      <c r="F58">
        <v>1190101</v>
      </c>
      <c r="G58" t="s">
        <v>27</v>
      </c>
      <c r="H58">
        <v>119010101</v>
      </c>
      <c r="I58" t="s">
        <v>27</v>
      </c>
      <c r="J58">
        <v>2225</v>
      </c>
      <c r="K58" t="s">
        <v>169</v>
      </c>
      <c r="L58">
        <v>222522</v>
      </c>
      <c r="M58" t="s">
        <v>100</v>
      </c>
      <c r="N58">
        <v>22252201</v>
      </c>
      <c r="O58" t="s">
        <v>101</v>
      </c>
      <c r="P58">
        <v>201655854</v>
      </c>
      <c r="Q58" t="s">
        <v>107</v>
      </c>
      <c r="R58">
        <v>484039162</v>
      </c>
      <c r="S58">
        <v>2</v>
      </c>
      <c r="T58" t="s">
        <v>168</v>
      </c>
      <c r="U58" s="1">
        <v>23870</v>
      </c>
      <c r="V58" t="s">
        <v>159</v>
      </c>
      <c r="W58" s="1">
        <v>41234</v>
      </c>
      <c r="Y58" s="1">
        <v>41234</v>
      </c>
      <c r="Z58" t="s">
        <v>160</v>
      </c>
      <c r="AA58">
        <v>7</v>
      </c>
      <c r="AB58" t="s">
        <v>170</v>
      </c>
      <c r="AC58" t="s">
        <v>162</v>
      </c>
      <c r="AD58" s="120">
        <v>9486306517001</v>
      </c>
      <c r="AE58">
        <v>9486306593008</v>
      </c>
      <c r="AF58">
        <v>4128</v>
      </c>
      <c r="AG58" t="s">
        <v>46</v>
      </c>
      <c r="AH58">
        <v>1</v>
      </c>
      <c r="AI58" t="s">
        <v>32</v>
      </c>
      <c r="AJ58" s="1">
        <v>44319</v>
      </c>
      <c r="AK58" s="123">
        <v>44319.8869328704</v>
      </c>
      <c r="AL58" t="s">
        <v>55</v>
      </c>
      <c r="AM58" t="s">
        <v>173</v>
      </c>
      <c r="AN58">
        <v>201713714</v>
      </c>
      <c r="AO58">
        <v>1012234005</v>
      </c>
      <c r="AP58">
        <v>201713715</v>
      </c>
      <c r="AQ58">
        <v>1000754259</v>
      </c>
      <c r="AR58" s="1">
        <v>23870</v>
      </c>
      <c r="AS58" s="1">
        <v>23129</v>
      </c>
      <c r="AT58" t="s">
        <v>159</v>
      </c>
      <c r="AU58" t="s">
        <v>164</v>
      </c>
      <c r="AV58">
        <v>14.94</v>
      </c>
      <c r="AW58">
        <v>1000000</v>
      </c>
      <c r="AX58">
        <v>5.179438832</v>
      </c>
      <c r="AY58">
        <v>149.4</v>
      </c>
      <c r="AZ58">
        <v>149.4</v>
      </c>
      <c r="BA58" s="123">
        <v>44319.8869212963</v>
      </c>
      <c r="BB58" t="s">
        <v>57</v>
      </c>
      <c r="BD58">
        <f>TEXT(AJ:AJ,"yyyymmdd")*1</f>
        <v>20210503</v>
      </c>
      <c r="BE58">
        <f>IF(AX:AX&gt;=3000,1,0)</f>
        <v>0</v>
      </c>
    </row>
    <row r="59" hidden="1" spans="1:57">
      <c r="A59" t="s">
        <v>153</v>
      </c>
      <c r="B59">
        <v>119</v>
      </c>
      <c r="C59" t="s">
        <v>154</v>
      </c>
      <c r="D59">
        <v>11901</v>
      </c>
      <c r="E59" t="s">
        <v>155</v>
      </c>
      <c r="F59">
        <v>1190100</v>
      </c>
      <c r="G59" t="s">
        <v>42</v>
      </c>
      <c r="H59">
        <v>119010000</v>
      </c>
      <c r="I59" t="s">
        <v>156</v>
      </c>
      <c r="J59">
        <v>2473</v>
      </c>
      <c r="K59" t="s">
        <v>157</v>
      </c>
      <c r="L59">
        <v>247321</v>
      </c>
      <c r="M59" t="s">
        <v>62</v>
      </c>
      <c r="N59">
        <v>24732108</v>
      </c>
      <c r="O59" t="s">
        <v>92</v>
      </c>
      <c r="P59">
        <v>801558017</v>
      </c>
      <c r="Q59" t="s">
        <v>93</v>
      </c>
      <c r="R59">
        <v>6559818092</v>
      </c>
      <c r="S59">
        <v>1</v>
      </c>
      <c r="T59" t="s">
        <v>158</v>
      </c>
      <c r="U59" s="1">
        <v>34673</v>
      </c>
      <c r="V59" t="s">
        <v>164</v>
      </c>
      <c r="W59" s="1">
        <v>44265</v>
      </c>
      <c r="Y59" s="1">
        <v>44265</v>
      </c>
      <c r="Z59" t="s">
        <v>160</v>
      </c>
      <c r="AA59">
        <v>4</v>
      </c>
      <c r="AB59" t="s">
        <v>161</v>
      </c>
      <c r="AC59" t="s">
        <v>162</v>
      </c>
      <c r="AD59" s="120">
        <v>7945451924001</v>
      </c>
      <c r="AE59">
        <v>7945451903008</v>
      </c>
      <c r="AF59">
        <v>4011</v>
      </c>
      <c r="AG59" t="s">
        <v>84</v>
      </c>
      <c r="AH59">
        <v>0</v>
      </c>
      <c r="AI59" t="s">
        <v>32</v>
      </c>
      <c r="AJ59" s="1">
        <v>44323.8308680556</v>
      </c>
      <c r="AK59" s="123">
        <v>44323.8309953704</v>
      </c>
      <c r="AL59" t="s">
        <v>55</v>
      </c>
      <c r="AM59" t="s">
        <v>163</v>
      </c>
      <c r="AN59">
        <v>261737726</v>
      </c>
      <c r="AO59">
        <v>1185158397</v>
      </c>
      <c r="AP59">
        <v>261737726</v>
      </c>
      <c r="AQ59">
        <v>1185158397</v>
      </c>
      <c r="AR59" s="1">
        <v>28299</v>
      </c>
      <c r="AS59" s="1">
        <v>28299</v>
      </c>
      <c r="AT59" t="s">
        <v>159</v>
      </c>
      <c r="AU59" t="s">
        <v>159</v>
      </c>
      <c r="AV59">
        <v>0</v>
      </c>
      <c r="AW59">
        <v>5100</v>
      </c>
      <c r="AX59">
        <v>31.403201733</v>
      </c>
      <c r="AY59">
        <v>88</v>
      </c>
      <c r="AZ59">
        <v>88</v>
      </c>
      <c r="BA59" s="123">
        <v>44323.8309837963</v>
      </c>
      <c r="BB59" t="s">
        <v>57</v>
      </c>
      <c r="BD59">
        <f>TEXT(AJ:AJ,"yyyymmdd")*1</f>
        <v>20210507</v>
      </c>
      <c r="BE59">
        <f>IF(AX:AX&gt;=3000,1,0)</f>
        <v>0</v>
      </c>
    </row>
    <row r="60" hidden="1" spans="1:57">
      <c r="A60" t="s">
        <v>153</v>
      </c>
      <c r="B60">
        <v>119</v>
      </c>
      <c r="C60" t="s">
        <v>154</v>
      </c>
      <c r="D60">
        <v>11901</v>
      </c>
      <c r="E60" t="s">
        <v>155</v>
      </c>
      <c r="F60">
        <v>1190101</v>
      </c>
      <c r="G60" t="s">
        <v>27</v>
      </c>
      <c r="H60">
        <v>119010101</v>
      </c>
      <c r="I60" t="s">
        <v>27</v>
      </c>
      <c r="J60">
        <v>2225</v>
      </c>
      <c r="K60" t="s">
        <v>169</v>
      </c>
      <c r="L60">
        <v>222523</v>
      </c>
      <c r="M60" t="s">
        <v>28</v>
      </c>
      <c r="N60">
        <v>22252301</v>
      </c>
      <c r="O60" t="s">
        <v>29</v>
      </c>
      <c r="P60">
        <v>801552747</v>
      </c>
      <c r="Q60" t="s">
        <v>79</v>
      </c>
      <c r="R60">
        <v>6554611872</v>
      </c>
      <c r="S60">
        <v>1</v>
      </c>
      <c r="T60" t="s">
        <v>158</v>
      </c>
      <c r="U60" s="1">
        <v>31931</v>
      </c>
      <c r="V60" t="s">
        <v>164</v>
      </c>
      <c r="W60" s="1">
        <v>44264</v>
      </c>
      <c r="Y60" s="1">
        <v>44264</v>
      </c>
      <c r="Z60" t="s">
        <v>160</v>
      </c>
      <c r="AA60">
        <v>4</v>
      </c>
      <c r="AB60" t="s">
        <v>161</v>
      </c>
      <c r="AC60" t="s">
        <v>162</v>
      </c>
      <c r="AD60" s="120">
        <v>7945660255001</v>
      </c>
      <c r="AF60">
        <v>4126</v>
      </c>
      <c r="AG60" t="s">
        <v>31</v>
      </c>
      <c r="AH60">
        <v>20</v>
      </c>
      <c r="AI60" t="s">
        <v>32</v>
      </c>
      <c r="AJ60" s="1">
        <v>44324.731087963</v>
      </c>
      <c r="AK60" s="123"/>
      <c r="AL60" t="s">
        <v>80</v>
      </c>
      <c r="AM60" t="s">
        <v>163</v>
      </c>
      <c r="AN60">
        <v>263961703</v>
      </c>
      <c r="AP60">
        <v>263961704</v>
      </c>
      <c r="AR60" s="1">
        <v>29210</v>
      </c>
      <c r="AS60" s="1">
        <v>39748</v>
      </c>
      <c r="AT60" t="s">
        <v>164</v>
      </c>
      <c r="AU60" t="s">
        <v>164</v>
      </c>
      <c r="AW60">
        <v>0</v>
      </c>
      <c r="AX60">
        <v>0</v>
      </c>
      <c r="AY60">
        <v>0</v>
      </c>
      <c r="AZ60">
        <v>0</v>
      </c>
      <c r="BA60" s="123"/>
      <c r="BD60">
        <f>TEXT(AJ:AJ,"yyyymmdd")*1</f>
        <v>20210508</v>
      </c>
      <c r="BE60">
        <f>IF(AX:AX&gt;=3000,1,0)</f>
        <v>0</v>
      </c>
    </row>
    <row r="61" hidden="1" spans="1:57">
      <c r="A61" t="s">
        <v>153</v>
      </c>
      <c r="B61">
        <v>119</v>
      </c>
      <c r="C61" t="s">
        <v>154</v>
      </c>
      <c r="D61">
        <v>11901</v>
      </c>
      <c r="E61" t="s">
        <v>155</v>
      </c>
      <c r="F61">
        <v>1190101</v>
      </c>
      <c r="G61" t="s">
        <v>27</v>
      </c>
      <c r="H61">
        <v>119010101</v>
      </c>
      <c r="I61" t="s">
        <v>27</v>
      </c>
      <c r="J61">
        <v>2225</v>
      </c>
      <c r="K61" t="s">
        <v>169</v>
      </c>
      <c r="L61">
        <v>222522</v>
      </c>
      <c r="M61" t="s">
        <v>100</v>
      </c>
      <c r="N61">
        <v>22252201</v>
      </c>
      <c r="O61" t="s">
        <v>101</v>
      </c>
      <c r="P61">
        <v>801549201</v>
      </c>
      <c r="Q61" t="s">
        <v>106</v>
      </c>
      <c r="R61">
        <v>6550456242</v>
      </c>
      <c r="S61">
        <v>1</v>
      </c>
      <c r="T61" t="s">
        <v>158</v>
      </c>
      <c r="U61" s="1">
        <v>31826</v>
      </c>
      <c r="V61" t="s">
        <v>159</v>
      </c>
      <c r="W61" s="1">
        <v>44260</v>
      </c>
      <c r="Y61" s="1">
        <v>44260</v>
      </c>
      <c r="Z61" t="s">
        <v>160</v>
      </c>
      <c r="AA61">
        <v>8</v>
      </c>
      <c r="AB61" t="s">
        <v>175</v>
      </c>
      <c r="AC61" t="s">
        <v>162</v>
      </c>
      <c r="AD61" s="120">
        <v>7944732402001</v>
      </c>
      <c r="AF61">
        <v>4112</v>
      </c>
      <c r="AG61" t="s">
        <v>69</v>
      </c>
      <c r="AH61">
        <v>20</v>
      </c>
      <c r="AI61" t="s">
        <v>103</v>
      </c>
      <c r="AJ61" s="1">
        <v>44321.0041898148</v>
      </c>
      <c r="AK61" s="123"/>
      <c r="AL61" t="s">
        <v>80</v>
      </c>
      <c r="AM61" t="s">
        <v>163</v>
      </c>
      <c r="AN61">
        <v>263877491</v>
      </c>
      <c r="AO61">
        <v>1189529808</v>
      </c>
      <c r="AP61">
        <v>263877491</v>
      </c>
      <c r="AQ61">
        <v>1189529808</v>
      </c>
      <c r="AR61" s="1">
        <v>33929</v>
      </c>
      <c r="AS61" s="1">
        <v>33929</v>
      </c>
      <c r="AT61" t="s">
        <v>164</v>
      </c>
      <c r="AU61" t="s">
        <v>164</v>
      </c>
      <c r="AV61">
        <v>2074.8</v>
      </c>
      <c r="AW61">
        <v>0</v>
      </c>
      <c r="AX61">
        <v>0</v>
      </c>
      <c r="AY61">
        <v>0</v>
      </c>
      <c r="AZ61">
        <v>0</v>
      </c>
      <c r="BA61" s="123"/>
      <c r="BD61">
        <f>TEXT(AJ:AJ,"yyyymmdd")*1</f>
        <v>20210505</v>
      </c>
      <c r="BE61">
        <f>IF(AX:AX&gt;=3000,1,0)</f>
        <v>0</v>
      </c>
    </row>
    <row r="62" hidden="1" spans="1:57">
      <c r="A62" t="s">
        <v>153</v>
      </c>
      <c r="B62">
        <v>119</v>
      </c>
      <c r="C62" t="s">
        <v>154</v>
      </c>
      <c r="D62">
        <v>11901</v>
      </c>
      <c r="E62" t="s">
        <v>155</v>
      </c>
      <c r="F62">
        <v>1190100</v>
      </c>
      <c r="G62" t="s">
        <v>42</v>
      </c>
      <c r="H62">
        <v>119010000</v>
      </c>
      <c r="I62" t="s">
        <v>156</v>
      </c>
      <c r="J62">
        <v>2473</v>
      </c>
      <c r="K62" t="s">
        <v>157</v>
      </c>
      <c r="L62">
        <v>247321</v>
      </c>
      <c r="M62" t="s">
        <v>62</v>
      </c>
      <c r="N62">
        <v>24732105</v>
      </c>
      <c r="O62" t="s">
        <v>72</v>
      </c>
      <c r="P62">
        <v>801485271</v>
      </c>
      <c r="Q62" t="s">
        <v>73</v>
      </c>
      <c r="R62">
        <v>6487584872</v>
      </c>
      <c r="S62">
        <v>2</v>
      </c>
      <c r="T62" t="s">
        <v>168</v>
      </c>
      <c r="U62" s="1">
        <v>32256</v>
      </c>
      <c r="V62" t="s">
        <v>159</v>
      </c>
      <c r="W62" s="1">
        <v>44098</v>
      </c>
      <c r="Y62" s="1">
        <v>44098</v>
      </c>
      <c r="Z62" t="s">
        <v>160</v>
      </c>
      <c r="AA62">
        <v>4</v>
      </c>
      <c r="AB62" t="s">
        <v>161</v>
      </c>
      <c r="AC62" t="s">
        <v>162</v>
      </c>
      <c r="AD62" s="120">
        <v>7944681207001</v>
      </c>
      <c r="AF62">
        <v>4122</v>
      </c>
      <c r="AG62" t="s">
        <v>61</v>
      </c>
      <c r="AH62">
        <v>1</v>
      </c>
      <c r="AI62" t="s">
        <v>32</v>
      </c>
      <c r="AJ62" s="123">
        <v>44320.6918287037</v>
      </c>
      <c r="AL62" t="s">
        <v>80</v>
      </c>
      <c r="AM62" t="s">
        <v>163</v>
      </c>
      <c r="AN62">
        <v>237455378</v>
      </c>
      <c r="AO62">
        <v>1107148610</v>
      </c>
      <c r="AP62">
        <v>241405278</v>
      </c>
      <c r="AQ62">
        <v>1118222834</v>
      </c>
      <c r="AR62" s="1">
        <v>27523</v>
      </c>
      <c r="AS62" s="1">
        <v>37074</v>
      </c>
      <c r="AT62" t="s">
        <v>159</v>
      </c>
      <c r="AU62" t="s">
        <v>164</v>
      </c>
      <c r="AV62">
        <v>2482.6</v>
      </c>
      <c r="AW62">
        <v>0</v>
      </c>
      <c r="AX62">
        <v>0</v>
      </c>
      <c r="AY62">
        <v>0</v>
      </c>
      <c r="AZ62">
        <v>0</v>
      </c>
      <c r="BA62" s="123">
        <v>44320.6923611111</v>
      </c>
      <c r="BD62">
        <f>TEXT(AJ:AJ,"yyyymmdd")*1</f>
        <v>20210504</v>
      </c>
      <c r="BE62">
        <f>IF(AX:AX&gt;=3000,1,0)</f>
        <v>0</v>
      </c>
    </row>
    <row r="63" hidden="1" spans="1:57">
      <c r="A63" t="s">
        <v>153</v>
      </c>
      <c r="B63">
        <v>119</v>
      </c>
      <c r="C63" t="s">
        <v>154</v>
      </c>
      <c r="D63">
        <v>11901</v>
      </c>
      <c r="E63" t="s">
        <v>155</v>
      </c>
      <c r="F63">
        <v>1190100</v>
      </c>
      <c r="G63" t="s">
        <v>42</v>
      </c>
      <c r="H63">
        <v>119010000</v>
      </c>
      <c r="I63" t="s">
        <v>156</v>
      </c>
      <c r="J63">
        <v>2473</v>
      </c>
      <c r="K63" t="s">
        <v>157</v>
      </c>
      <c r="L63">
        <v>247320</v>
      </c>
      <c r="M63" t="s">
        <v>43</v>
      </c>
      <c r="N63">
        <v>24732003</v>
      </c>
      <c r="O63" t="s">
        <v>75</v>
      </c>
      <c r="P63">
        <v>800649369</v>
      </c>
      <c r="Q63" t="s">
        <v>76</v>
      </c>
      <c r="R63">
        <v>5671371552</v>
      </c>
      <c r="S63">
        <v>3</v>
      </c>
      <c r="T63" t="s">
        <v>165</v>
      </c>
      <c r="U63" s="1">
        <v>33188</v>
      </c>
      <c r="V63" t="s">
        <v>159</v>
      </c>
      <c r="W63" s="1">
        <v>43172</v>
      </c>
      <c r="Y63" s="1">
        <v>43172</v>
      </c>
      <c r="Z63" t="s">
        <v>160</v>
      </c>
      <c r="AA63">
        <v>4</v>
      </c>
      <c r="AB63" t="s">
        <v>161</v>
      </c>
      <c r="AC63" t="s">
        <v>162</v>
      </c>
      <c r="AD63" s="120">
        <v>6162360087001</v>
      </c>
      <c r="AF63">
        <v>4123</v>
      </c>
      <c r="AG63" t="s">
        <v>36</v>
      </c>
      <c r="AH63">
        <v>1</v>
      </c>
      <c r="AI63" t="s">
        <v>32</v>
      </c>
      <c r="AJ63" s="1">
        <v>44323.7729166667</v>
      </c>
      <c r="AK63" s="123"/>
      <c r="AL63" t="s">
        <v>80</v>
      </c>
      <c r="AM63" t="s">
        <v>173</v>
      </c>
      <c r="AN63">
        <v>243799501</v>
      </c>
      <c r="AO63">
        <v>1126721064</v>
      </c>
      <c r="AP63">
        <v>243799501</v>
      </c>
      <c r="AQ63">
        <v>1126721064</v>
      </c>
      <c r="AR63" s="1">
        <v>33382</v>
      </c>
      <c r="AS63" s="1">
        <v>33382</v>
      </c>
      <c r="AT63" t="s">
        <v>164</v>
      </c>
      <c r="AU63" t="s">
        <v>164</v>
      </c>
      <c r="AW63">
        <v>0</v>
      </c>
      <c r="AX63">
        <v>0</v>
      </c>
      <c r="AY63">
        <v>0</v>
      </c>
      <c r="AZ63">
        <v>0</v>
      </c>
      <c r="BA63" s="123"/>
      <c r="BD63">
        <f>TEXT(AJ:AJ,"yyyymmdd")*1</f>
        <v>20210507</v>
      </c>
      <c r="BE63">
        <f>IF(AX:AX&gt;=3000,1,0)</f>
        <v>0</v>
      </c>
    </row>
    <row r="64" hidden="1" spans="56:57">
      <c r="BD64">
        <f t="shared" ref="BD50:BD81" si="0">TEXT(AJ:AJ,"yyyymmdd")*1</f>
        <v>19000100</v>
      </c>
      <c r="BE64">
        <f>IF(AX:AX&gt;=3000,1,0)</f>
        <v>0</v>
      </c>
    </row>
    <row r="65" hidden="1" spans="56:57">
      <c r="BD65">
        <f t="shared" si="0"/>
        <v>19000100</v>
      </c>
      <c r="BE65">
        <f>IF(AX:AX&gt;=3000,1,0)</f>
        <v>0</v>
      </c>
    </row>
    <row r="66" hidden="1" spans="56:57">
      <c r="BD66">
        <f t="shared" si="0"/>
        <v>19000100</v>
      </c>
      <c r="BE66">
        <f>IF(AX:AX&gt;=3000,1,0)</f>
        <v>0</v>
      </c>
    </row>
    <row r="67" hidden="1" spans="56:57">
      <c r="BD67">
        <f t="shared" si="0"/>
        <v>19000100</v>
      </c>
      <c r="BE67">
        <f t="shared" ref="BE67:BE98" si="1">IF(AX:AX&gt;=3000,1,0)</f>
        <v>0</v>
      </c>
    </row>
    <row r="68" hidden="1" spans="56:57">
      <c r="BD68">
        <f t="shared" si="0"/>
        <v>19000100</v>
      </c>
      <c r="BE68">
        <f t="shared" si="1"/>
        <v>0</v>
      </c>
    </row>
    <row r="69" hidden="1" spans="56:57">
      <c r="BD69">
        <f t="shared" si="0"/>
        <v>19000100</v>
      </c>
      <c r="BE69">
        <f t="shared" si="1"/>
        <v>0</v>
      </c>
    </row>
    <row r="70" hidden="1" spans="56:57">
      <c r="BD70">
        <f t="shared" si="0"/>
        <v>19000100</v>
      </c>
      <c r="BE70">
        <f t="shared" si="1"/>
        <v>0</v>
      </c>
    </row>
    <row r="71" hidden="1" spans="56:57">
      <c r="BD71">
        <f t="shared" si="0"/>
        <v>19000100</v>
      </c>
      <c r="BE71">
        <f t="shared" si="1"/>
        <v>0</v>
      </c>
    </row>
    <row r="72" hidden="1" spans="56:57">
      <c r="BD72">
        <f t="shared" si="0"/>
        <v>19000100</v>
      </c>
      <c r="BE72">
        <f t="shared" si="1"/>
        <v>0</v>
      </c>
    </row>
    <row r="73" hidden="1" spans="56:57">
      <c r="BD73">
        <f t="shared" si="0"/>
        <v>19000100</v>
      </c>
      <c r="BE73">
        <f t="shared" si="1"/>
        <v>0</v>
      </c>
    </row>
    <row r="74" hidden="1" spans="56:57">
      <c r="BD74">
        <f t="shared" si="0"/>
        <v>19000100</v>
      </c>
      <c r="BE74">
        <f t="shared" si="1"/>
        <v>0</v>
      </c>
    </row>
    <row r="75" hidden="1" spans="56:57">
      <c r="BD75">
        <f t="shared" si="0"/>
        <v>19000100</v>
      </c>
      <c r="BE75">
        <f t="shared" si="1"/>
        <v>0</v>
      </c>
    </row>
    <row r="76" hidden="1" spans="56:57">
      <c r="BD76">
        <f t="shared" si="0"/>
        <v>19000100</v>
      </c>
      <c r="BE76">
        <f t="shared" si="1"/>
        <v>0</v>
      </c>
    </row>
    <row r="77" hidden="1" spans="56:57">
      <c r="BD77">
        <f t="shared" si="0"/>
        <v>19000100</v>
      </c>
      <c r="BE77">
        <f t="shared" si="1"/>
        <v>0</v>
      </c>
    </row>
    <row r="78" hidden="1" spans="56:57">
      <c r="BD78">
        <f t="shared" si="0"/>
        <v>19000100</v>
      </c>
      <c r="BE78">
        <f t="shared" si="1"/>
        <v>0</v>
      </c>
    </row>
    <row r="79" hidden="1" spans="56:57">
      <c r="BD79">
        <f t="shared" si="0"/>
        <v>19000100</v>
      </c>
      <c r="BE79">
        <f t="shared" si="1"/>
        <v>0</v>
      </c>
    </row>
    <row r="80" hidden="1" spans="56:57">
      <c r="BD80">
        <f t="shared" si="0"/>
        <v>19000100</v>
      </c>
      <c r="BE80">
        <f t="shared" si="1"/>
        <v>0</v>
      </c>
    </row>
    <row r="81" hidden="1" spans="56:57">
      <c r="BD81">
        <f t="shared" si="0"/>
        <v>19000100</v>
      </c>
      <c r="BE81">
        <f t="shared" si="1"/>
        <v>0</v>
      </c>
    </row>
    <row r="82" hidden="1" spans="56:57">
      <c r="BD82">
        <f t="shared" ref="BD82:BD109" si="2">TEXT(AJ:AJ,"yyyymmdd")*1</f>
        <v>19000100</v>
      </c>
      <c r="BE82">
        <f t="shared" si="1"/>
        <v>0</v>
      </c>
    </row>
    <row r="83" hidden="1" spans="56:57">
      <c r="BD83">
        <f t="shared" si="2"/>
        <v>19000100</v>
      </c>
      <c r="BE83">
        <f t="shared" si="1"/>
        <v>0</v>
      </c>
    </row>
    <row r="84" hidden="1" spans="56:57">
      <c r="BD84">
        <f t="shared" si="2"/>
        <v>19000100</v>
      </c>
      <c r="BE84">
        <f t="shared" si="1"/>
        <v>0</v>
      </c>
    </row>
    <row r="85" hidden="1" spans="56:57">
      <c r="BD85">
        <f t="shared" si="2"/>
        <v>19000100</v>
      </c>
      <c r="BE85">
        <f t="shared" si="1"/>
        <v>0</v>
      </c>
    </row>
    <row r="86" hidden="1" spans="56:57">
      <c r="BD86">
        <f t="shared" si="2"/>
        <v>19000100</v>
      </c>
      <c r="BE86">
        <f t="shared" si="1"/>
        <v>0</v>
      </c>
    </row>
    <row r="87" hidden="1" spans="56:57">
      <c r="BD87">
        <f t="shared" si="2"/>
        <v>19000100</v>
      </c>
      <c r="BE87">
        <f t="shared" si="1"/>
        <v>0</v>
      </c>
    </row>
    <row r="88" hidden="1" spans="56:57">
      <c r="BD88">
        <f t="shared" si="2"/>
        <v>19000100</v>
      </c>
      <c r="BE88">
        <f t="shared" si="1"/>
        <v>0</v>
      </c>
    </row>
    <row r="89" hidden="1" spans="56:57">
      <c r="BD89">
        <f t="shared" si="2"/>
        <v>19000100</v>
      </c>
      <c r="BE89">
        <f t="shared" si="1"/>
        <v>0</v>
      </c>
    </row>
    <row r="90" hidden="1" spans="56:57">
      <c r="BD90">
        <f t="shared" si="2"/>
        <v>19000100</v>
      </c>
      <c r="BE90">
        <f t="shared" si="1"/>
        <v>0</v>
      </c>
    </row>
    <row r="91" hidden="1" spans="56:57">
      <c r="BD91">
        <f t="shared" si="2"/>
        <v>19000100</v>
      </c>
      <c r="BE91">
        <f t="shared" si="1"/>
        <v>0</v>
      </c>
    </row>
    <row r="92" hidden="1" spans="56:57">
      <c r="BD92">
        <f t="shared" si="2"/>
        <v>19000100</v>
      </c>
      <c r="BE92">
        <f t="shared" si="1"/>
        <v>0</v>
      </c>
    </row>
    <row r="93" hidden="1" spans="56:57">
      <c r="BD93">
        <f t="shared" si="2"/>
        <v>19000100</v>
      </c>
      <c r="BE93">
        <f t="shared" si="1"/>
        <v>0</v>
      </c>
    </row>
    <row r="94" hidden="1" spans="56:57">
      <c r="BD94">
        <f t="shared" si="2"/>
        <v>19000100</v>
      </c>
      <c r="BE94">
        <f t="shared" si="1"/>
        <v>0</v>
      </c>
    </row>
    <row r="95" hidden="1" spans="56:57">
      <c r="BD95">
        <f t="shared" si="2"/>
        <v>19000100</v>
      </c>
      <c r="BE95">
        <f t="shared" si="1"/>
        <v>0</v>
      </c>
    </row>
    <row r="96" hidden="1" spans="56:57">
      <c r="BD96">
        <f t="shared" si="2"/>
        <v>19000100</v>
      </c>
      <c r="BE96">
        <f t="shared" si="1"/>
        <v>0</v>
      </c>
    </row>
    <row r="97" hidden="1" spans="56:57">
      <c r="BD97">
        <f t="shared" si="2"/>
        <v>19000100</v>
      </c>
      <c r="BE97">
        <f t="shared" si="1"/>
        <v>0</v>
      </c>
    </row>
    <row r="98" hidden="1" spans="56:57">
      <c r="BD98">
        <f t="shared" si="2"/>
        <v>19000100</v>
      </c>
      <c r="BE98">
        <f t="shared" si="1"/>
        <v>0</v>
      </c>
    </row>
    <row r="99" hidden="1" spans="56:57">
      <c r="BD99">
        <f t="shared" si="2"/>
        <v>19000100</v>
      </c>
      <c r="BE99">
        <f>IF(AX:AX&gt;=3000,1,0)</f>
        <v>0</v>
      </c>
    </row>
    <row r="100" hidden="1" spans="56:57">
      <c r="BD100">
        <f t="shared" si="2"/>
        <v>19000100</v>
      </c>
      <c r="BE100">
        <f>IF(AX:AX&gt;=3000,1,0)</f>
        <v>0</v>
      </c>
    </row>
    <row r="101" hidden="1" spans="56:57">
      <c r="BD101">
        <f t="shared" si="2"/>
        <v>19000100</v>
      </c>
      <c r="BE101">
        <f>IF(AX:AX&gt;=3000,1,0)</f>
        <v>0</v>
      </c>
    </row>
    <row r="102" hidden="1" spans="56:57">
      <c r="BD102">
        <f t="shared" si="2"/>
        <v>19000100</v>
      </c>
      <c r="BE102">
        <f>IF(AX:AX&gt;=3000,1,0)</f>
        <v>0</v>
      </c>
    </row>
    <row r="103" hidden="1" spans="56:57">
      <c r="BD103">
        <f t="shared" si="2"/>
        <v>19000100</v>
      </c>
      <c r="BE103">
        <f>IF(AX:AX&gt;=3000,1,0)</f>
        <v>0</v>
      </c>
    </row>
    <row r="104" hidden="1" spans="56:57">
      <c r="BD104">
        <f t="shared" si="2"/>
        <v>19000100</v>
      </c>
      <c r="BE104">
        <f>IF(AX:AX&gt;=3000,1,0)</f>
        <v>0</v>
      </c>
    </row>
    <row r="105" hidden="1" spans="56:57">
      <c r="BD105">
        <f t="shared" si="2"/>
        <v>19000100</v>
      </c>
      <c r="BE105">
        <f>IF(AX:AX&gt;=3000,1,0)</f>
        <v>0</v>
      </c>
    </row>
    <row r="106" hidden="1" spans="56:57">
      <c r="BD106">
        <f t="shared" si="2"/>
        <v>19000100</v>
      </c>
      <c r="BE106">
        <f>IF(AX:AX&gt;=3000,1,0)</f>
        <v>0</v>
      </c>
    </row>
    <row r="107" hidden="1" spans="56:57">
      <c r="BD107">
        <f t="shared" si="2"/>
        <v>19000100</v>
      </c>
      <c r="BE107">
        <f>IF(AX:AX&gt;=3000,1,0)</f>
        <v>0</v>
      </c>
    </row>
    <row r="108" hidden="1" spans="56:57">
      <c r="BD108">
        <f t="shared" si="2"/>
        <v>19000100</v>
      </c>
      <c r="BE108">
        <f>IF(AX:AX&gt;=3000,1,0)</f>
        <v>0</v>
      </c>
    </row>
    <row r="109" hidden="1" spans="56:57">
      <c r="BD109">
        <f t="shared" si="2"/>
        <v>19000100</v>
      </c>
      <c r="BE109">
        <f>IF(AX:AX&gt;=3000,1,0)</f>
        <v>0</v>
      </c>
    </row>
  </sheetData>
  <autoFilter ref="A1:BE109">
    <filterColumn colId="16">
      <customFilters>
        <customFilter operator="equal" val="刘康丽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O14"/>
  <sheetViews>
    <sheetView zoomScale="90" zoomScaleNormal="90" topLeftCell="B1" workbookViewId="0">
      <selection activeCell="I2" sqref="A2:A6 F2:H6 I2:J6"/>
    </sheetView>
  </sheetViews>
  <sheetFormatPr defaultColWidth="9" defaultRowHeight="13.5"/>
  <cols>
    <col min="1" max="10" width="17.875" style="2" customWidth="1"/>
    <col min="11" max="15" width="17.875" customWidth="1"/>
  </cols>
  <sheetData>
    <row r="1" ht="51" customHeight="1" spans="1:15">
      <c r="A1" s="89" t="s">
        <v>176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ht="43" customHeight="1" spans="1:15">
      <c r="A2" s="90" t="s">
        <v>177</v>
      </c>
      <c r="B2" s="90" t="s">
        <v>178</v>
      </c>
      <c r="C2" s="90" t="s">
        <v>179</v>
      </c>
      <c r="D2" s="90" t="s">
        <v>180</v>
      </c>
      <c r="E2" s="90" t="s">
        <v>181</v>
      </c>
      <c r="F2" s="91" t="s">
        <v>182</v>
      </c>
      <c r="G2" s="91" t="s">
        <v>183</v>
      </c>
      <c r="H2" s="91" t="s">
        <v>184</v>
      </c>
      <c r="I2" s="112" t="s">
        <v>185</v>
      </c>
      <c r="J2" s="112" t="s">
        <v>186</v>
      </c>
      <c r="K2" s="113" t="s">
        <v>187</v>
      </c>
      <c r="L2" s="91" t="s">
        <v>188</v>
      </c>
      <c r="M2" s="91" t="s">
        <v>189</v>
      </c>
      <c r="N2" s="112" t="s">
        <v>190</v>
      </c>
      <c r="O2" s="112" t="s">
        <v>191</v>
      </c>
    </row>
    <row r="3" ht="42" customHeight="1" spans="1:15">
      <c r="A3" s="92" t="s">
        <v>42</v>
      </c>
      <c r="B3" s="92">
        <v>128</v>
      </c>
      <c r="C3" s="92">
        <f>COUNTIF(代理人!A:A,A:A)</f>
        <v>128</v>
      </c>
      <c r="D3" s="92">
        <f>SUMIF(代理人!A:A,A:A,代理人!O:O)</f>
        <v>7</v>
      </c>
      <c r="E3" s="93">
        <f>D3/B3</f>
        <v>0.0546875</v>
      </c>
      <c r="F3" s="92">
        <v>45</v>
      </c>
      <c r="G3" s="94">
        <f>SUMIF(险种!A:A,A:A,险种!Q:Q)/10000-SUMIFS(险种!Q:Q,险种!U:U,"终止",险种!A:A,A:A)/10000</f>
        <v>4.08142055609474</v>
      </c>
      <c r="H3" s="93">
        <f>G3/F3</f>
        <v>0.0906982345798831</v>
      </c>
      <c r="I3" s="114">
        <f>SUMIFS(险种!Q:Q,险种!U:U,"有效",险种!A:A,A:A)/10000</f>
        <v>1.8055181042943</v>
      </c>
      <c r="J3" s="93">
        <f>I3/F3</f>
        <v>0.0401226245398733</v>
      </c>
      <c r="K3" s="92">
        <v>18</v>
      </c>
      <c r="L3" s="94">
        <f>SUMIFS(险种!Q:Q,险种!V:V,"&lt;=20210510",险种!A:A,A:A)/10000-SUMIFS(险种!Q:Q,险种!U:U,"终止",险种!A:A,A:A,险种!V:V,"&lt;=20210510")/10000</f>
        <v>4.08142055609474</v>
      </c>
      <c r="M3" s="93">
        <f>L3/K3</f>
        <v>0.226745586449708</v>
      </c>
      <c r="N3" s="114">
        <f>SUMIFS(险种!Q:Q,险种!V:V,"&lt;=20210510",险种!A:A,A:A,险种!U:U,"有效")/10000</f>
        <v>1.8055181042943</v>
      </c>
      <c r="O3" s="93">
        <f>N3/K3</f>
        <v>0.100306561349683</v>
      </c>
    </row>
    <row r="4" ht="42" customHeight="1" spans="1:15">
      <c r="A4" s="92" t="s">
        <v>27</v>
      </c>
      <c r="B4" s="92">
        <v>115</v>
      </c>
      <c r="C4" s="92">
        <f>COUNTIF(代理人!A:A,A:A)</f>
        <v>115</v>
      </c>
      <c r="D4" s="92">
        <f>SUMIF(代理人!A:A,A:A,代理人!O:O)</f>
        <v>2</v>
      </c>
      <c r="E4" s="93">
        <f>D4/B4</f>
        <v>0.0173913043478261</v>
      </c>
      <c r="F4" s="92">
        <v>32</v>
      </c>
      <c r="G4" s="94">
        <f>SUMIF(险种!A:A,A:A,险种!Q:Q)/10000-SUMIFS(险种!Q:Q,险种!U:U,"终止",险种!A:A,A:A)/10000</f>
        <v>0.8400229491847</v>
      </c>
      <c r="H4" s="93">
        <f>G4/F4</f>
        <v>0.0262507171620219</v>
      </c>
      <c r="I4" s="114">
        <f>SUMIFS(险种!Q:Q,险种!U:U,"有效",险种!A:A,A:A)/10000</f>
        <v>0.8009136113706</v>
      </c>
      <c r="J4" s="93">
        <f>I4/F4</f>
        <v>0.0250285503553313</v>
      </c>
      <c r="K4" s="92">
        <v>13</v>
      </c>
      <c r="L4" s="94">
        <f>SUMIFS(险种!Q:Q,险种!V:V,"&lt;=20210510",险种!A:A,A:A)/10000-SUMIFS(险种!Q:Q,险种!U:U,"终止",险种!A:A,A:A,险种!V:V,"&lt;=20210510")/10000</f>
        <v>0.8400229491847</v>
      </c>
      <c r="M4" s="93">
        <f>L4/K4</f>
        <v>0.0646171499372846</v>
      </c>
      <c r="N4" s="114">
        <f>SUMIFS(险种!Q:Q,险种!V:V,"&lt;=20210510",险种!A:A,A:A,险种!U:U,"有效")/10000</f>
        <v>0.8009136113706</v>
      </c>
      <c r="O4" s="93">
        <f>N4/K4</f>
        <v>0.0616087393362</v>
      </c>
    </row>
    <row r="5" ht="42" customHeight="1" spans="1:15">
      <c r="A5" s="92" t="s">
        <v>48</v>
      </c>
      <c r="B5" s="92">
        <v>59</v>
      </c>
      <c r="C5" s="92">
        <f>COUNTIF(代理人!A:A,A:A)</f>
        <v>59</v>
      </c>
      <c r="D5" s="92">
        <f>SUMIF(代理人!A:A,A:A,代理人!O:O)</f>
        <v>3</v>
      </c>
      <c r="E5" s="93">
        <f>D5/B5</f>
        <v>0.0508474576271186</v>
      </c>
      <c r="F5" s="92">
        <v>23</v>
      </c>
      <c r="G5" s="94">
        <f>SUMIF(险种!A:A,A:A,险种!Q:Q)/10000-SUMIFS(险种!Q:Q,险种!U:U,"终止",险种!A:A,A:A)/10000</f>
        <v>1.7042631188721</v>
      </c>
      <c r="H5" s="93">
        <f>G5/F5</f>
        <v>0.0740983964727</v>
      </c>
      <c r="I5" s="114">
        <f>SUMIFS(险种!Q:Q,险种!U:U,"有效",险种!A:A,A:A)/10000</f>
        <v>0.9021244329009</v>
      </c>
      <c r="J5" s="93">
        <f>I5/F5</f>
        <v>0.0392228014304739</v>
      </c>
      <c r="K5" s="92">
        <v>9</v>
      </c>
      <c r="L5" s="94">
        <f>SUMIFS(险种!Q:Q,险种!V:V,"&lt;=20210510",险种!A:A,A:A)/10000-SUMIFS(险种!Q:Q,险种!U:U,"终止",险种!A:A,A:A,险种!V:V,"&lt;=20210510")/10000</f>
        <v>1.7042631188721</v>
      </c>
      <c r="M5" s="93">
        <f>L5/K5</f>
        <v>0.189362568763567</v>
      </c>
      <c r="N5" s="114">
        <f>SUMIFS(险种!Q:Q,险种!V:V,"&lt;=20210510",险种!A:A,A:A,险种!U:U,"有效")/10000</f>
        <v>0.9021244329009</v>
      </c>
      <c r="O5" s="93">
        <f>N5/K5</f>
        <v>0.1002360481001</v>
      </c>
    </row>
    <row r="6" ht="42" customHeight="1" spans="1:15">
      <c r="A6" s="95" t="s">
        <v>192</v>
      </c>
      <c r="B6" s="95">
        <v>302</v>
      </c>
      <c r="C6" s="95">
        <f>SUM(C3:C5)</f>
        <v>302</v>
      </c>
      <c r="D6" s="95">
        <f>SUM(D3:D5)</f>
        <v>12</v>
      </c>
      <c r="E6" s="96">
        <f>D6/B6</f>
        <v>0.0397350993377483</v>
      </c>
      <c r="F6" s="95">
        <f>SUM(F3:F5)</f>
        <v>100</v>
      </c>
      <c r="G6" s="97">
        <f>SUM(G3:G5)</f>
        <v>6.62570662415154</v>
      </c>
      <c r="H6" s="96">
        <f>G6/F6</f>
        <v>0.0662570662415154</v>
      </c>
      <c r="I6" s="115">
        <f>SUM(I3:I5)</f>
        <v>3.5085561485658</v>
      </c>
      <c r="J6" s="96">
        <f>I6/F6</f>
        <v>0.035085561485658</v>
      </c>
      <c r="K6" s="95">
        <v>40</v>
      </c>
      <c r="L6" s="97">
        <f>SUM(L3:L5)</f>
        <v>6.62570662415154</v>
      </c>
      <c r="M6" s="96">
        <f>L6/K6</f>
        <v>0.165642665603789</v>
      </c>
      <c r="N6" s="115">
        <f>SUM(N3:N5)</f>
        <v>3.5085561485658</v>
      </c>
      <c r="O6" s="96">
        <f>N6/K6</f>
        <v>0.087713903714145</v>
      </c>
    </row>
    <row r="8" ht="30" customHeight="1" spans="1:9">
      <c r="A8" s="98" t="s">
        <v>193</v>
      </c>
      <c r="B8" s="98"/>
      <c r="C8" s="98"/>
      <c r="D8" s="98"/>
      <c r="E8" s="99"/>
      <c r="F8" s="99"/>
      <c r="G8" s="99"/>
      <c r="H8" s="99"/>
      <c r="I8" s="99"/>
    </row>
    <row r="9" ht="51" customHeight="1" spans="1:14">
      <c r="A9" s="89" t="s">
        <v>194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</row>
    <row r="10" ht="51" customHeight="1" spans="1:14">
      <c r="A10" s="100" t="s">
        <v>177</v>
      </c>
      <c r="B10" s="101" t="s">
        <v>195</v>
      </c>
      <c r="C10" s="101" t="s">
        <v>196</v>
      </c>
      <c r="D10" s="101" t="s">
        <v>197</v>
      </c>
      <c r="E10" s="102" t="s">
        <v>198</v>
      </c>
      <c r="F10" s="102" t="s">
        <v>199</v>
      </c>
      <c r="G10" s="102" t="s">
        <v>200</v>
      </c>
      <c r="H10" s="103" t="s">
        <v>201</v>
      </c>
      <c r="I10" s="103" t="s">
        <v>202</v>
      </c>
      <c r="J10" s="116" t="s">
        <v>203</v>
      </c>
      <c r="K10" s="116" t="s">
        <v>204</v>
      </c>
      <c r="L10" s="101" t="s">
        <v>205</v>
      </c>
      <c r="M10" s="101" t="s">
        <v>206</v>
      </c>
      <c r="N10" s="101" t="s">
        <v>207</v>
      </c>
    </row>
    <row r="11" ht="51" customHeight="1" spans="1:14">
      <c r="A11" s="104" t="s">
        <v>42</v>
      </c>
      <c r="B11" s="104">
        <v>90000</v>
      </c>
      <c r="C11" s="105">
        <f>SUMIFS(险种!Q:Q,险种!V:V,"&gt;=20210507",险种!V:V,"&lt;=20210510",险种!A:A,A:A)</f>
        <v>31921.2206221054</v>
      </c>
      <c r="D11" s="106">
        <f>C11/B11</f>
        <v>0.354680229134504</v>
      </c>
      <c r="E11" s="107">
        <v>20000</v>
      </c>
      <c r="F11" s="107">
        <f>SUMIFS(险种!Q:Q,险种!V:V,"20210507",险种!A:A,A:A)</f>
        <v>2652.90807693</v>
      </c>
      <c r="G11" s="108">
        <f>F11/E11</f>
        <v>0.1326454038465</v>
      </c>
      <c r="H11" s="107">
        <f>SUMIFS(险种!Q:Q,险种!V:V,"20210508",险种!A:A,A:A)</f>
        <v>-198.063141495</v>
      </c>
      <c r="I11" s="108">
        <f>H11/E11</f>
        <v>-0.00990315707475</v>
      </c>
      <c r="J11" s="117">
        <f>SUMIFS(险种!Q:Q,险种!V:V,"20210509",险种!A:A,A:A)</f>
        <v>26057.0658984894</v>
      </c>
      <c r="K11" s="118">
        <f>J11/E11</f>
        <v>1.30285329492447</v>
      </c>
      <c r="L11" s="105">
        <v>30000</v>
      </c>
      <c r="M11" s="105">
        <f>SUMIFS(险种!Q:Q,险种!V:V,"20210510",险种!A:A,A:A)</f>
        <v>3409.309788181</v>
      </c>
      <c r="N11" s="106">
        <f>M11/L11</f>
        <v>0.113643659606033</v>
      </c>
    </row>
    <row r="12" ht="51" customHeight="1" spans="1:14">
      <c r="A12" s="104" t="s">
        <v>27</v>
      </c>
      <c r="B12" s="104">
        <v>64000</v>
      </c>
      <c r="C12" s="105">
        <f>SUMIFS(险种!Q:Q,险种!V:V,"&gt;=20210507",险种!V:V,"&lt;=20210510",险种!A:A,A:A)</f>
        <v>90.181768099</v>
      </c>
      <c r="D12" s="106">
        <f>C12/B12</f>
        <v>0.00140909012654687</v>
      </c>
      <c r="E12" s="107">
        <v>13000</v>
      </c>
      <c r="F12" s="107">
        <f>SUMIFS(险种!Q:Q,险种!V:V,"20210507",险种!A:A,A:A)</f>
        <v>-5.457507663</v>
      </c>
      <c r="G12" s="108">
        <f>F12/E12</f>
        <v>-0.000419808281769231</v>
      </c>
      <c r="H12" s="107">
        <f>SUMIFS(险种!Q:Q,险种!V:V,"20210508",险种!A:A,A:A)</f>
        <v>21.779581392</v>
      </c>
      <c r="I12" s="108">
        <f>H12/E12</f>
        <v>0.00167535241476923</v>
      </c>
      <c r="J12" s="117">
        <f>SUMIFS(险种!Q:Q,险种!V:V,"20210509",险种!A:A,A:A)</f>
        <v>0</v>
      </c>
      <c r="K12" s="118">
        <f>J12/E12</f>
        <v>0</v>
      </c>
      <c r="L12" s="105">
        <v>25000</v>
      </c>
      <c r="M12" s="105">
        <f>SUMIFS(险种!Q:Q,险种!V:V,"20210510",险种!A:A,A:A)</f>
        <v>73.85969437</v>
      </c>
      <c r="N12" s="106">
        <f>M12/L12</f>
        <v>0.0029543877748</v>
      </c>
    </row>
    <row r="13" ht="51" customHeight="1" spans="1:14">
      <c r="A13" s="104" t="s">
        <v>48</v>
      </c>
      <c r="B13" s="104">
        <v>46000</v>
      </c>
      <c r="C13" s="105">
        <f>SUMIFS(险种!Q:Q,险种!V:V,"&gt;=20210507",险种!V:V,"&lt;=20210510",险种!A:A,A:A)</f>
        <v>11944.342879856</v>
      </c>
      <c r="D13" s="106">
        <f>C13/B13</f>
        <v>0.259659627822957</v>
      </c>
      <c r="E13" s="107">
        <v>10000</v>
      </c>
      <c r="F13" s="107">
        <f>SUMIFS(险种!Q:Q,险种!V:V,"20210507",险种!A:A,A:A)</f>
        <v>8617.464041048</v>
      </c>
      <c r="G13" s="108">
        <f>F13/E13</f>
        <v>0.8617464041048</v>
      </c>
      <c r="H13" s="107">
        <f>SUMIFS(险种!Q:Q,险种!V:V,"20210508",险种!A:A,A:A)</f>
        <v>3471.421867528</v>
      </c>
      <c r="I13" s="108">
        <f>H13/E13</f>
        <v>0.3471421867528</v>
      </c>
      <c r="J13" s="117">
        <f>SUMIFS(险种!Q:Q,险种!V:V,"20210509",险种!A:A,A:A)</f>
        <v>-153.646419688</v>
      </c>
      <c r="K13" s="118">
        <f>J13/E13</f>
        <v>-0.0153646419688</v>
      </c>
      <c r="L13" s="105">
        <v>15000</v>
      </c>
      <c r="M13" s="105">
        <f>SUMIFS(险种!Q:Q,险种!V:V,"20210510",险种!A:A,A:A)</f>
        <v>9.103390968</v>
      </c>
      <c r="N13" s="106">
        <f>M13/L13</f>
        <v>0.0006068927312</v>
      </c>
    </row>
    <row r="14" ht="51" customHeight="1" spans="1:14">
      <c r="A14" s="109" t="s">
        <v>192</v>
      </c>
      <c r="B14" s="109">
        <f>SUM(B11:B13)</f>
        <v>200000</v>
      </c>
      <c r="C14" s="110">
        <f>SUM(C11:C13)</f>
        <v>43955.7452700604</v>
      </c>
      <c r="D14" s="111">
        <f>C14/B14</f>
        <v>0.219778726350302</v>
      </c>
      <c r="E14" s="107">
        <f>SUM(E11:E13)</f>
        <v>43000</v>
      </c>
      <c r="F14" s="107">
        <f>SUM(F11:F13)</f>
        <v>11264.914610315</v>
      </c>
      <c r="G14" s="108">
        <f>F14/E14</f>
        <v>0.261974758379419</v>
      </c>
      <c r="H14" s="107">
        <f>SUM(H11:H13)</f>
        <v>3295.138307425</v>
      </c>
      <c r="I14" s="108">
        <f>H14/E14</f>
        <v>0.0766311234284884</v>
      </c>
      <c r="J14" s="117">
        <f>SUM(J11:J13)</f>
        <v>25903.4194788014</v>
      </c>
      <c r="K14" s="118">
        <f>J14/E14</f>
        <v>0.602405104158172</v>
      </c>
      <c r="L14" s="110">
        <f>SUM(L11:L13)</f>
        <v>70000</v>
      </c>
      <c r="M14" s="110">
        <f>SUM(M11:M13)</f>
        <v>3492.272873519</v>
      </c>
      <c r="N14" s="111">
        <f>M14/L14</f>
        <v>0.0498896124788429</v>
      </c>
    </row>
  </sheetData>
  <mergeCells count="3">
    <mergeCell ref="A1:O1"/>
    <mergeCell ref="A8:D8"/>
    <mergeCell ref="A9:N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8"/>
  <sheetViews>
    <sheetView zoomScale="70" zoomScaleNormal="70" workbookViewId="0">
      <selection activeCell="G2" sqref="A2:B8 G2:K8"/>
    </sheetView>
  </sheetViews>
  <sheetFormatPr defaultColWidth="9" defaultRowHeight="16.5" outlineLevelRow="7"/>
  <cols>
    <col min="1" max="6" width="12.625" style="52" customWidth="1"/>
    <col min="7" max="16" width="17.25" style="52" customWidth="1"/>
    <col min="17" max="18" width="16.9" style="52" customWidth="1"/>
    <col min="19" max="16384" width="9" style="52"/>
  </cols>
  <sheetData>
    <row r="1" ht="56" customHeight="1" spans="1:18">
      <c r="A1" s="78" t="s">
        <v>208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ht="69" customHeight="1" spans="1:18">
      <c r="A2" s="79" t="s">
        <v>177</v>
      </c>
      <c r="B2" s="79" t="s">
        <v>209</v>
      </c>
      <c r="C2" s="79" t="s">
        <v>178</v>
      </c>
      <c r="D2" s="79" t="s">
        <v>179</v>
      </c>
      <c r="E2" s="79" t="s">
        <v>180</v>
      </c>
      <c r="F2" s="79" t="s">
        <v>181</v>
      </c>
      <c r="G2" s="80" t="s">
        <v>182</v>
      </c>
      <c r="H2" s="80" t="s">
        <v>183</v>
      </c>
      <c r="I2" s="80" t="s">
        <v>184</v>
      </c>
      <c r="J2" s="84" t="s">
        <v>185</v>
      </c>
      <c r="K2" s="84" t="s">
        <v>186</v>
      </c>
      <c r="L2" s="80" t="s">
        <v>210</v>
      </c>
      <c r="M2" s="80" t="s">
        <v>188</v>
      </c>
      <c r="N2" s="80" t="s">
        <v>189</v>
      </c>
      <c r="O2" s="84" t="s">
        <v>190</v>
      </c>
      <c r="P2" s="84" t="s">
        <v>191</v>
      </c>
      <c r="Q2" s="86" t="s">
        <v>211</v>
      </c>
      <c r="R2" s="86" t="s">
        <v>212</v>
      </c>
    </row>
    <row r="3" ht="46" customHeight="1" spans="1:18">
      <c r="A3" s="81" t="s">
        <v>213</v>
      </c>
      <c r="B3" s="81" t="s">
        <v>62</v>
      </c>
      <c r="C3" s="81">
        <v>64</v>
      </c>
      <c r="D3" s="81">
        <f>COUNTIF(代理人!B:B,B:B)</f>
        <v>64</v>
      </c>
      <c r="E3" s="81">
        <f>SUMIF(代理人!$B:$B,$B:$B,代理人!O:O)</f>
        <v>3</v>
      </c>
      <c r="F3" s="82">
        <f t="shared" ref="F3:F8" si="0">E3/C3</f>
        <v>0.046875</v>
      </c>
      <c r="G3" s="81">
        <f>L3/4*10</f>
        <v>30</v>
      </c>
      <c r="H3" s="83">
        <f>SUMIF(代理人!$B:$B,$B:$B,代理人!J:J)/10000</f>
        <v>1.81208</v>
      </c>
      <c r="I3" s="82">
        <f t="shared" ref="I3:I8" si="1">H3/G3</f>
        <v>0.0604026666666667</v>
      </c>
      <c r="J3" s="85">
        <f>SUMIF(代理人!$B:$B,$B:$B,代理人!L:L)/10000</f>
        <v>-0.05974</v>
      </c>
      <c r="K3" s="82">
        <f t="shared" ref="K3:K8" si="2">J3/G3</f>
        <v>-0.00199133333333333</v>
      </c>
      <c r="L3" s="81">
        <v>12</v>
      </c>
      <c r="M3" s="83">
        <f>SUMIF(代理人!$B:$B,$B:$B,代理人!U:U)/10000</f>
        <v>1.81208</v>
      </c>
      <c r="N3" s="82">
        <f t="shared" ref="N3:N8" si="3">M3/L3</f>
        <v>0.151006666666667</v>
      </c>
      <c r="O3" s="85">
        <f>SUMIF(代理人!$B:$B,$B:$B,代理人!V:V)/10000</f>
        <v>-0.05974</v>
      </c>
      <c r="P3" s="82">
        <f t="shared" ref="P3:P8" si="4">O3/L3</f>
        <v>-0.00497833333333333</v>
      </c>
      <c r="Q3" s="87">
        <f>SUMIF(代理人!D:D,"程文侠",代理人!J:J)</f>
        <v>1825</v>
      </c>
      <c r="R3" s="87">
        <f>SUMIF(代理人!D:D,"程文侠",代理人!L:L)</f>
        <v>-383.2</v>
      </c>
    </row>
    <row r="4" ht="46" customHeight="1" spans="1:18">
      <c r="A4" s="81" t="s">
        <v>213</v>
      </c>
      <c r="B4" s="81" t="s">
        <v>43</v>
      </c>
      <c r="C4" s="81">
        <v>29</v>
      </c>
      <c r="D4" s="81">
        <f>COUNTIF(代理人!B:B,B:B)</f>
        <v>29</v>
      </c>
      <c r="E4" s="81">
        <f>SUMIF(代理人!B:B,B:B,代理人!O:O)</f>
        <v>2</v>
      </c>
      <c r="F4" s="82">
        <f t="shared" si="0"/>
        <v>0.0689655172413793</v>
      </c>
      <c r="G4" s="81">
        <f>L4/4*10</f>
        <v>15</v>
      </c>
      <c r="H4" s="83">
        <f>SUMIF(代理人!$B:$B,$B:$B,代理人!J:J)/10000</f>
        <v>1.69345</v>
      </c>
      <c r="I4" s="82">
        <f t="shared" si="1"/>
        <v>0.112896666666667</v>
      </c>
      <c r="J4" s="85">
        <f>SUMIF(代理人!$B:$B,$B:$B,代理人!L:L)/10000</f>
        <v>1.2911</v>
      </c>
      <c r="K4" s="82">
        <f t="shared" si="2"/>
        <v>0.0860733333333333</v>
      </c>
      <c r="L4" s="81">
        <v>6</v>
      </c>
      <c r="M4" s="83">
        <f>SUMIF(代理人!$B:$B,$B:$B,代理人!U:U)/10000</f>
        <v>1.69345</v>
      </c>
      <c r="N4" s="82">
        <f t="shared" si="3"/>
        <v>0.282241666666667</v>
      </c>
      <c r="O4" s="85">
        <f>SUMIF(代理人!$B:$B,$B:$B,代理人!V:V)/10000</f>
        <v>1.2911</v>
      </c>
      <c r="P4" s="82">
        <f t="shared" si="4"/>
        <v>0.215183333333333</v>
      </c>
      <c r="Q4" s="87">
        <f>SUMIF(代理人!D:D,"陈宏霞",代理人!J:J)</f>
        <v>6605.1</v>
      </c>
      <c r="R4" s="87">
        <f>SUMIF(代理人!D:D,"陈宏霞",代理人!L:L)</f>
        <v>3195.8</v>
      </c>
    </row>
    <row r="5" ht="46" customHeight="1" spans="1:18">
      <c r="A5" s="81" t="s">
        <v>27</v>
      </c>
      <c r="B5" s="81" t="s">
        <v>214</v>
      </c>
      <c r="C5" s="81">
        <v>44</v>
      </c>
      <c r="D5" s="81">
        <f>COUNTIF(代理人!A:A,A:A)-D6-D7</f>
        <v>44</v>
      </c>
      <c r="E5" s="81">
        <f>SUMIF(代理人!$A:$A,$A:$A,代理人!O:O)-E$6-E$7</f>
        <v>1</v>
      </c>
      <c r="F5" s="82">
        <f t="shared" si="0"/>
        <v>0.0227272727272727</v>
      </c>
      <c r="G5" s="81">
        <f>L5/4*10</f>
        <v>10</v>
      </c>
      <c r="H5" s="83">
        <f>SUMIF(代理人!$A:$A,$A:$A,代理人!J:J)/10000-H$6-H$7</f>
        <v>0.83679</v>
      </c>
      <c r="I5" s="82">
        <f t="shared" si="1"/>
        <v>0.083679</v>
      </c>
      <c r="J5" s="85">
        <f>SUMIF(代理人!$A:$A,$A:$A,代理人!L:L)/10000-J$6-J$7</f>
        <v>0.79813</v>
      </c>
      <c r="K5" s="82">
        <f t="shared" si="2"/>
        <v>0.079813</v>
      </c>
      <c r="L5" s="81">
        <v>4</v>
      </c>
      <c r="M5" s="83">
        <f>SUMIF(代理人!$A:$A,$A:$A,代理人!U:U)/10000-M$6-M$7</f>
        <v>0.83679</v>
      </c>
      <c r="N5" s="82">
        <f t="shared" si="3"/>
        <v>0.2091975</v>
      </c>
      <c r="O5" s="85">
        <f>SUMIF(代理人!$A:$A,$A:$A,代理人!V:V)/10000-O$6-O$7</f>
        <v>0.79813</v>
      </c>
      <c r="P5" s="82">
        <f t="shared" si="4"/>
        <v>0.1995325</v>
      </c>
      <c r="Q5" s="88"/>
      <c r="R5" s="88"/>
    </row>
    <row r="6" ht="46" customHeight="1" spans="1:18">
      <c r="A6" s="81" t="s">
        <v>27</v>
      </c>
      <c r="B6" s="81" t="s">
        <v>28</v>
      </c>
      <c r="C6" s="81">
        <v>50</v>
      </c>
      <c r="D6" s="81">
        <f>COUNTIF(代理人!B:B,B:B)</f>
        <v>50</v>
      </c>
      <c r="E6" s="81">
        <f>SUMIF(代理人!B:B,B:B,代理人!O:O)</f>
        <v>1</v>
      </c>
      <c r="F6" s="82">
        <f t="shared" si="0"/>
        <v>0.02</v>
      </c>
      <c r="G6" s="81">
        <f>L6/4*10</f>
        <v>15</v>
      </c>
      <c r="H6" s="83">
        <f>SUMIF(代理人!$B:$B,$B:$B,代理人!J:J)/10000</f>
        <v>0</v>
      </c>
      <c r="I6" s="82">
        <f t="shared" si="1"/>
        <v>0</v>
      </c>
      <c r="J6" s="85">
        <f>SUMIF(代理人!$B:$B,$B:$B,代理人!L:L)/10000</f>
        <v>0</v>
      </c>
      <c r="K6" s="82">
        <f t="shared" si="2"/>
        <v>0</v>
      </c>
      <c r="L6" s="81">
        <v>6</v>
      </c>
      <c r="M6" s="83">
        <f>SUMIF(代理人!$B:$B,$B:$B,代理人!U:U)/10000</f>
        <v>0</v>
      </c>
      <c r="N6" s="82">
        <f t="shared" si="3"/>
        <v>0</v>
      </c>
      <c r="O6" s="85">
        <f>SUMIF(代理人!$B:$B,$B:$B,代理人!V:V)/10000</f>
        <v>0</v>
      </c>
      <c r="P6" s="82">
        <f t="shared" si="4"/>
        <v>0</v>
      </c>
      <c r="Q6" s="87">
        <f>SUMIF(代理人!D:D,"陈桂美",代理人!J:J)</f>
        <v>0</v>
      </c>
      <c r="R6" s="87">
        <f>SUMIF(代理人!D:D,"陈桂美",代理人!L:L)</f>
        <v>0</v>
      </c>
    </row>
    <row r="7" ht="46" customHeight="1" spans="1:18">
      <c r="A7" s="81" t="s">
        <v>27</v>
      </c>
      <c r="B7" s="81" t="s">
        <v>37</v>
      </c>
      <c r="C7" s="81">
        <v>21</v>
      </c>
      <c r="D7" s="81">
        <f>COUNTIF(代理人!B:B,B:B)</f>
        <v>21</v>
      </c>
      <c r="E7" s="81">
        <f>SUMIF(代理人!B:B,B:B,代理人!O:O)</f>
        <v>0</v>
      </c>
      <c r="F7" s="82">
        <f t="shared" si="0"/>
        <v>0</v>
      </c>
      <c r="G7" s="81">
        <v>7</v>
      </c>
      <c r="H7" s="83">
        <f>SUMIF(代理人!$B:$B,$B:$B,代理人!J:J)/10000</f>
        <v>0.00325</v>
      </c>
      <c r="I7" s="82">
        <f t="shared" si="1"/>
        <v>0.000464285714285714</v>
      </c>
      <c r="J7" s="85">
        <f>SUMIF(代理人!$B:$B,$B:$B,代理人!L:L)/10000</f>
        <v>0.00279</v>
      </c>
      <c r="K7" s="82">
        <f t="shared" si="2"/>
        <v>0.000398571428571429</v>
      </c>
      <c r="L7" s="81">
        <v>3</v>
      </c>
      <c r="M7" s="83">
        <f>SUMIF(代理人!$B:$B,$B:$B,代理人!U:U)/10000</f>
        <v>0.00325</v>
      </c>
      <c r="N7" s="82">
        <f t="shared" si="3"/>
        <v>0.00108333333333333</v>
      </c>
      <c r="O7" s="85">
        <f>SUMIF(代理人!$B:$B,$B:$B,代理人!V:V)/10000</f>
        <v>0.00279</v>
      </c>
      <c r="P7" s="82">
        <f t="shared" si="4"/>
        <v>0.00093</v>
      </c>
      <c r="Q7" s="87">
        <f>SUMIF(代理人!D:D,"胡本阁",代理人!J:J)</f>
        <v>4.6</v>
      </c>
      <c r="R7" s="87">
        <f>SUMIF(代理人!D:D,"胡本阁",代理人!L:L)</f>
        <v>0</v>
      </c>
    </row>
    <row r="8" ht="46" customHeight="1" spans="1:18">
      <c r="A8" s="81" t="s">
        <v>48</v>
      </c>
      <c r="B8" s="81" t="s">
        <v>49</v>
      </c>
      <c r="C8" s="81">
        <v>59</v>
      </c>
      <c r="D8" s="81">
        <f>COUNTIF(代理人!B:B,B:B)</f>
        <v>59</v>
      </c>
      <c r="E8" s="81">
        <f>SUMIF(代理人!B:B,B:B,代理人!O:O)</f>
        <v>3</v>
      </c>
      <c r="F8" s="82">
        <f t="shared" si="0"/>
        <v>0.0508474576271186</v>
      </c>
      <c r="G8" s="81">
        <v>23</v>
      </c>
      <c r="H8" s="83">
        <f>SUMIF(代理人!$B:$B,$B:$B,代理人!J:J)/10000</f>
        <v>1.70427</v>
      </c>
      <c r="I8" s="82">
        <f t="shared" si="1"/>
        <v>0.0740986956521739</v>
      </c>
      <c r="J8" s="85">
        <f>SUMIF(代理人!$B:$B,$B:$B,代理人!L:L)/10000</f>
        <v>0.90213</v>
      </c>
      <c r="K8" s="82">
        <f t="shared" si="2"/>
        <v>0.0392230434782609</v>
      </c>
      <c r="L8" s="81">
        <v>9</v>
      </c>
      <c r="M8" s="83">
        <f>SUMIF(代理人!$B:$B,$B:$B,代理人!U:U)/10000</f>
        <v>1.70427</v>
      </c>
      <c r="N8" s="82">
        <f t="shared" si="3"/>
        <v>0.189363333333333</v>
      </c>
      <c r="O8" s="85">
        <f>SUMIF(代理人!$B:$B,$B:$B,代理人!V:V)/10000</f>
        <v>0.90213</v>
      </c>
      <c r="P8" s="82">
        <f t="shared" si="4"/>
        <v>0.100236666666667</v>
      </c>
      <c r="Q8" s="87">
        <f>SUMIF(代理人!D:D,"叶琳",代理人!J:J)</f>
        <v>0</v>
      </c>
      <c r="R8" s="87">
        <f>SUMIF(代理人!D:D,"叶琳",代理人!L:L)</f>
        <v>0</v>
      </c>
    </row>
  </sheetData>
  <mergeCells count="1">
    <mergeCell ref="A1:R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P22"/>
  <sheetViews>
    <sheetView workbookViewId="0">
      <selection activeCell="O2" sqref="A2:D22 O2:P22"/>
    </sheetView>
  </sheetViews>
  <sheetFormatPr defaultColWidth="9" defaultRowHeight="15"/>
  <cols>
    <col min="1" max="1" width="12.875" style="25" customWidth="1"/>
    <col min="2" max="2" width="8.875" style="25" customWidth="1"/>
    <col min="3" max="3" width="17.125" style="25" customWidth="1"/>
    <col min="4" max="4" width="10.875" style="25" customWidth="1"/>
    <col min="5" max="5" width="12.875" style="25" customWidth="1"/>
    <col min="6" max="16" width="14.125" style="25" customWidth="1"/>
  </cols>
  <sheetData>
    <row r="1" ht="37" customHeight="1" spans="1:16">
      <c r="A1" s="73" t="s">
        <v>215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ht="24" customHeight="1" spans="1:1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178</v>
      </c>
      <c r="G2" s="4" t="s">
        <v>179</v>
      </c>
      <c r="H2" s="4" t="s">
        <v>180</v>
      </c>
      <c r="I2" s="4" t="s">
        <v>181</v>
      </c>
      <c r="J2" s="4" t="s">
        <v>182</v>
      </c>
      <c r="K2" s="4" t="s">
        <v>183</v>
      </c>
      <c r="L2" s="4" t="s">
        <v>184</v>
      </c>
      <c r="M2" s="4" t="s">
        <v>185</v>
      </c>
      <c r="N2" s="4" t="s">
        <v>186</v>
      </c>
      <c r="O2" s="74" t="s">
        <v>211</v>
      </c>
      <c r="P2" s="74" t="s">
        <v>212</v>
      </c>
    </row>
    <row r="3" ht="24" customHeight="1" spans="1:16">
      <c r="A3" s="4" t="s">
        <v>42</v>
      </c>
      <c r="B3" s="4" t="s">
        <v>62</v>
      </c>
      <c r="C3" s="4" t="s">
        <v>63</v>
      </c>
      <c r="D3" s="4" t="s">
        <v>216</v>
      </c>
      <c r="E3" s="4">
        <v>6396788302</v>
      </c>
      <c r="F3" s="4">
        <v>8</v>
      </c>
      <c r="G3" s="4">
        <f>COUNTIF(代理人!C:C,C:C)</f>
        <v>8</v>
      </c>
      <c r="H3" s="4">
        <f>SUMIF(代理人!C:C,C:C,代理人!O:O)</f>
        <v>1</v>
      </c>
      <c r="I3" s="75">
        <f t="shared" ref="I3:I22" si="0">H3/F3</f>
        <v>0.125</v>
      </c>
      <c r="J3" s="4">
        <f>IF(F:F&gt;=10,6,3)</f>
        <v>3</v>
      </c>
      <c r="K3" s="76">
        <f>SUMIF(代理人!C:C,C:C,代理人!J:J)/10000</f>
        <v>1.11687</v>
      </c>
      <c r="L3" s="75">
        <f t="shared" ref="L3:L22" si="1">K3/J3</f>
        <v>0.37229</v>
      </c>
      <c r="M3" s="76">
        <f>SUMIF(代理人!C:C,C:C,代理人!L:L)/10000</f>
        <v>0</v>
      </c>
      <c r="N3" s="75">
        <f t="shared" ref="N3:N22" si="2">M3/J3</f>
        <v>0</v>
      </c>
      <c r="O3" s="77">
        <f>SUMIF(代理人!E:E,E:E,代理人!J:J)</f>
        <v>0</v>
      </c>
      <c r="P3" s="77">
        <f>SUMIF(代理人!E:E,E:E,代理人!L:L)</f>
        <v>0</v>
      </c>
    </row>
    <row r="4" ht="24" hidden="1" customHeight="1" spans="1:16">
      <c r="A4" s="4" t="s">
        <v>42</v>
      </c>
      <c r="B4" s="4" t="s">
        <v>43</v>
      </c>
      <c r="C4" s="4" t="s">
        <v>70</v>
      </c>
      <c r="D4" s="4" t="s">
        <v>71</v>
      </c>
      <c r="E4" s="4">
        <v>5689072702</v>
      </c>
      <c r="F4" s="4">
        <v>6</v>
      </c>
      <c r="G4" s="4">
        <f>COUNTIF(代理人!C:C,C:C)</f>
        <v>6</v>
      </c>
      <c r="H4" s="4">
        <f>SUMIF(代理人!C:C,C:C,代理人!O:O)</f>
        <v>1</v>
      </c>
      <c r="I4" s="75">
        <f t="shared" si="0"/>
        <v>0.166666666666667</v>
      </c>
      <c r="J4" s="4">
        <f>IF(F:F&gt;=10,6,3)</f>
        <v>3</v>
      </c>
      <c r="K4" s="76">
        <f>SUMIF(代理人!C:C,C:C,代理人!J:J)/10000</f>
        <v>0.97866</v>
      </c>
      <c r="L4" s="75">
        <f t="shared" si="1"/>
        <v>0.32622</v>
      </c>
      <c r="M4" s="76">
        <f>SUMIF(代理人!C:C,C:C,代理人!L:L)/10000</f>
        <v>0.97866</v>
      </c>
      <c r="N4" s="75">
        <f t="shared" si="2"/>
        <v>0.32622</v>
      </c>
      <c r="O4" s="77">
        <f>SUMIF(代理人!E:E,E:E,代理人!J:J)</f>
        <v>9786.6</v>
      </c>
      <c r="P4" s="77">
        <f>SUMIF(代理人!E:E,E:E,代理人!L:L)</f>
        <v>9786.6</v>
      </c>
    </row>
    <row r="5" ht="24" customHeight="1" spans="1:16">
      <c r="A5" s="4" t="s">
        <v>48</v>
      </c>
      <c r="B5" s="4" t="s">
        <v>49</v>
      </c>
      <c r="C5" s="4" t="s">
        <v>50</v>
      </c>
      <c r="D5" s="4" t="s">
        <v>217</v>
      </c>
      <c r="E5" s="4">
        <v>51103872</v>
      </c>
      <c r="F5" s="4">
        <v>31</v>
      </c>
      <c r="G5" s="4">
        <f>COUNTIF(代理人!C:C,C:C)</f>
        <v>31</v>
      </c>
      <c r="H5" s="4">
        <f>SUMIF(代理人!C:C,C:C,代理人!O:O)</f>
        <v>1</v>
      </c>
      <c r="I5" s="75">
        <f t="shared" si="0"/>
        <v>0.032258064516129</v>
      </c>
      <c r="J5" s="4">
        <f>IF(F:F&gt;=10,6,3)</f>
        <v>6</v>
      </c>
      <c r="K5" s="76">
        <f>SUMIF(代理人!C:C,C:C,代理人!J:J)/10000</f>
        <v>0.8154</v>
      </c>
      <c r="L5" s="75">
        <f t="shared" si="1"/>
        <v>0.1359</v>
      </c>
      <c r="M5" s="76">
        <f>SUMIF(代理人!C:C,C:C,代理人!L:L)/10000</f>
        <v>0.00046</v>
      </c>
      <c r="N5" s="75">
        <f t="shared" si="2"/>
        <v>7.66666666666667e-5</v>
      </c>
      <c r="O5" s="77">
        <f>SUMIF(代理人!E:E,E:E,代理人!J:J)</f>
        <v>0</v>
      </c>
      <c r="P5" s="77">
        <f>SUMIF(代理人!E:E,E:E,代理人!L:L)</f>
        <v>0</v>
      </c>
    </row>
    <row r="6" ht="24" hidden="1" customHeight="1" spans="1:16">
      <c r="A6" s="4" t="s">
        <v>42</v>
      </c>
      <c r="B6" s="4" t="s">
        <v>43</v>
      </c>
      <c r="C6" s="4" t="s">
        <v>44</v>
      </c>
      <c r="D6" s="4" t="s">
        <v>45</v>
      </c>
      <c r="E6" s="4">
        <v>51108342</v>
      </c>
      <c r="F6" s="4">
        <v>10</v>
      </c>
      <c r="G6" s="4">
        <f>COUNTIF(代理人!C:C,C:C)</f>
        <v>10</v>
      </c>
      <c r="H6" s="4">
        <f>SUMIF(代理人!C:C,C:C,代理人!O:O)</f>
        <v>1</v>
      </c>
      <c r="I6" s="75">
        <f t="shared" si="0"/>
        <v>0.1</v>
      </c>
      <c r="J6" s="4">
        <f>IF(F:F&gt;=10,6,3)</f>
        <v>6</v>
      </c>
      <c r="K6" s="76">
        <f>SUMIF(代理人!C:C,C:C,代理人!J:J)/10000</f>
        <v>0.66051</v>
      </c>
      <c r="L6" s="75">
        <f t="shared" si="1"/>
        <v>0.110085</v>
      </c>
      <c r="M6" s="76">
        <f>SUMIF(代理人!C:C,C:C,代理人!L:L)/10000</f>
        <v>0.31958</v>
      </c>
      <c r="N6" s="75">
        <f t="shared" si="2"/>
        <v>0.0532633333333333</v>
      </c>
      <c r="O6" s="77">
        <f>SUMIF(代理人!E:E,E:E,代理人!J:J)</f>
        <v>6605.1</v>
      </c>
      <c r="P6" s="77">
        <f>SUMIF(代理人!E:E,E:E,代理人!L:L)</f>
        <v>3195.8</v>
      </c>
    </row>
    <row r="7" ht="24" hidden="1" customHeight="1" spans="1:16">
      <c r="A7" s="4" t="s">
        <v>42</v>
      </c>
      <c r="B7" s="4" t="s">
        <v>66</v>
      </c>
      <c r="C7" s="4" t="s">
        <v>67</v>
      </c>
      <c r="D7" s="4" t="s">
        <v>68</v>
      </c>
      <c r="E7" s="4">
        <v>55996582</v>
      </c>
      <c r="F7" s="4">
        <v>14</v>
      </c>
      <c r="G7" s="4">
        <f>COUNTIF(代理人!C:C,C:C)</f>
        <v>14</v>
      </c>
      <c r="H7" s="4">
        <f>SUMIF(代理人!C:C,C:C,代理人!O:O)</f>
        <v>2</v>
      </c>
      <c r="I7" s="75">
        <f t="shared" si="0"/>
        <v>0.142857142857143</v>
      </c>
      <c r="J7" s="4">
        <f>IF(F:F&gt;=10,6,3)</f>
        <v>6</v>
      </c>
      <c r="K7" s="76">
        <f>SUMIF(代理人!C:C,C:C,代理人!J:J)/10000</f>
        <v>0.57589</v>
      </c>
      <c r="L7" s="75">
        <f t="shared" si="1"/>
        <v>0.0959816666666667</v>
      </c>
      <c r="M7" s="76">
        <f>SUMIF(代理人!C:C,C:C,代理人!L:L)/10000</f>
        <v>0.57415</v>
      </c>
      <c r="N7" s="75">
        <f t="shared" si="2"/>
        <v>0.0956916666666667</v>
      </c>
      <c r="O7" s="77">
        <f>SUMIF(代理人!E:E,E:E,代理人!J:J)</f>
        <v>3151.8</v>
      </c>
      <c r="P7" s="77">
        <f>SUMIF(代理人!E:E,E:E,代理人!L:L)</f>
        <v>3134.4</v>
      </c>
    </row>
    <row r="8" ht="24" hidden="1" customHeight="1" spans="1:16">
      <c r="A8" s="4" t="s">
        <v>48</v>
      </c>
      <c r="B8" s="4" t="s">
        <v>49</v>
      </c>
      <c r="C8" s="4" t="s">
        <v>98</v>
      </c>
      <c r="D8" s="4" t="s">
        <v>104</v>
      </c>
      <c r="E8" s="4">
        <v>5449941392</v>
      </c>
      <c r="F8" s="4">
        <v>16</v>
      </c>
      <c r="G8" s="4">
        <f>COUNTIF(代理人!C:C,C:C)</f>
        <v>16</v>
      </c>
      <c r="H8" s="4">
        <f>SUMIF(代理人!C:C,C:C,代理人!O:O)</f>
        <v>1</v>
      </c>
      <c r="I8" s="75">
        <f t="shared" si="0"/>
        <v>0.0625</v>
      </c>
      <c r="J8" s="4">
        <f>IF(F:F&gt;=10,6,3)</f>
        <v>6</v>
      </c>
      <c r="K8" s="76">
        <f>SUMIF(代理人!C:C,C:C,代理人!J:J)/10000</f>
        <v>0.54561</v>
      </c>
      <c r="L8" s="75">
        <f t="shared" si="1"/>
        <v>0.090935</v>
      </c>
      <c r="M8" s="76">
        <f>SUMIF(代理人!C:C,C:C,代理人!L:L)/10000</f>
        <v>0.55841</v>
      </c>
      <c r="N8" s="75">
        <f t="shared" si="2"/>
        <v>0.0930683333333333</v>
      </c>
      <c r="O8" s="77">
        <f>SUMIF(代理人!E:E,E:E,代理人!J:J)</f>
        <v>5584.1</v>
      </c>
      <c r="P8" s="77">
        <f>SUMIF(代理人!E:E,E:E,代理人!L:L)</f>
        <v>5584.1</v>
      </c>
    </row>
    <row r="9" ht="24" customHeight="1" spans="1:16">
      <c r="A9" s="4" t="s">
        <v>42</v>
      </c>
      <c r="B9" s="4" t="s">
        <v>62</v>
      </c>
      <c r="C9" s="4" t="s">
        <v>72</v>
      </c>
      <c r="D9" s="4" t="s">
        <v>218</v>
      </c>
      <c r="E9" s="4">
        <v>6409592302</v>
      </c>
      <c r="F9" s="4">
        <v>15</v>
      </c>
      <c r="G9" s="4">
        <f>COUNTIF(代理人!C:C,C:C)</f>
        <v>15</v>
      </c>
      <c r="H9" s="4">
        <f>SUMIF(代理人!C:C,C:C,代理人!O:O)</f>
        <v>1</v>
      </c>
      <c r="I9" s="75">
        <f t="shared" si="0"/>
        <v>0.0666666666666667</v>
      </c>
      <c r="J9" s="4">
        <f>IF(F:F&gt;=10,6,3)</f>
        <v>6</v>
      </c>
      <c r="K9" s="76">
        <f>SUMIF(代理人!C:C,C:C,代理人!J:J)/10000</f>
        <v>0.53413</v>
      </c>
      <c r="L9" s="75">
        <f t="shared" si="1"/>
        <v>0.0890216666666667</v>
      </c>
      <c r="M9" s="76">
        <f>SUMIF(代理人!C:C,C:C,代理人!L:L)/10000</f>
        <v>0</v>
      </c>
      <c r="N9" s="75">
        <f t="shared" si="2"/>
        <v>0</v>
      </c>
      <c r="O9" s="77">
        <f>SUMIF(代理人!E:E,E:E,代理人!J:J)</f>
        <v>0</v>
      </c>
      <c r="P9" s="77">
        <f>SUMIF(代理人!E:E,E:E,代理人!L:L)</f>
        <v>0</v>
      </c>
    </row>
    <row r="10" ht="24" customHeight="1" spans="1:16">
      <c r="A10" s="4" t="s">
        <v>48</v>
      </c>
      <c r="B10" s="4" t="s">
        <v>49</v>
      </c>
      <c r="C10" s="4" t="s">
        <v>82</v>
      </c>
      <c r="D10" s="4" t="s">
        <v>219</v>
      </c>
      <c r="E10" s="4">
        <v>5159113652</v>
      </c>
      <c r="F10" s="4">
        <v>12</v>
      </c>
      <c r="G10" s="4">
        <f>COUNTIF(代理人!C:C,C:C)</f>
        <v>12</v>
      </c>
      <c r="H10" s="4">
        <f>SUMIF(代理人!C:C,C:C,代理人!O:O)</f>
        <v>1</v>
      </c>
      <c r="I10" s="75">
        <f t="shared" si="0"/>
        <v>0.0833333333333333</v>
      </c>
      <c r="J10" s="4">
        <f>IF(F:F&gt;=10,6,3)</f>
        <v>6</v>
      </c>
      <c r="K10" s="76">
        <f>SUMIF(代理人!C:C,C:C,代理人!J:J)/10000</f>
        <v>0.34326</v>
      </c>
      <c r="L10" s="75">
        <f t="shared" si="1"/>
        <v>0.05721</v>
      </c>
      <c r="M10" s="76">
        <f>SUMIF(代理人!C:C,C:C,代理人!L:L)/10000</f>
        <v>0.34326</v>
      </c>
      <c r="N10" s="75">
        <f t="shared" si="2"/>
        <v>0.05721</v>
      </c>
      <c r="O10" s="77">
        <f>SUMIF(代理人!E:E,E:E,代理人!J:J)</f>
        <v>0</v>
      </c>
      <c r="P10" s="77">
        <f>SUMIF(代理人!E:E,E:E,代理人!L:L)</f>
        <v>0</v>
      </c>
    </row>
    <row r="11" ht="24" hidden="1" customHeight="1" spans="1:16">
      <c r="A11" s="4" t="s">
        <v>42</v>
      </c>
      <c r="B11" s="4" t="s">
        <v>62</v>
      </c>
      <c r="C11" s="4" t="s">
        <v>86</v>
      </c>
      <c r="D11" s="4" t="s">
        <v>87</v>
      </c>
      <c r="E11" s="4">
        <v>214639732</v>
      </c>
      <c r="F11" s="4">
        <v>15</v>
      </c>
      <c r="G11" s="4">
        <f>COUNTIF(代理人!C:C,C:C)</f>
        <v>15</v>
      </c>
      <c r="H11" s="4">
        <f>SUMIF(代理人!C:C,C:C,代理人!O:O)</f>
        <v>1</v>
      </c>
      <c r="I11" s="75">
        <f t="shared" si="0"/>
        <v>0.0666666666666667</v>
      </c>
      <c r="J11" s="4">
        <f>IF(F:F&gt;=10,6,3)</f>
        <v>6</v>
      </c>
      <c r="K11" s="76">
        <f>SUMIF(代理人!C:C,C:C,代理人!J:J)/10000</f>
        <v>0.15657</v>
      </c>
      <c r="L11" s="75">
        <f t="shared" si="1"/>
        <v>0.026095</v>
      </c>
      <c r="M11" s="76">
        <f>SUMIF(代理人!C:C,C:C,代理人!L:L)/10000</f>
        <v>-0.06425</v>
      </c>
      <c r="N11" s="75">
        <f t="shared" si="2"/>
        <v>-0.0107083333333333</v>
      </c>
      <c r="O11" s="77">
        <f>SUMIF(代理人!E:E,E:E,代理人!J:J)</f>
        <v>1825</v>
      </c>
      <c r="P11" s="77">
        <f>SUMIF(代理人!E:E,E:E,代理人!L:L)</f>
        <v>-383.2</v>
      </c>
    </row>
    <row r="12" ht="24" hidden="1" customHeight="1" spans="1:16">
      <c r="A12" s="4" t="s">
        <v>42</v>
      </c>
      <c r="B12" s="4" t="s">
        <v>43</v>
      </c>
      <c r="C12" s="4" t="s">
        <v>75</v>
      </c>
      <c r="D12" s="4" t="s">
        <v>76</v>
      </c>
      <c r="E12" s="4">
        <v>5671371552</v>
      </c>
      <c r="F12" s="4">
        <v>8</v>
      </c>
      <c r="G12" s="4">
        <f>COUNTIF(代理人!C:C,C:C)</f>
        <v>8</v>
      </c>
      <c r="H12" s="4">
        <f>SUMIF(代理人!C:C,C:C,代理人!O:O)</f>
        <v>0</v>
      </c>
      <c r="I12" s="75">
        <f t="shared" si="0"/>
        <v>0</v>
      </c>
      <c r="J12" s="4">
        <f>IF(F:F&gt;=10,6,3)</f>
        <v>3</v>
      </c>
      <c r="K12" s="76">
        <f>SUMIF(代理人!C:C,C:C,代理人!J:J)/10000</f>
        <v>0.03851</v>
      </c>
      <c r="L12" s="75">
        <f t="shared" si="1"/>
        <v>0.0128366666666667</v>
      </c>
      <c r="M12" s="76">
        <f>SUMIF(代理人!C:C,C:C,代理人!L:L)/10000</f>
        <v>-0.00714</v>
      </c>
      <c r="N12" s="75">
        <f t="shared" si="2"/>
        <v>-0.00238</v>
      </c>
      <c r="O12" s="77">
        <f>SUMIF(代理人!E:E,E:E,代理人!J:J)</f>
        <v>385.1</v>
      </c>
      <c r="P12" s="77">
        <f>SUMIF(代理人!E:E,E:E,代理人!L:L)</f>
        <v>-71.4</v>
      </c>
    </row>
    <row r="13" ht="24" customHeight="1" spans="1:16">
      <c r="A13" s="4" t="s">
        <v>42</v>
      </c>
      <c r="B13" s="4" t="s">
        <v>43</v>
      </c>
      <c r="C13" s="4" t="s">
        <v>77</v>
      </c>
      <c r="D13" s="4" t="s">
        <v>220</v>
      </c>
      <c r="E13" s="4">
        <v>362775482</v>
      </c>
      <c r="F13" s="4">
        <v>5</v>
      </c>
      <c r="G13" s="4">
        <f>COUNTIF(代理人!C:C,C:C)</f>
        <v>5</v>
      </c>
      <c r="H13" s="4">
        <f>SUMIF(代理人!C:C,C:C,代理人!O:O)</f>
        <v>0</v>
      </c>
      <c r="I13" s="75">
        <f t="shared" si="0"/>
        <v>0</v>
      </c>
      <c r="J13" s="4">
        <f>IF(F:F&gt;=10,6,3)</f>
        <v>3</v>
      </c>
      <c r="K13" s="76">
        <f>SUMIF(代理人!C:C,C:C,代理人!J:J)/10000</f>
        <v>0.01577</v>
      </c>
      <c r="L13" s="75">
        <f t="shared" si="1"/>
        <v>0.00525666666666667</v>
      </c>
      <c r="M13" s="76">
        <f>SUMIF(代理人!C:C,C:C,代理人!L:L)/10000</f>
        <v>0</v>
      </c>
      <c r="N13" s="75">
        <f t="shared" si="2"/>
        <v>0</v>
      </c>
      <c r="O13" s="77">
        <f>SUMIF(代理人!E:E,E:E,代理人!J:J)</f>
        <v>0</v>
      </c>
      <c r="P13" s="77">
        <f>SUMIF(代理人!E:E,E:E,代理人!L:L)</f>
        <v>0</v>
      </c>
    </row>
    <row r="14" ht="24" customHeight="1" spans="1:16">
      <c r="A14" s="4" t="s">
        <v>27</v>
      </c>
      <c r="B14" s="4" t="s">
        <v>100</v>
      </c>
      <c r="C14" s="4" t="s">
        <v>101</v>
      </c>
      <c r="D14" s="4" t="s">
        <v>221</v>
      </c>
      <c r="E14" s="4">
        <v>283558582</v>
      </c>
      <c r="F14" s="4">
        <v>13</v>
      </c>
      <c r="G14" s="4">
        <f>COUNTIF(代理人!C:C,C:C)</f>
        <v>13</v>
      </c>
      <c r="H14" s="4">
        <f>SUMIF(代理人!C:C,C:C,代理人!O:O)</f>
        <v>0</v>
      </c>
      <c r="I14" s="75">
        <f t="shared" si="0"/>
        <v>0</v>
      </c>
      <c r="J14" s="4">
        <f>IF(F:F&gt;=10,6,3)</f>
        <v>6</v>
      </c>
      <c r="K14" s="76">
        <f>SUMIF(代理人!C:C,C:C,代理人!J:J)/10000</f>
        <v>0.00962</v>
      </c>
      <c r="L14" s="75">
        <f t="shared" si="1"/>
        <v>0.00160333333333333</v>
      </c>
      <c r="M14" s="76">
        <f>SUMIF(代理人!C:C,C:C,代理人!L:L)/10000</f>
        <v>0.00962</v>
      </c>
      <c r="N14" s="75">
        <f t="shared" si="2"/>
        <v>0.00160333333333333</v>
      </c>
      <c r="O14" s="77">
        <f>SUMIF(代理人!E:E,E:E,代理人!J:J)</f>
        <v>0</v>
      </c>
      <c r="P14" s="77">
        <f>SUMIF(代理人!E:E,E:E,代理人!L:L)</f>
        <v>0</v>
      </c>
    </row>
    <row r="15" ht="24" customHeight="1" spans="1:16">
      <c r="A15" s="4" t="s">
        <v>42</v>
      </c>
      <c r="B15" s="4" t="s">
        <v>62</v>
      </c>
      <c r="C15" s="4" t="s">
        <v>92</v>
      </c>
      <c r="D15" s="4" t="s">
        <v>222</v>
      </c>
      <c r="E15" s="4">
        <v>5722340032</v>
      </c>
      <c r="F15" s="4">
        <v>4</v>
      </c>
      <c r="G15" s="4">
        <f>COUNTIF(代理人!C:C,C:C)</f>
        <v>4</v>
      </c>
      <c r="H15" s="4">
        <f>SUMIF(代理人!C:C,C:C,代理人!O:O)</f>
        <v>0</v>
      </c>
      <c r="I15" s="75">
        <f t="shared" si="0"/>
        <v>0</v>
      </c>
      <c r="J15" s="4">
        <f>IF(F:F&gt;=10,6,3)</f>
        <v>3</v>
      </c>
      <c r="K15" s="76">
        <f>SUMIF(代理人!C:C,C:C,代理人!J:J)/10000</f>
        <v>0.00314</v>
      </c>
      <c r="L15" s="75">
        <f t="shared" si="1"/>
        <v>0.00104666666666667</v>
      </c>
      <c r="M15" s="76">
        <f>SUMIF(代理人!C:C,C:C,代理人!L:L)/10000</f>
        <v>0.00314</v>
      </c>
      <c r="N15" s="75">
        <f t="shared" si="2"/>
        <v>0.00104666666666667</v>
      </c>
      <c r="O15" s="77">
        <f>SUMIF(代理人!E:E,E:E,代理人!J:J)</f>
        <v>0</v>
      </c>
      <c r="P15" s="77">
        <f>SUMIF(代理人!E:E,E:E,代理人!L:L)</f>
        <v>0</v>
      </c>
    </row>
    <row r="16" ht="24" hidden="1" customHeight="1" spans="1:16">
      <c r="A16" s="4" t="s">
        <v>27</v>
      </c>
      <c r="B16" s="4" t="s">
        <v>37</v>
      </c>
      <c r="C16" s="4" t="s">
        <v>110</v>
      </c>
      <c r="D16" s="4" t="s">
        <v>111</v>
      </c>
      <c r="E16" s="4">
        <v>477030872</v>
      </c>
      <c r="F16" s="4">
        <v>3</v>
      </c>
      <c r="G16" s="4">
        <f>COUNTIF(代理人!C:C,C:C)</f>
        <v>3</v>
      </c>
      <c r="H16" s="4">
        <f>SUMIF(代理人!C:C,C:C,代理人!O:O)</f>
        <v>0</v>
      </c>
      <c r="I16" s="75">
        <f t="shared" si="0"/>
        <v>0</v>
      </c>
      <c r="J16" s="4">
        <f>IF(F:F&gt;=10,6,3)</f>
        <v>3</v>
      </c>
      <c r="K16" s="76">
        <f>SUMIF(代理人!C:C,C:C,代理人!J:J)/10000</f>
        <v>0.00279</v>
      </c>
      <c r="L16" s="75">
        <f t="shared" si="1"/>
        <v>0.00093</v>
      </c>
      <c r="M16" s="76">
        <f>SUMIF(代理人!C:C,C:C,代理人!L:L)/10000</f>
        <v>0.00279</v>
      </c>
      <c r="N16" s="75">
        <f t="shared" si="2"/>
        <v>0.00093</v>
      </c>
      <c r="O16" s="77">
        <f>SUMIF(代理人!E:E,E:E,代理人!J:J)</f>
        <v>27.9</v>
      </c>
      <c r="P16" s="77">
        <f>SUMIF(代理人!E:E,E:E,代理人!L:L)</f>
        <v>27.9</v>
      </c>
    </row>
    <row r="17" ht="24" customHeight="1" spans="1:16">
      <c r="A17" s="4" t="s">
        <v>42</v>
      </c>
      <c r="B17" s="4" t="s">
        <v>62</v>
      </c>
      <c r="C17" s="4" t="s">
        <v>108</v>
      </c>
      <c r="D17" s="4" t="s">
        <v>223</v>
      </c>
      <c r="E17" s="4">
        <v>5228523972</v>
      </c>
      <c r="F17" s="4">
        <v>15</v>
      </c>
      <c r="G17" s="4">
        <f>COUNTIF(代理人!C:C,C:C)</f>
        <v>15</v>
      </c>
      <c r="H17" s="4">
        <f>SUMIF(代理人!C:C,C:C,代理人!O:O)</f>
        <v>0</v>
      </c>
      <c r="I17" s="75">
        <f t="shared" si="0"/>
        <v>0</v>
      </c>
      <c r="J17" s="4">
        <f>IF(F:F&gt;=10,6,3)</f>
        <v>6</v>
      </c>
      <c r="K17" s="76">
        <f>SUMIF(代理人!C:C,C:C,代理人!J:J)/10000</f>
        <v>0.00137</v>
      </c>
      <c r="L17" s="75">
        <f t="shared" si="1"/>
        <v>0.000228333333333333</v>
      </c>
      <c r="M17" s="76">
        <f>SUMIF(代理人!C:C,C:C,代理人!L:L)/10000</f>
        <v>0.00137</v>
      </c>
      <c r="N17" s="75">
        <f t="shared" si="2"/>
        <v>0.000228333333333333</v>
      </c>
      <c r="O17" s="77">
        <f>SUMIF(代理人!E:E,E:E,代理人!J:J)</f>
        <v>0</v>
      </c>
      <c r="P17" s="77">
        <f>SUMIF(代理人!E:E,E:E,代理人!L:L)</f>
        <v>0</v>
      </c>
    </row>
    <row r="18" ht="24" hidden="1" customHeight="1" spans="1:16">
      <c r="A18" s="4" t="s">
        <v>27</v>
      </c>
      <c r="B18" s="4" t="s">
        <v>37</v>
      </c>
      <c r="C18" s="4" t="s">
        <v>38</v>
      </c>
      <c r="D18" s="4" t="s">
        <v>39</v>
      </c>
      <c r="E18" s="4">
        <v>68852502</v>
      </c>
      <c r="F18" s="4">
        <v>8</v>
      </c>
      <c r="G18" s="4">
        <f>COUNTIF(代理人!C:C,C:C)</f>
        <v>8</v>
      </c>
      <c r="H18" s="4">
        <f>SUMIF(代理人!C:C,C:C,代理人!O:O)</f>
        <v>0</v>
      </c>
      <c r="I18" s="75">
        <f t="shared" si="0"/>
        <v>0</v>
      </c>
      <c r="J18" s="4">
        <f>IF(F:F&gt;=10,6,3)</f>
        <v>3</v>
      </c>
      <c r="K18" s="76">
        <f>SUMIF(代理人!C:C,C:C,代理人!J:J)/10000</f>
        <v>0.00046</v>
      </c>
      <c r="L18" s="75">
        <f t="shared" si="1"/>
        <v>0.000153333333333333</v>
      </c>
      <c r="M18" s="76">
        <f>SUMIF(代理人!C:C,C:C,代理人!L:L)/10000</f>
        <v>0</v>
      </c>
      <c r="N18" s="75">
        <f t="shared" si="2"/>
        <v>0</v>
      </c>
      <c r="O18" s="77">
        <f>SUMIF(代理人!E:E,E:E,代理人!J:J)</f>
        <v>4.6</v>
      </c>
      <c r="P18" s="77">
        <f>SUMIF(代理人!E:E,E:E,代理人!L:L)</f>
        <v>0</v>
      </c>
    </row>
    <row r="19" ht="24" customHeight="1" spans="1:16">
      <c r="A19" s="4" t="s">
        <v>27</v>
      </c>
      <c r="B19" s="4" t="s">
        <v>28</v>
      </c>
      <c r="C19" s="4" t="s">
        <v>224</v>
      </c>
      <c r="D19" s="4" t="s">
        <v>225</v>
      </c>
      <c r="E19" s="4">
        <v>6025005442</v>
      </c>
      <c r="F19" s="4">
        <v>4</v>
      </c>
      <c r="G19" s="4">
        <f>COUNTIF(代理人!C:C,C:C)</f>
        <v>4</v>
      </c>
      <c r="H19" s="4">
        <f>SUMIF(代理人!C:C,C:C,代理人!O:O)</f>
        <v>0</v>
      </c>
      <c r="I19" s="75">
        <f t="shared" si="0"/>
        <v>0</v>
      </c>
      <c r="J19" s="4">
        <f>IF(F:F&gt;=10,6,3)</f>
        <v>3</v>
      </c>
      <c r="K19" s="76">
        <f>SUMIF(代理人!C:C,C:C,代理人!J:J)/10000</f>
        <v>0</v>
      </c>
      <c r="L19" s="75">
        <f t="shared" si="1"/>
        <v>0</v>
      </c>
      <c r="M19" s="76">
        <f>SUMIF(代理人!C:C,C:C,代理人!L:L)/10000</f>
        <v>0</v>
      </c>
      <c r="N19" s="75">
        <f t="shared" si="2"/>
        <v>0</v>
      </c>
      <c r="O19" s="77">
        <f>SUMIF(代理人!E:E,E:E,代理人!J:J)</f>
        <v>0</v>
      </c>
      <c r="P19" s="77">
        <f>SUMIF(代理人!E:E,E:E,代理人!L:L)</f>
        <v>0</v>
      </c>
    </row>
    <row r="20" ht="24" customHeight="1" spans="1:16">
      <c r="A20" s="4" t="s">
        <v>27</v>
      </c>
      <c r="B20" s="4" t="s">
        <v>37</v>
      </c>
      <c r="C20" s="4" t="s">
        <v>226</v>
      </c>
      <c r="D20" s="4" t="s">
        <v>227</v>
      </c>
      <c r="E20" s="4">
        <v>5323989142</v>
      </c>
      <c r="F20" s="4">
        <v>10</v>
      </c>
      <c r="G20" s="4">
        <f>COUNTIF(代理人!C:C,C:C)</f>
        <v>10</v>
      </c>
      <c r="H20" s="4">
        <f>SUMIF(代理人!C:C,C:C,代理人!O:O)</f>
        <v>0</v>
      </c>
      <c r="I20" s="75">
        <f t="shared" si="0"/>
        <v>0</v>
      </c>
      <c r="J20" s="4">
        <f>IF(F:F&gt;=10,6,3)</f>
        <v>6</v>
      </c>
      <c r="K20" s="76">
        <f>SUMIF(代理人!C:C,C:C,代理人!J:J)/10000</f>
        <v>0</v>
      </c>
      <c r="L20" s="75">
        <f t="shared" si="1"/>
        <v>0</v>
      </c>
      <c r="M20" s="76">
        <f>SUMIF(代理人!C:C,C:C,代理人!L:L)/10000</f>
        <v>0</v>
      </c>
      <c r="N20" s="75">
        <f t="shared" si="2"/>
        <v>0</v>
      </c>
      <c r="O20" s="77">
        <f>SUMIF(代理人!E:E,E:E,代理人!J:J)</f>
        <v>0</v>
      </c>
      <c r="P20" s="77">
        <f>SUMIF(代理人!E:E,E:E,代理人!L:L)</f>
        <v>0</v>
      </c>
    </row>
    <row r="21" ht="24" customHeight="1" spans="1:16">
      <c r="A21" s="4" t="s">
        <v>42</v>
      </c>
      <c r="B21" s="4" t="s">
        <v>62</v>
      </c>
      <c r="C21" s="4" t="s">
        <v>228</v>
      </c>
      <c r="D21" s="4" t="s">
        <v>229</v>
      </c>
      <c r="E21" s="4">
        <v>786071202</v>
      </c>
      <c r="F21" s="4">
        <v>7</v>
      </c>
      <c r="G21" s="4">
        <f>COUNTIF(代理人!C:C,C:C)</f>
        <v>7</v>
      </c>
      <c r="H21" s="4">
        <f>SUMIF(代理人!C:C,C:C,代理人!O:O)</f>
        <v>0</v>
      </c>
      <c r="I21" s="75">
        <f t="shared" si="0"/>
        <v>0</v>
      </c>
      <c r="J21" s="4">
        <f>IF(F:F&gt;=10,6,3)</f>
        <v>3</v>
      </c>
      <c r="K21" s="76">
        <f>SUMIF(代理人!C:C,C:C,代理人!J:J)/10000</f>
        <v>0</v>
      </c>
      <c r="L21" s="75">
        <f t="shared" si="1"/>
        <v>0</v>
      </c>
      <c r="M21" s="76">
        <f>SUMIF(代理人!C:C,C:C,代理人!L:L)/10000</f>
        <v>0</v>
      </c>
      <c r="N21" s="75">
        <f t="shared" si="2"/>
        <v>0</v>
      </c>
      <c r="O21" s="77">
        <f>SUMIF(代理人!E:E,E:E,代理人!J:J)</f>
        <v>0</v>
      </c>
      <c r="P21" s="77">
        <f>SUMIF(代理人!E:E,E:E,代理人!L:L)</f>
        <v>0</v>
      </c>
    </row>
    <row r="22" ht="24" customHeight="1" spans="1:16">
      <c r="A22" s="4" t="s">
        <v>27</v>
      </c>
      <c r="B22" s="4" t="s">
        <v>28</v>
      </c>
      <c r="C22" s="4" t="s">
        <v>29</v>
      </c>
      <c r="D22" s="4" t="s">
        <v>30</v>
      </c>
      <c r="E22" s="4">
        <v>588442562</v>
      </c>
      <c r="F22" s="4">
        <v>46</v>
      </c>
      <c r="G22" s="4">
        <f>COUNTIF(代理人!C:C,C:C)</f>
        <v>46</v>
      </c>
      <c r="H22" s="4">
        <f>SUMIF(代理人!C:C,C:C,代理人!O:O)</f>
        <v>1</v>
      </c>
      <c r="I22" s="75">
        <f t="shared" si="0"/>
        <v>0.0217391304347826</v>
      </c>
      <c r="J22" s="4">
        <f>IF(F:F&gt;=10,6,3)</f>
        <v>6</v>
      </c>
      <c r="K22" s="76">
        <f>SUMIF(代理人!C:C,C:C,代理人!J:J)/10000</f>
        <v>0</v>
      </c>
      <c r="L22" s="75">
        <f t="shared" si="1"/>
        <v>0</v>
      </c>
      <c r="M22" s="76">
        <f>SUMIF(代理人!C:C,C:C,代理人!L:L)/10000</f>
        <v>0</v>
      </c>
      <c r="N22" s="75">
        <f t="shared" si="2"/>
        <v>0</v>
      </c>
      <c r="O22" s="77">
        <f>SUMIF(代理人!E:E,E:E,代理人!J:J)</f>
        <v>0</v>
      </c>
      <c r="P22" s="77">
        <f>SUMIF(代理人!E:E,E:E,代理人!L:L)</f>
        <v>0</v>
      </c>
    </row>
  </sheetData>
  <mergeCells count="1">
    <mergeCell ref="A1:P1"/>
  </mergeCells>
  <conditionalFormatting sqref="O3:P22">
    <cfRule type="cellIs" dxfId="16" priority="1" operator="greaterThan">
      <formula>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AL307"/>
  <sheetViews>
    <sheetView topLeftCell="I1" workbookViewId="0">
      <selection activeCell="AB1" sqref="AB1"/>
    </sheetView>
  </sheetViews>
  <sheetFormatPr defaultColWidth="9" defaultRowHeight="16.5"/>
  <cols>
    <col min="1" max="1" width="12.875" style="52" customWidth="1"/>
    <col min="2" max="2" width="8.875" style="52" customWidth="1"/>
    <col min="3" max="3" width="17.125" style="52" customWidth="1"/>
    <col min="4" max="4" width="10.875" style="52" customWidth="1"/>
    <col min="5" max="5" width="11.5" style="52" customWidth="1"/>
    <col min="6" max="6" width="17.125" style="52" customWidth="1"/>
    <col min="7" max="7" width="10.625" style="52" hidden="1" customWidth="1"/>
    <col min="8" max="10" width="12.875" style="52" customWidth="1"/>
    <col min="11" max="11" width="12.875" style="61" customWidth="1"/>
    <col min="12" max="12" width="12.875" style="52" customWidth="1"/>
    <col min="13" max="13" width="12.875" style="61" customWidth="1"/>
    <col min="14" max="14" width="11" style="52" customWidth="1"/>
    <col min="15" max="15" width="8.875" style="52" customWidth="1"/>
    <col min="16" max="16" width="10.375" style="52" customWidth="1"/>
    <col min="17" max="18" width="10.375" style="61" customWidth="1"/>
    <col min="19" max="20" width="11.625" style="52" customWidth="1"/>
    <col min="21" max="22" width="12.875" style="52" customWidth="1"/>
    <col min="23" max="23" width="15" style="52" customWidth="1"/>
    <col min="24" max="24" width="16.375" style="52" customWidth="1"/>
    <col min="25" max="25" width="14.75" style="52" customWidth="1"/>
    <col min="26" max="26" width="4.625" style="52" customWidth="1"/>
    <col min="27" max="27" width="16.375" style="52" customWidth="1"/>
    <col min="28" max="28" width="4.625" style="52" customWidth="1"/>
    <col min="29" max="29" width="8.25" style="52" customWidth="1"/>
    <col min="30" max="30" width="7.5" style="52" customWidth="1"/>
    <col min="31" max="31" width="4.5" style="52" customWidth="1"/>
    <col min="32" max="34" width="14.75" style="52" customWidth="1"/>
    <col min="35" max="35" width="5.875" style="52" customWidth="1"/>
    <col min="36" max="37" width="20.25" style="52" customWidth="1"/>
    <col min="38" max="38" width="7.375" style="62" customWidth="1"/>
    <col min="39" max="16384" width="9" style="62"/>
  </cols>
  <sheetData>
    <row r="1" s="40" customFormat="1" ht="15" spans="1:38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126</v>
      </c>
      <c r="G1" s="63" t="s">
        <v>230</v>
      </c>
      <c r="H1" s="63" t="s">
        <v>231</v>
      </c>
      <c r="I1" s="63" t="s">
        <v>232</v>
      </c>
      <c r="J1" s="63" t="s">
        <v>233</v>
      </c>
      <c r="K1" s="66" t="s">
        <v>234</v>
      </c>
      <c r="L1" s="63" t="s">
        <v>235</v>
      </c>
      <c r="M1" s="66" t="s">
        <v>236</v>
      </c>
      <c r="N1" s="63" t="s">
        <v>237</v>
      </c>
      <c r="O1" s="63" t="s">
        <v>238</v>
      </c>
      <c r="P1" s="67">
        <v>20210509</v>
      </c>
      <c r="Q1" s="69" t="s">
        <v>239</v>
      </c>
      <c r="R1" s="69" t="s">
        <v>240</v>
      </c>
      <c r="S1" s="4" t="s">
        <v>241</v>
      </c>
      <c r="T1" s="4" t="s">
        <v>242</v>
      </c>
      <c r="U1" s="4" t="s">
        <v>243</v>
      </c>
      <c r="V1" s="4" t="s">
        <v>244</v>
      </c>
      <c r="W1" s="4" t="s">
        <v>245</v>
      </c>
      <c r="X1" s="70" t="s">
        <v>246</v>
      </c>
      <c r="Y1" s="70" t="s">
        <v>247</v>
      </c>
      <c r="Z1" s="70" t="s">
        <v>248</v>
      </c>
      <c r="AA1" s="70" t="s">
        <v>249</v>
      </c>
      <c r="AB1" s="70"/>
      <c r="AC1" s="67" t="s">
        <v>250</v>
      </c>
      <c r="AD1" s="67" t="s">
        <v>251</v>
      </c>
      <c r="AE1" s="67" t="s">
        <v>252</v>
      </c>
      <c r="AF1" s="42" t="s">
        <v>253</v>
      </c>
      <c r="AG1" s="42" t="s">
        <v>254</v>
      </c>
      <c r="AH1" s="42" t="s">
        <v>255</v>
      </c>
      <c r="AI1" s="42" t="s">
        <v>256</v>
      </c>
      <c r="AJ1" s="71" t="s">
        <v>257</v>
      </c>
      <c r="AK1" s="71" t="s">
        <v>258</v>
      </c>
      <c r="AL1" s="71" t="s">
        <v>259</v>
      </c>
    </row>
    <row r="2" spans="1:38">
      <c r="A2" s="64" t="s">
        <v>42</v>
      </c>
      <c r="B2" s="64" t="s">
        <v>62</v>
      </c>
      <c r="C2" s="64" t="s">
        <v>63</v>
      </c>
      <c r="D2" s="64" t="s">
        <v>64</v>
      </c>
      <c r="E2" s="64">
        <v>6550500692</v>
      </c>
      <c r="F2" s="64" t="s">
        <v>158</v>
      </c>
      <c r="G2" s="64" t="str">
        <f>IF(OR(F:F="高级经理一级",F:F="业务经理一级"),"主管","伙伴")</f>
        <v>伙伴</v>
      </c>
      <c r="H2" s="65">
        <f>SUMIF(险种!E:E,E:E,险种!R:R)-SUMIFS(险种!R:R,险种!U:U,"终止",险种!E:E,E:E)</f>
        <v>12000</v>
      </c>
      <c r="I2" s="65">
        <f>SUMIFS(险种!R:R,险种!U:U,"有效",险种!E:E,E:E)</f>
        <v>0</v>
      </c>
      <c r="J2" s="65">
        <f>ROUND(SUMIF(险种!E:E,E:E,险种!Q:Q)-SUMIFS(险种!Q:Q,险种!U:U,"终止",险种!E:E,E:E),1)</f>
        <v>11168.7</v>
      </c>
      <c r="K2" s="68">
        <f>RANK(J2,J:J)</f>
        <v>1</v>
      </c>
      <c r="L2" s="65">
        <f>ROUND(SUMIFS(险种!Q:Q,险种!U:U,"有效",险种!E:E,E:E),1)</f>
        <v>0</v>
      </c>
      <c r="M2" s="68">
        <f>RANK(L2,L:L,)</f>
        <v>14</v>
      </c>
      <c r="N2" s="68">
        <f>SUMIF(险种!E:E,E:E,险种!W:W)</f>
        <v>1</v>
      </c>
      <c r="O2" s="68">
        <f>IF(N:N&gt;=1,1,0)</f>
        <v>1</v>
      </c>
      <c r="P2" s="65">
        <f>ROUND(SUMIFS(险种!Q:Q,险种!V:V,$P$1,险种!E:E,E:E),1)</f>
        <v>11168.7</v>
      </c>
      <c r="Q2" s="68">
        <f>RANK(P2,$P:$P,0)-1</f>
        <v>1</v>
      </c>
      <c r="R2" s="68" t="str">
        <f>A:A&amp;D:D&amp;G:G&amp;"在"&amp;$P$1&amp;"预收"&amp;P:P&amp;"排名中支第"&amp;Q:Q&amp;"位"</f>
        <v>淮南本部程楠伙伴在20210509预收11168.7排名中支第1位</v>
      </c>
      <c r="S2" s="65">
        <f>ROUND(SUMIFS(险种!Q:Q,险种!E:E,E:E,险种!V:V,"&lt;=20210506")-SUMIFS(险种!Q:Q,险种!U:U,"终止",险种!E:E,E:E,险种!V:V,"&lt;=20210506"),1)</f>
        <v>0</v>
      </c>
      <c r="T2" s="65">
        <f>ROUND(SUMIFS(险种!Q:Q,险种!U:U,"有效",险种!E:E,E:E,险种!V:V,"&lt;=20210506"),1)</f>
        <v>0</v>
      </c>
      <c r="U2" s="65">
        <f>ROUND(SUMIFS(险种!Q:Q,险种!E:E,E:E,险种!V:V,"&lt;=20210510")-SUMIFS(险种!Q:Q,险种!U:U,"终止",险种!E:E,E:E,险种!V:V,"&lt;=20210510"),1)</f>
        <v>11168.7</v>
      </c>
      <c r="V2" s="65">
        <f>ROUND(SUMIFS(险种!Q:Q,险种!U:U,"有效",险种!E:E,E:E,险种!V:V,"&lt;=20210510"),1)</f>
        <v>0</v>
      </c>
      <c r="W2" s="65">
        <f t="shared" ref="W2:W65" si="0">U2-V2</f>
        <v>11168.7</v>
      </c>
      <c r="X2" s="68">
        <f>SUMIF(险种!E:E,E:E,险种!Y:Y)</f>
        <v>1</v>
      </c>
      <c r="Y2" s="65">
        <f>MAX(_xlfn.IFS(OR(X:X=1,X:X=2),J:J*0.1,X:X&gt;=3,J:J*0.2,X:X=0,0),IF(J:J&gt;=20000,J:J*0.2,0))</f>
        <v>1116.87</v>
      </c>
      <c r="Z2" s="65" t="str">
        <f>A2&amp;D2&amp;G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淮南本部程楠伙伴5.1-5.10预收价值保费11169，首周预收3000P件数1件，预收拟加佣1117元。温馨提示，保单需10日（含）前承保，目前还有11169价值保费未承保,距离20%提档差距2件</v>
      </c>
      <c r="AA2" s="68">
        <f>SUMIF(险种!E:E,E:E,险种!Z:Z)</f>
        <v>0</v>
      </c>
      <c r="AB2" s="65"/>
      <c r="AC2" s="68">
        <f>SUMIF(险种!E:E,E:E,险种!AA:AA)</f>
        <v>12</v>
      </c>
      <c r="AD2" s="68">
        <f>SUMIFS(险种!AA:AA,险种!U:U,"有效",险种!E:E,E:E)</f>
        <v>0</v>
      </c>
      <c r="AE2" s="68" t="str">
        <f>A2&amp;D2&amp;G2&amp;"目前获得"&amp;$AC$1&amp;AC:AC&amp;"名，获得"&amp;$AD$1&amp;AD:AD&amp;"名"</f>
        <v>淮南本部程楠伙伴目前获得龙虾节预收名额12名，获得龙虾节承保名额0名</v>
      </c>
      <c r="AF2" s="68">
        <f>SUMIF(认购返还案!D:D,E:E,认购返还案!E:E)</f>
        <v>200</v>
      </c>
      <c r="AG2" s="68">
        <f>_xlfn.IFS(AND(U:U&gt;=3000,U:U&lt;5000),AF:AF*0.5,U:U&gt;=5000,AF:AF*1,U:U&lt;3000,0)</f>
        <v>200</v>
      </c>
      <c r="AH2" s="68">
        <f>_xlfn.IFS(AND(V:V&gt;=3000,V:V&lt;5000),AF:AF*0.5,V:V&gt;=5000,AF:AF*1,V:V&lt;3000,0)</f>
        <v>0</v>
      </c>
      <c r="AI2" s="68" t="str">
        <f>A:A&amp;D:D&amp;G:G&amp;$AF$1&amp;AF:AF&amp;"元，目前预收价值"&amp;U:U&amp;"，"&amp;$AG$1&amp;AG:AG&amp;"元，"&amp;$AH$1&amp;AH:AH&amp;"元"</f>
        <v>淮南本部程楠伙伴冲锋队缴费金额200元，目前预收价值11168.7，预收拟返还200元，承保拟返还0元</v>
      </c>
      <c r="AJ2" s="68">
        <f>SUMIF(保单!R:R,E:E,保单!BE:BE)*IF(AF:AF&gt;1,1,0)</f>
        <v>1</v>
      </c>
      <c r="AK2" s="68">
        <f>SUMIFS(保单!BE:BE,保单!R:R,E:E,保单!BB:BB,"有效")*IF(AF:AF&gt;1,1,0)</f>
        <v>0</v>
      </c>
      <c r="AL2" s="72" t="str">
        <f>A:A&amp;D:D&amp;G:G&amp;"只要在1-10日承保全部保单，即可获得"&amp;$AJ$1&amp;AJ:AJ&amp;"个"</f>
        <v>淮南本部程楠伙伴只要在1-10日承保全部保单，即可获得冲锋队按摩仪1个</v>
      </c>
    </row>
    <row r="3" spans="1:38">
      <c r="A3" s="64" t="s">
        <v>42</v>
      </c>
      <c r="B3" s="64" t="s">
        <v>43</v>
      </c>
      <c r="C3" s="64" t="s">
        <v>70</v>
      </c>
      <c r="D3" s="64" t="s">
        <v>71</v>
      </c>
      <c r="E3" s="64">
        <v>5689072702</v>
      </c>
      <c r="F3" s="64" t="s">
        <v>165</v>
      </c>
      <c r="G3" s="64" t="str">
        <f>IF(OR(F:F="高级经理一级",F:F="业务经理一级"),"主管","伙伴")</f>
        <v>主管</v>
      </c>
      <c r="H3" s="65">
        <f>SUMIF(险种!E:E,E:E,险种!R:R)-SUMIFS(险种!R:R,险种!U:U,"终止",险种!E:E,E:E)</f>
        <v>11754</v>
      </c>
      <c r="I3" s="65">
        <f>SUMIFS(险种!R:R,险种!U:U,"有效",险种!E:E,E:E)</f>
        <v>11754</v>
      </c>
      <c r="J3" s="65">
        <f>ROUND(SUMIF(险种!E:E,E:E,险种!Q:Q)-SUMIFS(险种!Q:Q,险种!U:U,"终止",险种!E:E,E:E),1)</f>
        <v>9786.6</v>
      </c>
      <c r="K3" s="68">
        <f>RANK(J3,J:J)</f>
        <v>2</v>
      </c>
      <c r="L3" s="65">
        <f>ROUND(SUMIFS(险种!Q:Q,险种!U:U,"有效",险种!E:E,E:E),1)</f>
        <v>9786.6</v>
      </c>
      <c r="M3" s="68">
        <f>RANK(L3,L:L,)</f>
        <v>1</v>
      </c>
      <c r="N3" s="68">
        <f>SUMIF(险种!E:E,E:E,险种!W:W)</f>
        <v>2</v>
      </c>
      <c r="O3" s="68">
        <f>IF(N:N&gt;=1,1,0)</f>
        <v>1</v>
      </c>
      <c r="P3" s="65">
        <f>ROUND(SUMIFS(险种!Q:Q,险种!V:V,$P$1,险种!E:E,E:E),1)</f>
        <v>6412.8</v>
      </c>
      <c r="Q3" s="68">
        <f>RANK(P3,$P:$P,0)-1</f>
        <v>2</v>
      </c>
      <c r="R3" s="68" t="str">
        <f>A:A&amp;D:D&amp;G:G&amp;"在"&amp;$P$1&amp;"预收"&amp;P:P&amp;"排名中支第"&amp;Q:Q&amp;"位"</f>
        <v>淮南本部方林主管在20210509预收6412.8排名中支第2位</v>
      </c>
      <c r="S3" s="65">
        <f>ROUND(SUMIFS(险种!Q:Q,险种!E:E,E:E,险种!V:V,"&lt;=20210506")-SUMIFS(险种!Q:Q,险种!U:U,"终止",险种!E:E,E:E,险种!V:V,"&lt;=20210506"),1)</f>
        <v>3373.9</v>
      </c>
      <c r="T3" s="65">
        <f>ROUND(SUMIFS(险种!Q:Q,险种!U:U,"有效",险种!E:E,E:E,险种!V:V,"&lt;=20210506"),1)</f>
        <v>3373.9</v>
      </c>
      <c r="U3" s="65">
        <f>ROUND(SUMIFS(险种!Q:Q,险种!E:E,E:E,险种!V:V,"&lt;=20210510")-SUMIFS(险种!Q:Q,险种!U:U,"终止",险种!E:E,E:E,险种!V:V,"&lt;=20210510"),1)</f>
        <v>9786.6</v>
      </c>
      <c r="V3" s="65">
        <f>ROUND(SUMIFS(险种!Q:Q,险种!U:U,"有效",险种!E:E,E:E,险种!V:V,"&lt;=20210510"),1)</f>
        <v>9786.6</v>
      </c>
      <c r="W3" s="65">
        <f t="shared" si="0"/>
        <v>0</v>
      </c>
      <c r="X3" s="68">
        <f>SUMIF(险种!E:E,E:E,险种!Y:Y)</f>
        <v>2</v>
      </c>
      <c r="Y3" s="65">
        <f>MAX(_xlfn.IFS(OR(X:X=1,X:X=2),J:J*0.1,X:X&gt;=3,J:J*0.2,X:X=0,0),IF(J:J&gt;=20000,J:J*0.2,0))</f>
        <v>978.66</v>
      </c>
      <c r="Z3" s="65" t="str">
        <f>A3&amp;D3&amp;G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淮南本部方林主管5.1-5.10预收价值保费9787，首周预收3000P件数2件，预收拟加佣979元。温馨提示，保单需10日（含）前承保，目前还有0价值保费未承保,距离20%提档差距1件</v>
      </c>
      <c r="AA3" s="68">
        <f>SUMIF(险种!E:E,E:E,险种!Z:Z)</f>
        <v>0</v>
      </c>
      <c r="AB3" s="65"/>
      <c r="AC3" s="68">
        <f>SUMIF(险种!E:E,E:E,险种!AA:AA)</f>
        <v>10</v>
      </c>
      <c r="AD3" s="68">
        <f>SUMIFS(险种!AA:AA,险种!U:U,"有效",险种!E:E,E:E)</f>
        <v>10</v>
      </c>
      <c r="AE3" s="68" t="str">
        <f>A3&amp;D3&amp;G3&amp;"目前获得"&amp;$AC$1&amp;AC:AC&amp;"名，获得"&amp;$AD$1&amp;AD:AD&amp;"名"</f>
        <v>淮南本部方林主管目前获得龙虾节预收名额10名，获得龙虾节承保名额10名</v>
      </c>
      <c r="AF3" s="68">
        <f>SUMIF(认购返还案!D:D,E:E,认购返还案!E:E)</f>
        <v>200</v>
      </c>
      <c r="AG3" s="68">
        <f>_xlfn.IFS(AND(U:U&gt;=3000,U:U&lt;5000),AF:AF*0.5,U:U&gt;=5000,AF:AF*1,U:U&lt;3000,0)</f>
        <v>200</v>
      </c>
      <c r="AH3" s="68">
        <f>_xlfn.IFS(AND(V:V&gt;=3000,V:V&lt;5000),AF:AF*0.5,V:V&gt;=5000,AF:AF*1,V:V&lt;3000,0)</f>
        <v>200</v>
      </c>
      <c r="AI3" s="68" t="str">
        <f>A:A&amp;D:D&amp;G:G&amp;$AF$1&amp;AF:AF&amp;"元，目前预收价值"&amp;U:U&amp;"，"&amp;$AG$1&amp;AG:AG&amp;"元，"&amp;$AH$1&amp;AH:AH&amp;"元"</f>
        <v>淮南本部方林主管冲锋队缴费金额200元，目前预收价值9786.6，预收拟返还200元，承保拟返还200元</v>
      </c>
      <c r="AJ3" s="68">
        <f>SUMIF(保单!R:R,E:E,保单!BE:BE)*IF(AF:AF&gt;1,1,0)</f>
        <v>2</v>
      </c>
      <c r="AK3" s="68">
        <f>SUMIFS(保单!BE:BE,保单!R:R,E:E,保单!BB:BB,"有效")*IF(AF:AF&gt;1,1,0)</f>
        <v>2</v>
      </c>
      <c r="AL3" s="72" t="str">
        <f>A:A&amp;D:D&amp;G:G&amp;"只要在1-10日承保全部保单，即可获得"&amp;$AJ$1&amp;AJ:AJ&amp;"个"</f>
        <v>淮南本部方林主管只要在1-10日承保全部保单，即可获得冲锋队按摩仪2个</v>
      </c>
    </row>
    <row r="4" spans="1:38">
      <c r="A4" s="64" t="s">
        <v>42</v>
      </c>
      <c r="B4" s="64" t="s">
        <v>62</v>
      </c>
      <c r="C4" s="64" t="s">
        <v>72</v>
      </c>
      <c r="D4" s="64" t="s">
        <v>73</v>
      </c>
      <c r="E4" s="64">
        <v>6487584872</v>
      </c>
      <c r="F4" s="64" t="s">
        <v>168</v>
      </c>
      <c r="G4" s="64" t="str">
        <f>IF(OR(F:F="高级经理一级",F:F="业务经理一级"),"主管","伙伴")</f>
        <v>伙伴</v>
      </c>
      <c r="H4" s="65">
        <f>SUMIF(险种!E:E,E:E,险种!R:R)-SUMIFS(险种!R:R,险种!U:U,"终止",险种!E:E,E:E)</f>
        <v>6453</v>
      </c>
      <c r="I4" s="65">
        <f>SUMIFS(险种!R:R,险种!U:U,"有效",险种!E:E,E:E)</f>
        <v>0</v>
      </c>
      <c r="J4" s="65">
        <f>ROUND(SUMIF(险种!E:E,E:E,险种!Q:Q)-SUMIFS(险种!Q:Q,险种!U:U,"终止",险种!E:E,E:E),1)</f>
        <v>5341.3</v>
      </c>
      <c r="K4" s="68">
        <f>RANK(J4,J:J)</f>
        <v>7</v>
      </c>
      <c r="L4" s="65">
        <f>ROUND(SUMIFS(险种!Q:Q,险种!U:U,"有效",险种!E:E,E:E),1)</f>
        <v>0</v>
      </c>
      <c r="M4" s="68">
        <f>RANK(L4,L:L,)</f>
        <v>14</v>
      </c>
      <c r="N4" s="68">
        <f>SUMIF(险种!E:E,E:E,险种!W:W)</f>
        <v>1</v>
      </c>
      <c r="O4" s="68">
        <f>IF(N:N&gt;=1,1,0)</f>
        <v>1</v>
      </c>
      <c r="P4" s="65">
        <f>ROUND(SUMIFS(险种!Q:Q,险种!V:V,$P$1,险种!E:E,E:E),1)</f>
        <v>5341.3</v>
      </c>
      <c r="Q4" s="68">
        <f>RANK(P4,$P:$P,0)-1</f>
        <v>3</v>
      </c>
      <c r="R4" s="68" t="str">
        <f>A:A&amp;D:D&amp;G:G&amp;"在"&amp;$P$1&amp;"预收"&amp;P:P&amp;"排名中支第"&amp;Q:Q&amp;"位"</f>
        <v>淮南本部程梅伙伴在20210509预收5341.3排名中支第3位</v>
      </c>
      <c r="S4" s="65">
        <f>ROUND(SUMIFS(险种!Q:Q,险种!E:E,E:E,险种!V:V,"&lt;=20210506")-SUMIFS(险种!Q:Q,险种!U:U,"终止",险种!E:E,E:E,险种!V:V,"&lt;=20210506"),1)</f>
        <v>0</v>
      </c>
      <c r="T4" s="65">
        <f>ROUND(SUMIFS(险种!Q:Q,险种!U:U,"有效",险种!E:E,E:E,险种!V:V,"&lt;=20210506"),1)</f>
        <v>0</v>
      </c>
      <c r="U4" s="65">
        <f>ROUND(SUMIFS(险种!Q:Q,险种!E:E,E:E,险种!V:V,"&lt;=20210510")-SUMIFS(险种!Q:Q,险种!U:U,"终止",险种!E:E,E:E,险种!V:V,"&lt;=20210510"),1)</f>
        <v>5341.3</v>
      </c>
      <c r="V4" s="65">
        <f>ROUND(SUMIFS(险种!Q:Q,险种!U:U,"有效",险种!E:E,E:E,险种!V:V,"&lt;=20210510"),1)</f>
        <v>0</v>
      </c>
      <c r="W4" s="65">
        <f t="shared" si="0"/>
        <v>5341.3</v>
      </c>
      <c r="X4" s="68">
        <f>SUMIF(险种!E:E,E:E,险种!Y:Y)</f>
        <v>1</v>
      </c>
      <c r="Y4" s="65">
        <f>MAX(_xlfn.IFS(OR(X:X=1,X:X=2),J:J*0.1,X:X&gt;=3,J:J*0.2,X:X=0,0),IF(J:J&gt;=20000,J:J*0.2,0))</f>
        <v>534.13</v>
      </c>
      <c r="Z4" s="65" t="str">
        <f>A4&amp;D4&amp;G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淮南本部程梅伙伴5.1-5.10预收价值保费5341，首周预收3000P件数1件，预收拟加佣534元。温馨提示，保单需10日（含）前承保，目前还有5341价值保费未承保,距离20%提档差距2件</v>
      </c>
      <c r="AA4" s="68">
        <f>SUMIF(险种!E:E,E:E,险种!Z:Z)</f>
        <v>0</v>
      </c>
      <c r="AB4" s="65"/>
      <c r="AC4" s="68">
        <f>SUMIF(险种!E:E,E:E,险种!AA:AA)</f>
        <v>6</v>
      </c>
      <c r="AD4" s="68">
        <f>SUMIFS(险种!AA:AA,险种!U:U,"有效",险种!E:E,E:E)</f>
        <v>0</v>
      </c>
      <c r="AE4" s="68" t="str">
        <f>A4&amp;D4&amp;G4&amp;"目前获得"&amp;$AC$1&amp;AC:AC&amp;"名，获得"&amp;$AD$1&amp;AD:AD&amp;"名"</f>
        <v>淮南本部程梅伙伴目前获得龙虾节预收名额6名，获得龙虾节承保名额0名</v>
      </c>
      <c r="AF4" s="68">
        <f>SUMIF(认购返还案!D:D,E:E,认购返还案!E:E)</f>
        <v>200</v>
      </c>
      <c r="AG4" s="68">
        <f>_xlfn.IFS(AND(U:U&gt;=3000,U:U&lt;5000),AF:AF*0.5,U:U&gt;=5000,AF:AF*1,U:U&lt;3000,0)</f>
        <v>200</v>
      </c>
      <c r="AH4" s="68">
        <f>_xlfn.IFS(AND(V:V&gt;=3000,V:V&lt;5000),AF:AF*0.5,V:V&gt;=5000,AF:AF*1,V:V&lt;3000,0)</f>
        <v>0</v>
      </c>
      <c r="AI4" s="68" t="str">
        <f>A:A&amp;D:D&amp;G:G&amp;$AF$1&amp;AF:AF&amp;"元，目前预收价值"&amp;U:U&amp;"，"&amp;$AG$1&amp;AG:AG&amp;"元，"&amp;$AH$1&amp;AH:AH&amp;"元"</f>
        <v>淮南本部程梅伙伴冲锋队缴费金额200元，目前预收价值5341.3，预收拟返还200元，承保拟返还0元</v>
      </c>
      <c r="AJ4" s="68">
        <f>SUMIF(保单!R:R,E:E,保单!BE:BE)*IF(AF:AF&gt;1,1,0)</f>
        <v>1</v>
      </c>
      <c r="AK4" s="68">
        <f>SUMIFS(保单!BE:BE,保单!R:R,E:E,保单!BB:BB,"有效")*IF(AF:AF&gt;1,1,0)</f>
        <v>0</v>
      </c>
      <c r="AL4" s="72" t="str">
        <f>A:A&amp;D:D&amp;G:G&amp;"只要在1-10日承保全部保单，即可获得"&amp;$AJ$1&amp;AJ:AJ&amp;"个"</f>
        <v>淮南本部程梅伙伴只要在1-10日承保全部保单，即可获得冲锋队按摩仪1个</v>
      </c>
    </row>
    <row r="5" spans="1:38">
      <c r="A5" s="64" t="s">
        <v>42</v>
      </c>
      <c r="B5" s="64" t="s">
        <v>66</v>
      </c>
      <c r="C5" s="64" t="s">
        <v>67</v>
      </c>
      <c r="D5" s="64" t="s">
        <v>68</v>
      </c>
      <c r="E5" s="64">
        <v>55996582</v>
      </c>
      <c r="F5" s="64" t="s">
        <v>165</v>
      </c>
      <c r="G5" s="64" t="str">
        <f>IF(OR(F:F="高级经理一级",F:F="业务经理一级"),"主管","伙伴")</f>
        <v>主管</v>
      </c>
      <c r="H5" s="65">
        <f>SUMIF(险种!E:E,E:E,险种!R:R)-SUMIFS(险种!R:R,险种!U:U,"终止",险种!E:E,E:E)</f>
        <v>5333</v>
      </c>
      <c r="I5" s="65">
        <f>SUMIFS(险种!R:R,险种!U:U,"有效",险种!E:E,E:E)</f>
        <v>5134</v>
      </c>
      <c r="J5" s="65">
        <f>ROUND(SUMIF(险种!E:E,E:E,险种!Q:Q)-SUMIFS(险种!Q:Q,险种!U:U,"终止",险种!E:E,E:E),1)</f>
        <v>3151.8</v>
      </c>
      <c r="K5" s="68">
        <f>RANK(J5,J:J)</f>
        <v>9</v>
      </c>
      <c r="L5" s="65">
        <f>ROUND(SUMIFS(险种!Q:Q,险种!U:U,"有效",险种!E:E,E:E),1)</f>
        <v>3134.4</v>
      </c>
      <c r="M5" s="68">
        <f>RANK(L5,L:L,)</f>
        <v>6</v>
      </c>
      <c r="N5" s="68">
        <f>SUMIF(险种!E:E,E:E,险种!W:W)</f>
        <v>1</v>
      </c>
      <c r="O5" s="68">
        <f>IF(N:N&gt;=1,1,0)</f>
        <v>1</v>
      </c>
      <c r="P5" s="65">
        <f>ROUND(SUMIFS(险种!Q:Q,险种!V:V,$P$1,险种!E:E,E:E),1)</f>
        <v>3134.4</v>
      </c>
      <c r="Q5" s="68">
        <f>RANK(P5,$P:$P,0)-1</f>
        <v>4</v>
      </c>
      <c r="R5" s="68" t="str">
        <f>A:A&amp;D:D&amp;G:G&amp;"在"&amp;$P$1&amp;"预收"&amp;P:P&amp;"排名中支第"&amp;Q:Q&amp;"位"</f>
        <v>淮南本部杨书珍主管在20210509预收3134.4排名中支第4位</v>
      </c>
      <c r="S5" s="65">
        <f>ROUND(SUMIFS(险种!Q:Q,险种!E:E,E:E,险种!V:V,"&lt;=20210506")-SUMIFS(险种!Q:Q,险种!U:U,"终止",险种!E:E,E:E,险种!V:V,"&lt;=20210506"),1)</f>
        <v>0</v>
      </c>
      <c r="T5" s="65">
        <f>ROUND(SUMIFS(险种!Q:Q,险种!U:U,"有效",险种!E:E,E:E,险种!V:V,"&lt;=20210506"),1)</f>
        <v>0</v>
      </c>
      <c r="U5" s="65">
        <f>ROUND(SUMIFS(险种!Q:Q,险种!E:E,E:E,险种!V:V,"&lt;=20210510")-SUMIFS(险种!Q:Q,险种!U:U,"终止",险种!E:E,E:E,险种!V:V,"&lt;=20210510"),1)</f>
        <v>3151.8</v>
      </c>
      <c r="V5" s="65">
        <f>ROUND(SUMIFS(险种!Q:Q,险种!U:U,"有效",险种!E:E,E:E,险种!V:V,"&lt;=20210510"),1)</f>
        <v>3134.4</v>
      </c>
      <c r="W5" s="65">
        <f t="shared" si="0"/>
        <v>17.4000000000001</v>
      </c>
      <c r="X5" s="68">
        <f>SUMIF(险种!E:E,E:E,险种!Y:Y)</f>
        <v>1</v>
      </c>
      <c r="Y5" s="65">
        <f>MAX(_xlfn.IFS(OR(X:X=1,X:X=2),J:J*0.1,X:X&gt;=3,J:J*0.2,X:X=0,0),IF(J:J&gt;=20000,J:J*0.2,0))</f>
        <v>315.18</v>
      </c>
      <c r="Z5" s="65" t="str">
        <f>A5&amp;D5&amp;G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淮南本部杨书珍主管5.1-5.10预收价值保费3152，首周预收3000P件数1件，预收拟加佣315元。温馨提示，保单需10日（含）前承保，目前还有17价值保费未承保,距离20%提档差距2件</v>
      </c>
      <c r="AA5" s="68">
        <f>SUMIF(险种!E:E,E:E,险种!Z:Z)</f>
        <v>0</v>
      </c>
      <c r="AB5" s="65"/>
      <c r="AC5" s="68">
        <f>SUMIF(险种!E:E,E:E,险种!AA:AA)</f>
        <v>3</v>
      </c>
      <c r="AD5" s="68">
        <f>SUMIFS(险种!AA:AA,险种!U:U,"有效",险种!E:E,E:E)</f>
        <v>3</v>
      </c>
      <c r="AE5" s="68" t="str">
        <f>A5&amp;D5&amp;G5&amp;"目前获得"&amp;$AC$1&amp;AC:AC&amp;"名，获得"&amp;$AD$1&amp;AD:AD&amp;"名"</f>
        <v>淮南本部杨书珍主管目前获得龙虾节预收名额3名，获得龙虾节承保名额3名</v>
      </c>
      <c r="AF5" s="68">
        <f>SUMIF(认购返还案!D:D,E:E,认购返还案!E:E)</f>
        <v>200</v>
      </c>
      <c r="AG5" s="68">
        <f>_xlfn.IFS(AND(U:U&gt;=3000,U:U&lt;5000),AF:AF*0.5,U:U&gt;=5000,AF:AF*1,U:U&lt;3000,0)</f>
        <v>100</v>
      </c>
      <c r="AH5" s="68">
        <f>_xlfn.IFS(AND(V:V&gt;=3000,V:V&lt;5000),AF:AF*0.5,V:V&gt;=5000,AF:AF*1,V:V&lt;3000,0)</f>
        <v>100</v>
      </c>
      <c r="AI5" s="68" t="str">
        <f>A:A&amp;D:D&amp;G:G&amp;$AF$1&amp;AF:AF&amp;"元，目前预收价值"&amp;U:U&amp;"，"&amp;$AG$1&amp;AG:AG&amp;"元，"&amp;$AH$1&amp;AH:AH&amp;"元"</f>
        <v>淮南本部杨书珍主管冲锋队缴费金额200元，目前预收价值3151.8，预收拟返还100元，承保拟返还100元</v>
      </c>
      <c r="AJ5" s="68">
        <f>SUMIF(保单!R:R,E:E,保单!BE:BE)*IF(AF:AF&gt;1,1,0)</f>
        <v>1</v>
      </c>
      <c r="AK5" s="68">
        <f>SUMIFS(保单!BE:BE,保单!R:R,E:E,保单!BB:BB,"有效")*IF(AF:AF&gt;1,1,0)</f>
        <v>1</v>
      </c>
      <c r="AL5" s="72" t="str">
        <f>A:A&amp;D:D&amp;G:G&amp;"只要在1-10日承保全部保单，即可获得"&amp;$AJ$1&amp;AJ:AJ&amp;"个"</f>
        <v>淮南本部杨书珍主管只要在1-10日承保全部保单，即可获得冲锋队按摩仪1个</v>
      </c>
    </row>
    <row r="6" spans="1:38">
      <c r="A6" s="64" t="s">
        <v>48</v>
      </c>
      <c r="B6" s="64" t="s">
        <v>49</v>
      </c>
      <c r="C6" s="64" t="s">
        <v>50</v>
      </c>
      <c r="D6" s="64" t="s">
        <v>91</v>
      </c>
      <c r="E6" s="64">
        <v>157576102</v>
      </c>
      <c r="F6" s="64" t="s">
        <v>166</v>
      </c>
      <c r="G6" s="64" t="str">
        <f>IF(OR(F:F="高级经理一级",F:F="业务经理一级"),"主管","伙伴")</f>
        <v>伙伴</v>
      </c>
      <c r="H6" s="65">
        <f>SUMIF(险种!E:E,E:E,险种!R:R)-SUMIFS(险种!R:R,险种!U:U,"终止",险种!E:E,E:E)</f>
        <v>15029</v>
      </c>
      <c r="I6" s="65">
        <f>SUMIFS(险种!R:R,险种!U:U,"有效",险种!E:E,E:E)</f>
        <v>0</v>
      </c>
      <c r="J6" s="65">
        <f>ROUND(SUMIF(险种!E:E,E:E,险种!Q:Q)-SUMIFS(险种!Q:Q,险种!U:U,"终止",险种!E:E,E:E),1)</f>
        <v>8298.5</v>
      </c>
      <c r="K6" s="68">
        <f>RANK(J6,J:J)</f>
        <v>3</v>
      </c>
      <c r="L6" s="65">
        <f>ROUND(SUMIFS(险种!Q:Q,险种!U:U,"有效",险种!E:E,E:E),1)</f>
        <v>0</v>
      </c>
      <c r="M6" s="68">
        <f>RANK(L6,L:L,)</f>
        <v>14</v>
      </c>
      <c r="N6" s="68">
        <f>SUMIF(险种!E:E,E:E,险种!W:W)</f>
        <v>1</v>
      </c>
      <c r="O6" s="68">
        <f>IF(N:N&gt;=1,1,0)</f>
        <v>1</v>
      </c>
      <c r="P6" s="65">
        <f>ROUND(SUMIFS(险种!Q:Q,险种!V:V,$P$1,险种!E:E,E:E),1)</f>
        <v>0</v>
      </c>
      <c r="Q6" s="68">
        <f>RANK(P6,$P:$P,0)-1</f>
        <v>5</v>
      </c>
      <c r="R6" s="68" t="str">
        <f>A:A&amp;D:D&amp;G:G&amp;"在"&amp;$P$1&amp;"预收"&amp;P:P&amp;"排名中支第"&amp;Q:Q&amp;"位"</f>
        <v>谢家集杨琴伙伴在20210509预收0排名中支第5位</v>
      </c>
      <c r="S6" s="65">
        <f>ROUND(SUMIFS(险种!Q:Q,险种!E:E,E:E,险种!V:V,"&lt;=20210506")-SUMIFS(险种!Q:Q,险种!U:U,"终止",险种!E:E,E:E,险种!V:V,"&lt;=20210506"),1)</f>
        <v>-485.8</v>
      </c>
      <c r="T6" s="65">
        <f>ROUND(SUMIFS(险种!Q:Q,险种!U:U,"有效",险种!E:E,E:E,险种!V:V,"&lt;=20210506"),1)</f>
        <v>0</v>
      </c>
      <c r="U6" s="65">
        <f>ROUND(SUMIFS(险种!Q:Q,险种!E:E,E:E,险种!V:V,"&lt;=20210510")-SUMIFS(险种!Q:Q,险种!U:U,"终止",险种!E:E,E:E,险种!V:V,"&lt;=20210510"),1)</f>
        <v>8298.5</v>
      </c>
      <c r="V6" s="65">
        <f>ROUND(SUMIFS(险种!Q:Q,险种!U:U,"有效",险种!E:E,E:E,险种!V:V,"&lt;=20210510"),1)</f>
        <v>0</v>
      </c>
      <c r="W6" s="65">
        <f t="shared" si="0"/>
        <v>8298.5</v>
      </c>
      <c r="X6" s="68">
        <f>SUMIF(险种!E:E,E:E,险种!Y:Y)</f>
        <v>1</v>
      </c>
      <c r="Y6" s="65">
        <f>MAX(_xlfn.IFS(OR(X:X=1,X:X=2),J:J*0.1,X:X&gt;=3,J:J*0.2,X:X=0,0),IF(J:J&gt;=20000,J:J*0.2,0))</f>
        <v>829.85</v>
      </c>
      <c r="Z6" s="65" t="str">
        <f>A6&amp;D6&amp;G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谢家集杨琴伙伴5.1-5.10预收价值保费8299，首周预收3000P件数1件，预收拟加佣830元。温馨提示，保单需10日（含）前承保，目前还有8299价值保费未承保,距离20%提档差距2件</v>
      </c>
      <c r="AA6" s="68">
        <f>SUMIF(险种!E:E,E:E,险种!Z:Z)</f>
        <v>0</v>
      </c>
      <c r="AB6" s="65"/>
      <c r="AC6" s="68">
        <f>SUMIF(险种!E:E,E:E,险种!AA:AA)</f>
        <v>8</v>
      </c>
      <c r="AD6" s="68">
        <f>SUMIFS(险种!AA:AA,险种!U:U,"有效",险种!E:E,E:E)</f>
        <v>0</v>
      </c>
      <c r="AE6" s="68" t="str">
        <f>A6&amp;D6&amp;G6&amp;"目前获得"&amp;$AC$1&amp;AC:AC&amp;"名，获得"&amp;$AD$1&amp;AD:AD&amp;"名"</f>
        <v>谢家集杨琴伙伴目前获得龙虾节预收名额8名，获得龙虾节承保名额0名</v>
      </c>
      <c r="AF6" s="68">
        <f>SUMIF(认购返还案!D:D,E:E,认购返还案!E:E)</f>
        <v>200</v>
      </c>
      <c r="AG6" s="68">
        <f>_xlfn.IFS(AND(U:U&gt;=3000,U:U&lt;5000),AF:AF*0.5,U:U&gt;=5000,AF:AF*1,U:U&lt;3000,0)</f>
        <v>200</v>
      </c>
      <c r="AH6" s="68">
        <f>_xlfn.IFS(AND(V:V&gt;=3000,V:V&lt;5000),AF:AF*0.5,V:V&gt;=5000,AF:AF*1,V:V&lt;3000,0)</f>
        <v>0</v>
      </c>
      <c r="AI6" s="68" t="str">
        <f>A:A&amp;D:D&amp;G:G&amp;$AF$1&amp;AF:AF&amp;"元，目前预收价值"&amp;U:U&amp;"，"&amp;$AG$1&amp;AG:AG&amp;"元，"&amp;$AH$1&amp;AH:AH&amp;"元"</f>
        <v>谢家集杨琴伙伴冲锋队缴费金额200元，目前预收价值8298.5，预收拟返还200元，承保拟返还0元</v>
      </c>
      <c r="AJ6" s="68">
        <f>SUMIF(保单!R:R,E:E,保单!BE:BE)*IF(AF:AF&gt;1,1,0)</f>
        <v>1</v>
      </c>
      <c r="AK6" s="68">
        <f>SUMIFS(保单!BE:BE,保单!R:R,E:E,保单!BB:BB,"有效")*IF(AF:AF&gt;1,1,0)</f>
        <v>0</v>
      </c>
      <c r="AL6" s="72" t="str">
        <f>A:A&amp;D:D&amp;G:G&amp;"只要在1-10日承保全部保单，即可获得"&amp;$AJ$1&amp;AJ:AJ&amp;"个"</f>
        <v>谢家集杨琴伙伴只要在1-10日承保全部保单，即可获得冲锋队按摩仪1个</v>
      </c>
    </row>
    <row r="7" spans="1:38">
      <c r="A7" s="64" t="s">
        <v>27</v>
      </c>
      <c r="B7" s="64" t="s">
        <v>58</v>
      </c>
      <c r="C7" s="64" t="s">
        <v>59</v>
      </c>
      <c r="D7" s="64" t="s">
        <v>60</v>
      </c>
      <c r="E7" s="64">
        <v>51137372</v>
      </c>
      <c r="F7" s="64" t="s">
        <v>168</v>
      </c>
      <c r="G7" s="64" t="str">
        <f>IF(OR(F:F="高级经理一级",F:F="业务经理一级"),"主管","伙伴")</f>
        <v>伙伴</v>
      </c>
      <c r="H7" s="65">
        <f>SUMIF(险种!E:E,E:E,险种!R:R)-SUMIFS(险种!R:R,险种!U:U,"终止",险种!E:E,E:E)</f>
        <v>11625</v>
      </c>
      <c r="I7" s="65">
        <f>SUMIFS(险种!R:R,险种!U:U,"有效",险种!E:E,E:E)</f>
        <v>10816</v>
      </c>
      <c r="J7" s="65">
        <f>ROUND(SUMIF(险种!E:E,E:E,险种!Q:Q)-SUMIFS(险种!Q:Q,险种!U:U,"终止",险种!E:E,E:E),1)</f>
        <v>8161.2</v>
      </c>
      <c r="K7" s="68">
        <f>RANK(J7,J:J)</f>
        <v>4</v>
      </c>
      <c r="L7" s="65">
        <f>ROUND(SUMIFS(险种!Q:Q,险种!U:U,"有效",险种!E:E,E:E),1)</f>
        <v>8116.4</v>
      </c>
      <c r="M7" s="68">
        <f>RANK(L7,L:L,)</f>
        <v>2</v>
      </c>
      <c r="N7" s="68">
        <f>SUMIF(险种!E:E,E:E,险种!W:W)</f>
        <v>2</v>
      </c>
      <c r="O7" s="68">
        <f>IF(N:N&gt;=1,1,0)</f>
        <v>1</v>
      </c>
      <c r="P7" s="65">
        <f>ROUND(SUMIFS(险种!Q:Q,险种!V:V,$P$1,险种!E:E,E:E),1)</f>
        <v>0</v>
      </c>
      <c r="Q7" s="68">
        <f>RANK(P7,$P:$P,0)-1</f>
        <v>5</v>
      </c>
      <c r="R7" s="68" t="str">
        <f>A:A&amp;D:D&amp;G:G&amp;"在"&amp;$P$1&amp;"预收"&amp;P:P&amp;"排名中支第"&amp;Q:Q&amp;"位"</f>
        <v>凤台刘康丽伙伴在20210509预收0排名中支第5位</v>
      </c>
      <c r="S7" s="65">
        <f>ROUND(SUMIFS(险种!Q:Q,险种!E:E,E:E,险种!V:V,"&lt;=20210506")-SUMIFS(险种!Q:Q,险种!U:U,"终止",险种!E:E,E:E,险种!V:V,"&lt;=20210506"),1)</f>
        <v>8116.4</v>
      </c>
      <c r="T7" s="65">
        <f>ROUND(SUMIFS(险种!Q:Q,险种!U:U,"有效",险种!E:E,E:E,险种!V:V,"&lt;=20210506"),1)</f>
        <v>8116.4</v>
      </c>
      <c r="U7" s="65">
        <f>ROUND(SUMIFS(险种!Q:Q,险种!E:E,E:E,险种!V:V,"&lt;=20210510")-SUMIFS(险种!Q:Q,险种!U:U,"终止",险种!E:E,E:E,险种!V:V,"&lt;=20210510"),1)</f>
        <v>8161.2</v>
      </c>
      <c r="V7" s="65">
        <f>ROUND(SUMIFS(险种!Q:Q,险种!U:U,"有效",险种!E:E,E:E,险种!V:V,"&lt;=20210510"),1)</f>
        <v>8116.4</v>
      </c>
      <c r="W7" s="65">
        <f t="shared" si="0"/>
        <v>44.8000000000002</v>
      </c>
      <c r="X7" s="68">
        <f>SUMIF(险种!E:E,E:E,险种!Y:Y)</f>
        <v>2</v>
      </c>
      <c r="Y7" s="65">
        <f>MAX(_xlfn.IFS(OR(X:X=1,X:X=2),J:J*0.1,X:X&gt;=3,J:J*0.2,X:X=0,0),IF(J:J&gt;=20000,J:J*0.2,0))</f>
        <v>816.12</v>
      </c>
      <c r="Z7" s="65" t="str">
        <f>A7&amp;D7&amp;G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凤台刘康丽伙伴5.1-5.10预收价值保费8161，首周预收3000P件数2件，预收拟加佣816元。温馨提示，保单需10日（含）前承保，目前还有45价值保费未承保,距离20%提档差距1件</v>
      </c>
      <c r="AA7" s="68">
        <f>SUMIF(险种!E:E,E:E,险种!Z:Z)</f>
        <v>0</v>
      </c>
      <c r="AB7" s="65"/>
      <c r="AC7" s="68">
        <f>SUMIF(险种!E:E,E:E,险种!AA:AA)</f>
        <v>7</v>
      </c>
      <c r="AD7" s="68">
        <f>SUMIFS(险种!AA:AA,险种!U:U,"有效",险种!E:E,E:E)</f>
        <v>7</v>
      </c>
      <c r="AE7" s="68" t="str">
        <f>A7&amp;D7&amp;G7&amp;"目前获得"&amp;$AC$1&amp;AC:AC&amp;"名，获得"&amp;$AD$1&amp;AD:AD&amp;"名"</f>
        <v>凤台刘康丽伙伴目前获得龙虾节预收名额7名，获得龙虾节承保名额7名</v>
      </c>
      <c r="AF7" s="68">
        <f>SUMIF(认购返还案!D:D,E:E,认购返还案!E:E)</f>
        <v>200</v>
      </c>
      <c r="AG7" s="68">
        <f>_xlfn.IFS(AND(U:U&gt;=3000,U:U&lt;5000),AF:AF*0.5,U:U&gt;=5000,AF:AF*1,U:U&lt;3000,0)</f>
        <v>200</v>
      </c>
      <c r="AH7" s="68">
        <f>_xlfn.IFS(AND(V:V&gt;=3000,V:V&lt;5000),AF:AF*0.5,V:V&gt;=5000,AF:AF*1,V:V&lt;3000,0)</f>
        <v>200</v>
      </c>
      <c r="AI7" s="68" t="str">
        <f>A:A&amp;D:D&amp;G:G&amp;$AF$1&amp;AF:AF&amp;"元，目前预收价值"&amp;U:U&amp;"，"&amp;$AG$1&amp;AG:AG&amp;"元，"&amp;$AH$1&amp;AH:AH&amp;"元"</f>
        <v>凤台刘康丽伙伴冲锋队缴费金额200元，目前预收价值8161.2，预收拟返还200元，承保拟返还200元</v>
      </c>
      <c r="AJ7" s="68">
        <f>SUMIF(保单!R:R,E:E,保单!BE:BE)*IF(AF:AF&gt;1,1,0)</f>
        <v>2</v>
      </c>
      <c r="AK7" s="68">
        <f>SUMIFS(保单!BE:BE,保单!R:R,E:E,保单!BB:BB,"有效")*IF(AF:AF&gt;1,1,0)</f>
        <v>2</v>
      </c>
      <c r="AL7" s="72" t="str">
        <f>A:A&amp;D:D&amp;G:G&amp;"只要在1-10日承保全部保单，即可获得"&amp;$AJ$1&amp;AJ:AJ&amp;"个"</f>
        <v>凤台刘康丽伙伴只要在1-10日承保全部保单，即可获得冲锋队按摩仪2个</v>
      </c>
    </row>
    <row r="8" spans="1:38">
      <c r="A8" s="64" t="s">
        <v>48</v>
      </c>
      <c r="B8" s="64" t="s">
        <v>49</v>
      </c>
      <c r="C8" s="64" t="s">
        <v>98</v>
      </c>
      <c r="D8" s="64" t="s">
        <v>104</v>
      </c>
      <c r="E8" s="64">
        <v>5449941392</v>
      </c>
      <c r="F8" s="64" t="s">
        <v>165</v>
      </c>
      <c r="G8" s="64" t="str">
        <f>IF(OR(F:F="高级经理一级",F:F="业务经理一级"),"主管","伙伴")</f>
        <v>主管</v>
      </c>
      <c r="H8" s="65">
        <f>SUMIF(险种!E:E,E:E,险种!R:R)-SUMIFS(险种!R:R,险种!U:U,"终止",险种!E:E,E:E)</f>
        <v>6000</v>
      </c>
      <c r="I8" s="65">
        <f>SUMIFS(险种!R:R,险种!U:U,"有效",险种!E:E,E:E)</f>
        <v>6000</v>
      </c>
      <c r="J8" s="65">
        <f>ROUND(SUMIF(险种!E:E,E:E,险种!Q:Q)-SUMIFS(险种!Q:Q,险种!U:U,"终止",险种!E:E,E:E),1)</f>
        <v>5584.1</v>
      </c>
      <c r="K8" s="68">
        <f>RANK(J8,J:J)</f>
        <v>6</v>
      </c>
      <c r="L8" s="65">
        <f>ROUND(SUMIFS(险种!Q:Q,险种!U:U,"有效",险种!E:E,E:E),1)</f>
        <v>5584.1</v>
      </c>
      <c r="M8" s="68">
        <f>RANK(L8,L:L,)</f>
        <v>3</v>
      </c>
      <c r="N8" s="68">
        <f>SUMIF(险种!E:E,E:E,险种!W:W)</f>
        <v>1</v>
      </c>
      <c r="O8" s="68">
        <f>IF(N:N&gt;=1,1,0)</f>
        <v>1</v>
      </c>
      <c r="P8" s="65">
        <f>ROUND(SUMIFS(险种!Q:Q,险种!V:V,$P$1,险种!E:E,E:E),1)</f>
        <v>0</v>
      </c>
      <c r="Q8" s="68">
        <f>RANK(P8,$P:$P,0)-1</f>
        <v>5</v>
      </c>
      <c r="R8" s="68" t="str">
        <f>A:A&amp;D:D&amp;G:G&amp;"在"&amp;$P$1&amp;"预收"&amp;P:P&amp;"排名中支第"&amp;Q:Q&amp;"位"</f>
        <v>谢家集杨娟主管在20210509预收0排名中支第5位</v>
      </c>
      <c r="S8" s="65">
        <f>ROUND(SUMIFS(险种!Q:Q,险种!E:E,E:E,险种!V:V,"&lt;=20210506")-SUMIFS(险种!Q:Q,险种!U:U,"终止",险种!E:E,E:E,险种!V:V,"&lt;=20210506"),1)</f>
        <v>5584.1</v>
      </c>
      <c r="T8" s="65">
        <f>ROUND(SUMIFS(险种!Q:Q,险种!U:U,"有效",险种!E:E,E:E,险种!V:V,"&lt;=20210506"),1)</f>
        <v>5584.1</v>
      </c>
      <c r="U8" s="65">
        <f>ROUND(SUMIFS(险种!Q:Q,险种!E:E,E:E,险种!V:V,"&lt;=20210510")-SUMIFS(险种!Q:Q,险种!U:U,"终止",险种!E:E,E:E,险种!V:V,"&lt;=20210510"),1)</f>
        <v>5584.1</v>
      </c>
      <c r="V8" s="65">
        <f>ROUND(SUMIFS(险种!Q:Q,险种!U:U,"有效",险种!E:E,E:E,险种!V:V,"&lt;=20210510"),1)</f>
        <v>5584.1</v>
      </c>
      <c r="W8" s="65">
        <f t="shared" si="0"/>
        <v>0</v>
      </c>
      <c r="X8" s="68">
        <f>SUMIF(险种!E:E,E:E,险种!Y:Y)</f>
        <v>1</v>
      </c>
      <c r="Y8" s="65">
        <f>MAX(_xlfn.IFS(OR(X:X=1,X:X=2),J:J*0.1,X:X&gt;=3,J:J*0.2,X:X=0,0),IF(J:J&gt;=20000,J:J*0.2,0))</f>
        <v>558.41</v>
      </c>
      <c r="Z8" s="65" t="str">
        <f>A8&amp;D8&amp;G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谢家集杨娟主管5.1-5.10预收价值保费5584，首周预收3000P件数1件，预收拟加佣558元。温馨提示，保单需10日（含）前承保，目前还有0价值保费未承保,距离20%提档差距2件</v>
      </c>
      <c r="AA8" s="68">
        <f>SUMIF(险种!E:E,E:E,险种!Z:Z)</f>
        <v>0</v>
      </c>
      <c r="AB8" s="65"/>
      <c r="AC8" s="68">
        <f>SUMIF(险种!E:E,E:E,险种!AA:AA)</f>
        <v>6</v>
      </c>
      <c r="AD8" s="68">
        <f>SUMIFS(险种!AA:AA,险种!U:U,"有效",险种!E:E,E:E)</f>
        <v>6</v>
      </c>
      <c r="AE8" s="68" t="str">
        <f>A8&amp;D8&amp;G8&amp;"目前获得"&amp;$AC$1&amp;AC:AC&amp;"名，获得"&amp;$AD$1&amp;AD:AD&amp;"名"</f>
        <v>谢家集杨娟主管目前获得龙虾节预收名额6名，获得龙虾节承保名额6名</v>
      </c>
      <c r="AF8" s="68">
        <f>SUMIF(认购返还案!D:D,E:E,认购返还案!E:E)</f>
        <v>400</v>
      </c>
      <c r="AG8" s="68">
        <f>_xlfn.IFS(AND(U:U&gt;=3000,U:U&lt;5000),AF:AF*0.5,U:U&gt;=5000,AF:AF*1,U:U&lt;3000,0)</f>
        <v>400</v>
      </c>
      <c r="AH8" s="68">
        <f>_xlfn.IFS(AND(V:V&gt;=3000,V:V&lt;5000),AF:AF*0.5,V:V&gt;=5000,AF:AF*1,V:V&lt;3000,0)</f>
        <v>400</v>
      </c>
      <c r="AI8" s="68" t="str">
        <f>A:A&amp;D:D&amp;G:G&amp;$AF$1&amp;AF:AF&amp;"元，目前预收价值"&amp;U:U&amp;"，"&amp;$AG$1&amp;AG:AG&amp;"元，"&amp;$AH$1&amp;AH:AH&amp;"元"</f>
        <v>谢家集杨娟主管冲锋队缴费金额400元，目前预收价值5584.1，预收拟返还400元，承保拟返还400元</v>
      </c>
      <c r="AJ8" s="68">
        <f>SUMIF(保单!R:R,E:E,保单!BE:BE)*IF(AF:AF&gt;1,1,0)</f>
        <v>1</v>
      </c>
      <c r="AK8" s="68">
        <f>SUMIFS(保单!BE:BE,保单!R:R,E:E,保单!BB:BB,"有效")*IF(AF:AF&gt;1,1,0)</f>
        <v>1</v>
      </c>
      <c r="AL8" s="72" t="str">
        <f>A:A&amp;D:D&amp;G:G&amp;"只要在1-10日承保全部保单，即可获得"&amp;$AJ$1&amp;AJ:AJ&amp;"个"</f>
        <v>谢家集杨娟主管只要在1-10日承保全部保单，即可获得冲锋队按摩仪1个</v>
      </c>
    </row>
    <row r="9" spans="1:38">
      <c r="A9" s="64" t="s">
        <v>42</v>
      </c>
      <c r="B9" s="64" t="s">
        <v>43</v>
      </c>
      <c r="C9" s="64" t="s">
        <v>44</v>
      </c>
      <c r="D9" s="64" t="s">
        <v>45</v>
      </c>
      <c r="E9" s="64">
        <v>51108342</v>
      </c>
      <c r="F9" s="64" t="s">
        <v>167</v>
      </c>
      <c r="G9" s="64" t="str">
        <f>IF(OR(F:F="高级经理一级",F:F="业务经理一级"),"主管","伙伴")</f>
        <v>主管</v>
      </c>
      <c r="H9" s="65">
        <f>SUMIF(险种!E:E,E:E,险种!R:R)-SUMIFS(险种!R:R,险种!U:U,"终止",险种!E:E,E:E)</f>
        <v>11488.9</v>
      </c>
      <c r="I9" s="65">
        <f>SUMIFS(险种!R:R,险种!U:U,"有效",险种!E:E,E:E)</f>
        <v>4667</v>
      </c>
      <c r="J9" s="65">
        <f>ROUND(SUMIF(险种!E:E,E:E,险种!Q:Q)-SUMIFS(险种!Q:Q,险种!U:U,"终止",险种!E:E,E:E),1)</f>
        <v>6605.1</v>
      </c>
      <c r="K9" s="68">
        <f>RANK(J9,J:J)</f>
        <v>5</v>
      </c>
      <c r="L9" s="65">
        <f>ROUND(SUMIFS(险种!Q:Q,险种!U:U,"有效",险种!E:E,E:E),1)</f>
        <v>3195.8</v>
      </c>
      <c r="M9" s="68">
        <f>RANK(L9,L:L,)</f>
        <v>5</v>
      </c>
      <c r="N9" s="68">
        <f>SUMIF(险种!E:E,E:E,险种!W:W)</f>
        <v>2</v>
      </c>
      <c r="O9" s="68">
        <f>IF(N:N&gt;=1,1,0)</f>
        <v>1</v>
      </c>
      <c r="P9" s="65">
        <f>ROUND(SUMIFS(险种!Q:Q,险种!V:V,$P$1,险种!E:E,E:E),1)</f>
        <v>0</v>
      </c>
      <c r="Q9" s="68">
        <f>RANK(P9,$P:$P,0)-1</f>
        <v>5</v>
      </c>
      <c r="R9" s="68" t="str">
        <f>A:A&amp;D:D&amp;G:G&amp;"在"&amp;$P$1&amp;"预收"&amp;P:P&amp;"排名中支第"&amp;Q:Q&amp;"位"</f>
        <v>淮南本部陈宏霞主管在20210509预收0排名中支第5位</v>
      </c>
      <c r="S9" s="65">
        <f>ROUND(SUMIFS(险种!Q:Q,险种!E:E,E:E,险种!V:V,"&lt;=20210506")-SUMIFS(险种!Q:Q,险种!U:U,"终止",险种!E:E,E:E,险种!V:V,"&lt;=20210506"),1)</f>
        <v>3297.2</v>
      </c>
      <c r="T9" s="65">
        <f>ROUND(SUMIFS(险种!Q:Q,险种!U:U,"有效",险种!E:E,E:E,险种!V:V,"&lt;=20210506"),1)</f>
        <v>3297.2</v>
      </c>
      <c r="U9" s="65">
        <f>ROUND(SUMIFS(险种!Q:Q,险种!E:E,E:E,险种!V:V,"&lt;=20210510")-SUMIFS(险种!Q:Q,险种!U:U,"终止",险种!E:E,E:E,险种!V:V,"&lt;=20210510"),1)</f>
        <v>6605.1</v>
      </c>
      <c r="V9" s="65">
        <f>ROUND(SUMIFS(险种!Q:Q,险种!U:U,"有效",险种!E:E,E:E,险种!V:V,"&lt;=20210510"),1)</f>
        <v>3195.8</v>
      </c>
      <c r="W9" s="65">
        <f t="shared" si="0"/>
        <v>3409.3</v>
      </c>
      <c r="X9" s="68">
        <f>SUMIF(险种!E:E,E:E,险种!Y:Y)</f>
        <v>2</v>
      </c>
      <c r="Y9" s="65">
        <f>MAX(_xlfn.IFS(OR(X:X=1,X:X=2),J:J*0.1,X:X&gt;=3,J:J*0.2,X:X=0,0),IF(J:J&gt;=20000,J:J*0.2,0))</f>
        <v>660.51</v>
      </c>
      <c r="Z9" s="65" t="str">
        <f>A9&amp;D9&amp;G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淮南本部陈宏霞主管5.1-5.10预收价值保费6605，首周预收3000P件数2件，预收拟加佣661元。温馨提示，保单需10日（含）前承保，目前还有3409价值保费未承保,距离20%提档差距1件</v>
      </c>
      <c r="AA9" s="68">
        <f>SUMIF(险种!E:E,E:E,险种!Z:Z)</f>
        <v>0</v>
      </c>
      <c r="AB9" s="65"/>
      <c r="AC9" s="68">
        <f>SUMIF(险种!E:E,E:E,险种!AA:AA)</f>
        <v>7</v>
      </c>
      <c r="AD9" s="68">
        <f>SUMIFS(险种!AA:AA,险种!U:U,"有效",险种!E:E,E:E)</f>
        <v>3</v>
      </c>
      <c r="AE9" s="68" t="str">
        <f>A9&amp;D9&amp;G9&amp;"目前获得"&amp;$AC$1&amp;AC:AC&amp;"名，获得"&amp;$AD$1&amp;AD:AD&amp;"名"</f>
        <v>淮南本部陈宏霞主管目前获得龙虾节预收名额7名，获得龙虾节承保名额3名</v>
      </c>
      <c r="AF9" s="68">
        <f>SUMIF(认购返还案!D:D,E:E,认购返还案!E:E)</f>
        <v>200</v>
      </c>
      <c r="AG9" s="68">
        <f>_xlfn.IFS(AND(U:U&gt;=3000,U:U&lt;5000),AF:AF*0.5,U:U&gt;=5000,AF:AF*1,U:U&lt;3000,0)</f>
        <v>200</v>
      </c>
      <c r="AH9" s="68">
        <f>_xlfn.IFS(AND(V:V&gt;=3000,V:V&lt;5000),AF:AF*0.5,V:V&gt;=5000,AF:AF*1,V:V&lt;3000,0)</f>
        <v>100</v>
      </c>
      <c r="AI9" s="68" t="str">
        <f>A:A&amp;D:D&amp;G:G&amp;$AF$1&amp;AF:AF&amp;"元，目前预收价值"&amp;U:U&amp;"，"&amp;$AG$1&amp;AG:AG&amp;"元，"&amp;$AH$1&amp;AH:AH&amp;"元"</f>
        <v>淮南本部陈宏霞主管冲锋队缴费金额200元，目前预收价值6605.1，预收拟返还200元，承保拟返还100元</v>
      </c>
      <c r="AJ9" s="68">
        <f>SUMIF(保单!R:R,E:E,保单!BE:BE)*IF(AF:AF&gt;1,1,0)</f>
        <v>2</v>
      </c>
      <c r="AK9" s="68">
        <f>SUMIFS(保单!BE:BE,保单!R:R,E:E,保单!BB:BB,"有效")*IF(AF:AF&gt;1,1,0)</f>
        <v>1</v>
      </c>
      <c r="AL9" s="72" t="str">
        <f>A:A&amp;D:D&amp;G:G&amp;"只要在1-10日承保全部保单，即可获得"&amp;$AJ$1&amp;AJ:AJ&amp;"个"</f>
        <v>淮南本部陈宏霞主管只要在1-10日承保全部保单，即可获得冲锋队按摩仪2个</v>
      </c>
    </row>
    <row r="10" spans="1:38">
      <c r="A10" s="64" t="s">
        <v>42</v>
      </c>
      <c r="B10" s="64" t="s">
        <v>66</v>
      </c>
      <c r="C10" s="64" t="s">
        <v>67</v>
      </c>
      <c r="D10" s="64" t="s">
        <v>97</v>
      </c>
      <c r="E10" s="64">
        <v>628297282</v>
      </c>
      <c r="F10" s="64" t="s">
        <v>168</v>
      </c>
      <c r="G10" s="64" t="str">
        <f>IF(OR(F:F="高级经理一级",F:F="业务经理一级"),"主管","伙伴")</f>
        <v>伙伴</v>
      </c>
      <c r="H10" s="65">
        <f>SUMIF(险种!E:E,E:E,险种!R:R)-SUMIFS(险种!R:R,险种!U:U,"终止",险种!E:E,E:E)</f>
        <v>4997</v>
      </c>
      <c r="I10" s="65">
        <f>SUMIFS(险种!R:R,险种!U:U,"有效",险种!E:E,E:E)</f>
        <v>4997</v>
      </c>
      <c r="J10" s="65">
        <f>ROUND(SUMIF(险种!E:E,E:E,险种!Q:Q)-SUMIFS(险种!Q:Q,险种!U:U,"终止",险种!E:E,E:E),1)</f>
        <v>2607.1</v>
      </c>
      <c r="K10" s="68">
        <f>RANK(J10,J:J)</f>
        <v>10</v>
      </c>
      <c r="L10" s="65">
        <f>ROUND(SUMIFS(险种!Q:Q,险种!U:U,"有效",险种!E:E,E:E),1)</f>
        <v>2607.1</v>
      </c>
      <c r="M10" s="68">
        <f>RANK(L10,L:L,)</f>
        <v>7</v>
      </c>
      <c r="N10" s="68">
        <f>SUMIF(险种!E:E,E:E,险种!W:W)</f>
        <v>1</v>
      </c>
      <c r="O10" s="68">
        <f>IF(N:N&gt;=1,1,0)</f>
        <v>1</v>
      </c>
      <c r="P10" s="65">
        <f>ROUND(SUMIFS(险种!Q:Q,险种!V:V,$P$1,险种!E:E,E:E),1)</f>
        <v>0</v>
      </c>
      <c r="Q10" s="68">
        <f>RANK(P10,$P:$P,0)-1</f>
        <v>5</v>
      </c>
      <c r="R10" s="68" t="str">
        <f>A:A&amp;D:D&amp;G:G&amp;"在"&amp;$P$1&amp;"预收"&amp;P:P&amp;"排名中支第"&amp;Q:Q&amp;"位"</f>
        <v>淮南本部王来如伙伴在20210509预收0排名中支第5位</v>
      </c>
      <c r="S10" s="65">
        <f>ROUND(SUMIFS(险种!Q:Q,险种!E:E,E:E,险种!V:V,"&lt;=20210506")-SUMIFS(险种!Q:Q,险种!U:U,"终止",险种!E:E,E:E,险种!V:V,"&lt;=20210506"),1)</f>
        <v>0</v>
      </c>
      <c r="T10" s="65">
        <f>ROUND(SUMIFS(险种!Q:Q,险种!U:U,"有效",险种!E:E,E:E,险种!V:V,"&lt;=20210506"),1)</f>
        <v>0</v>
      </c>
      <c r="U10" s="65">
        <f>ROUND(SUMIFS(险种!Q:Q,险种!E:E,E:E,险种!V:V,"&lt;=20210510")-SUMIFS(险种!Q:Q,险种!U:U,"终止",险种!E:E,E:E,险种!V:V,"&lt;=20210510"),1)</f>
        <v>2607.1</v>
      </c>
      <c r="V10" s="65">
        <f>ROUND(SUMIFS(险种!Q:Q,险种!U:U,"有效",险种!E:E,E:E,险种!V:V,"&lt;=20210510"),1)</f>
        <v>2607.1</v>
      </c>
      <c r="W10" s="65">
        <f t="shared" si="0"/>
        <v>0</v>
      </c>
      <c r="X10" s="68">
        <f>SUMIF(险种!E:E,E:E,险种!Y:Y)</f>
        <v>1</v>
      </c>
      <c r="Y10" s="65">
        <f>MAX(_xlfn.IFS(OR(X:X=1,X:X=2),J:J*0.1,X:X&gt;=3,J:J*0.2,X:X=0,0),IF(J:J&gt;=20000,J:J*0.2,0))</f>
        <v>260.71</v>
      </c>
      <c r="Z10" s="65" t="str">
        <f>A10&amp;D10&amp;G10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淮南本部王来如伙伴5.1-5.10预收价值保费2607，首周预收3000P件数1件，预收拟加佣261元。温馨提示，保单需10日（含）前承保，目前还有0价值保费未承保,距离20%提档差距2件</v>
      </c>
      <c r="AA10" s="68">
        <f>SUMIF(险种!E:E,E:E,险种!Z:Z)</f>
        <v>0</v>
      </c>
      <c r="AB10" s="65"/>
      <c r="AC10" s="68">
        <f>SUMIF(险种!E:E,E:E,险种!AA:AA)</f>
        <v>3</v>
      </c>
      <c r="AD10" s="68">
        <f>SUMIFS(险种!AA:AA,险种!U:U,"有效",险种!E:E,E:E)</f>
        <v>3</v>
      </c>
      <c r="AE10" s="68" t="str">
        <f>A10&amp;D10&amp;G10&amp;"目前获得"&amp;$AC$1&amp;AC:AC&amp;"名，获得"&amp;$AD$1&amp;AD:AD&amp;"名"</f>
        <v>淮南本部王来如伙伴目前获得龙虾节预收名额3名，获得龙虾节承保名额3名</v>
      </c>
      <c r="AF10" s="68">
        <f>SUMIF(认购返还案!D:D,E:E,认购返还案!E:E)</f>
        <v>0</v>
      </c>
      <c r="AG10" s="68">
        <f>_xlfn.IFS(AND(U:U&gt;=3000,U:U&lt;5000),AF:AF*0.5,U:U&gt;=5000,AF:AF*1,U:U&lt;3000,0)</f>
        <v>0</v>
      </c>
      <c r="AH10" s="68">
        <f>_xlfn.IFS(AND(V:V&gt;=3000,V:V&lt;5000),AF:AF*0.5,V:V&gt;=5000,AF:AF*1,V:V&lt;3000,0)</f>
        <v>0</v>
      </c>
      <c r="AI10" s="68" t="str">
        <f>A:A&amp;D:D&amp;G:G&amp;$AF$1&amp;AF:AF&amp;"元，目前预收价值"&amp;U:U&amp;"，"&amp;$AG$1&amp;AG:AG&amp;"元，"&amp;$AH$1&amp;AH:AH&amp;"元"</f>
        <v>淮南本部王来如伙伴冲锋队缴费金额0元，目前预收价值2607.1，预收拟返还0元，承保拟返还0元</v>
      </c>
      <c r="AJ10" s="68">
        <f>SUMIF(保单!R:R,E:E,保单!BE:BE)*IF(AF:AF&gt;1,1,0)</f>
        <v>0</v>
      </c>
      <c r="AK10" s="68">
        <f>SUMIFS(保单!BE:BE,保单!R:R,E:E,保单!BB:BB,"有效")*IF(AF:AF&gt;1,1,0)</f>
        <v>0</v>
      </c>
      <c r="AL10" s="72" t="str">
        <f>A:A&amp;D:D&amp;G:G&amp;"只要在1-10日承保全部保单，即可获得"&amp;$AJ$1&amp;AJ:AJ&amp;"个"</f>
        <v>淮南本部王来如伙伴只要在1-10日承保全部保单，即可获得冲锋队按摩仪0个</v>
      </c>
    </row>
    <row r="11" spans="1:38">
      <c r="A11" s="64" t="s">
        <v>42</v>
      </c>
      <c r="B11" s="64" t="s">
        <v>62</v>
      </c>
      <c r="C11" s="64" t="s">
        <v>86</v>
      </c>
      <c r="D11" s="64" t="s">
        <v>87</v>
      </c>
      <c r="E11" s="64">
        <v>214639732</v>
      </c>
      <c r="F11" s="64" t="s">
        <v>167</v>
      </c>
      <c r="G11" s="64" t="str">
        <f>IF(OR(F:F="高级经理一级",F:F="业务经理一级"),"主管","伙伴")</f>
        <v>主管</v>
      </c>
      <c r="H11" s="65">
        <f>SUMIF(险种!E:E,E:E,险种!R:R)-SUMIFS(险种!R:R,险种!U:U,"终止",险种!E:E,E:E)</f>
        <v>6097</v>
      </c>
      <c r="I11" s="65">
        <f>SUMIFS(险种!R:R,险种!U:U,"有效",险种!E:E,E:E)</f>
        <v>1698</v>
      </c>
      <c r="J11" s="65">
        <f>ROUND(SUMIF(险种!E:E,E:E,险种!Q:Q)-SUMIFS(险种!Q:Q,险种!U:U,"终止",险种!E:E,E:E),1)</f>
        <v>1825</v>
      </c>
      <c r="K11" s="68">
        <f>RANK(J11,J:J)</f>
        <v>11</v>
      </c>
      <c r="L11" s="65">
        <f>ROUND(SUMIFS(险种!Q:Q,险种!U:U,"有效",险种!E:E,E:E),1)</f>
        <v>-383.2</v>
      </c>
      <c r="M11" s="68">
        <f>RANK(L11,L:L,)</f>
        <v>306</v>
      </c>
      <c r="N11" s="68">
        <f>SUMIF(险种!E:E,E:E,险种!W:W)</f>
        <v>1</v>
      </c>
      <c r="O11" s="68">
        <f>IF(N:N&gt;=1,1,0)</f>
        <v>1</v>
      </c>
      <c r="P11" s="65">
        <f>ROUND(SUMIFS(险种!Q:Q,险种!V:V,$P$1,险种!E:E,E:E),1)</f>
        <v>0</v>
      </c>
      <c r="Q11" s="68">
        <f>RANK(P11,$P:$P,0)-1</f>
        <v>5</v>
      </c>
      <c r="R11" s="68" t="str">
        <f>A:A&amp;D:D&amp;G:G&amp;"在"&amp;$P$1&amp;"预收"&amp;P:P&amp;"排名中支第"&amp;Q:Q&amp;"位"</f>
        <v>淮南本部程文侠主管在20210509预收0排名中支第5位</v>
      </c>
      <c r="S11" s="65">
        <f>ROUND(SUMIFS(险种!Q:Q,险种!E:E,E:E,险种!V:V,"&lt;=20210506")-SUMIFS(险种!Q:Q,险种!U:U,"终止",险种!E:E,E:E,险种!V:V,"&lt;=20210506"),1)</f>
        <v>2208.2</v>
      </c>
      <c r="T11" s="65">
        <f>ROUND(SUMIFS(险种!Q:Q,险种!U:U,"有效",险种!E:E,E:E,险种!V:V,"&lt;=20210506"),1)</f>
        <v>0</v>
      </c>
      <c r="U11" s="65">
        <f>ROUND(SUMIFS(险种!Q:Q,险种!E:E,E:E,险种!V:V,"&lt;=20210510")-SUMIFS(险种!Q:Q,险种!U:U,"终止",险种!E:E,E:E,险种!V:V,"&lt;=20210510"),1)</f>
        <v>1825</v>
      </c>
      <c r="V11" s="65">
        <f>ROUND(SUMIFS(险种!Q:Q,险种!U:U,"有效",险种!E:E,E:E,险种!V:V,"&lt;=20210510"),1)</f>
        <v>-383.2</v>
      </c>
      <c r="W11" s="65">
        <f t="shared" si="0"/>
        <v>2208.2</v>
      </c>
      <c r="X11" s="68">
        <f>SUMIF(险种!E:E,E:E,险种!Y:Y)</f>
        <v>1</v>
      </c>
      <c r="Y11" s="65">
        <f>MAX(_xlfn.IFS(OR(X:X=1,X:X=2),J:J*0.1,X:X&gt;=3,J:J*0.2,X:X=0,0),IF(J:J&gt;=20000,J:J*0.2,0))</f>
        <v>182.5</v>
      </c>
      <c r="Z11" s="65" t="str">
        <f>A11&amp;D11&amp;G11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淮南本部程文侠主管5.1-5.10预收价值保费1825，首周预收3000P件数1件，预收拟加佣183元。温馨提示，保单需10日（含）前承保，目前还有2208价值保费未承保,距离20%提档差距2件</v>
      </c>
      <c r="AA11" s="68">
        <f>SUMIF(险种!E:E,E:E,险种!Z:Z)</f>
        <v>0</v>
      </c>
      <c r="AB11" s="65"/>
      <c r="AC11" s="68">
        <f>SUMIF(险种!E:E,E:E,险种!AA:AA)</f>
        <v>3</v>
      </c>
      <c r="AD11" s="68">
        <f>SUMIFS(险种!AA:AA,险种!U:U,"有效",险种!E:E,E:E)</f>
        <v>0</v>
      </c>
      <c r="AE11" s="68" t="str">
        <f>A11&amp;D11&amp;G11&amp;"目前获得"&amp;$AC$1&amp;AC:AC&amp;"名，获得"&amp;$AD$1&amp;AD:AD&amp;"名"</f>
        <v>淮南本部程文侠主管目前获得龙虾节预收名额3名，获得龙虾节承保名额0名</v>
      </c>
      <c r="AF11" s="68">
        <f>SUMIF(认购返还案!D:D,E:E,认购返还案!E:E)</f>
        <v>200</v>
      </c>
      <c r="AG11" s="68">
        <f>_xlfn.IFS(AND(U:U&gt;=3000,U:U&lt;5000),AF:AF*0.5,U:U&gt;=5000,AF:AF*1,U:U&lt;3000,0)</f>
        <v>0</v>
      </c>
      <c r="AH11" s="68">
        <f>_xlfn.IFS(AND(V:V&gt;=3000,V:V&lt;5000),AF:AF*0.5,V:V&gt;=5000,AF:AF*1,V:V&lt;3000,0)</f>
        <v>0</v>
      </c>
      <c r="AI11" s="68" t="str">
        <f>A:A&amp;D:D&amp;G:G&amp;$AF$1&amp;AF:AF&amp;"元，目前预收价值"&amp;U:U&amp;"，"&amp;$AG$1&amp;AG:AG&amp;"元，"&amp;$AH$1&amp;AH:AH&amp;"元"</f>
        <v>淮南本部程文侠主管冲锋队缴费金额200元，目前预收价值1825，预收拟返还0元，承保拟返还0元</v>
      </c>
      <c r="AJ11" s="68">
        <f>SUMIF(保单!R:R,E:E,保单!BE:BE)*IF(AF:AF&gt;1,1,0)</f>
        <v>0</v>
      </c>
      <c r="AK11" s="68">
        <f>SUMIFS(保单!BE:BE,保单!R:R,E:E,保单!BB:BB,"有效")*IF(AF:AF&gt;1,1,0)</f>
        <v>0</v>
      </c>
      <c r="AL11" s="72" t="str">
        <f>A:A&amp;D:D&amp;G:G&amp;"只要在1-10日承保全部保单，即可获得"&amp;$AJ$1&amp;AJ:AJ&amp;"个"</f>
        <v>淮南本部程文侠主管只要在1-10日承保全部保单，即可获得冲锋队按摩仪0个</v>
      </c>
    </row>
    <row r="12" spans="1:38">
      <c r="A12" s="64" t="s">
        <v>42</v>
      </c>
      <c r="B12" s="64" t="s">
        <v>43</v>
      </c>
      <c r="C12" s="64" t="s">
        <v>75</v>
      </c>
      <c r="D12" s="64" t="s">
        <v>76</v>
      </c>
      <c r="E12" s="64">
        <v>5671371552</v>
      </c>
      <c r="F12" s="64" t="s">
        <v>165</v>
      </c>
      <c r="G12" s="64" t="str">
        <f>IF(OR(F:F="高级经理一级",F:F="业务经理一级"),"主管","伙伴")</f>
        <v>主管</v>
      </c>
      <c r="H12" s="65">
        <f>SUMIF(险种!E:E,E:E,险种!R:R)-SUMIFS(险种!R:R,险种!U:U,"终止",险种!E:E,E:E)</f>
        <v>6153</v>
      </c>
      <c r="I12" s="65">
        <f>SUMIFS(险种!R:R,险种!U:U,"有效",险种!E:E,E:E)</f>
        <v>934</v>
      </c>
      <c r="J12" s="65">
        <f>ROUND(SUMIF(险种!E:E,E:E,险种!Q:Q)-SUMIFS(险种!Q:Q,险种!U:U,"终止",险种!E:E,E:E),1)</f>
        <v>385.1</v>
      </c>
      <c r="K12" s="68">
        <f>RANK(J12,J:J)</f>
        <v>12</v>
      </c>
      <c r="L12" s="65">
        <f>ROUND(SUMIFS(险种!Q:Q,险种!U:U,"有效",险种!E:E,E:E),1)</f>
        <v>-71.4</v>
      </c>
      <c r="M12" s="68">
        <f>RANK(L12,L:L,)</f>
        <v>303</v>
      </c>
      <c r="N12" s="68">
        <f>SUMIF(险种!E:E,E:E,险种!W:W)</f>
        <v>0</v>
      </c>
      <c r="O12" s="68">
        <f>IF(N:N&gt;=1,1,0)</f>
        <v>0</v>
      </c>
      <c r="P12" s="65">
        <f>ROUND(SUMIFS(险种!Q:Q,险种!V:V,$P$1,险种!E:E,E:E),1)</f>
        <v>0</v>
      </c>
      <c r="Q12" s="68">
        <f>RANK(P12,$P:$P,0)-1</f>
        <v>5</v>
      </c>
      <c r="R12" s="68" t="str">
        <f>A:A&amp;D:D&amp;G:G&amp;"在"&amp;$P$1&amp;"预收"&amp;P:P&amp;"排名中支第"&amp;Q:Q&amp;"位"</f>
        <v>淮南本部吴苑主管在20210509预收0排名中支第5位</v>
      </c>
      <c r="S12" s="65">
        <f>ROUND(SUMIFS(险种!Q:Q,险种!E:E,E:E,险种!V:V,"&lt;=20210506")-SUMIFS(险种!Q:Q,险种!U:U,"终止",险种!E:E,E:E,险种!V:V,"&lt;=20210506"),1)</f>
        <v>0</v>
      </c>
      <c r="T12" s="65">
        <f>ROUND(SUMIFS(险种!Q:Q,险种!U:U,"有效",险种!E:E,E:E,险种!V:V,"&lt;=20210506"),1)</f>
        <v>0</v>
      </c>
      <c r="U12" s="65">
        <f>ROUND(SUMIFS(险种!Q:Q,险种!E:E,E:E,险种!V:V,"&lt;=20210510")-SUMIFS(险种!Q:Q,险种!U:U,"终止",险种!E:E,E:E,险种!V:V,"&lt;=20210510"),1)</f>
        <v>385.1</v>
      </c>
      <c r="V12" s="65">
        <f>ROUND(SUMIFS(险种!Q:Q,险种!U:U,"有效",险种!E:E,E:E,险种!V:V,"&lt;=20210510"),1)</f>
        <v>-71.4</v>
      </c>
      <c r="W12" s="65">
        <f t="shared" si="0"/>
        <v>456.5</v>
      </c>
      <c r="X12" s="68">
        <f>SUMIF(险种!E:E,E:E,险种!Y:Y)</f>
        <v>0</v>
      </c>
      <c r="Y12" s="65">
        <f>MAX(_xlfn.IFS(OR(X:X=1,X:X=2),J:J*0.1,X:X&gt;=3,J:J*0.2,X:X=0,0),IF(J:J&gt;=20000,J:J*0.2,0))</f>
        <v>0</v>
      </c>
      <c r="Z12" s="65" t="str">
        <f>A12&amp;D12&amp;G12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淮南本部吴苑主管5.1-5.10预收价值保费385，首周预收3000P件数0件，预收拟加佣0元。温馨提示，保单需10日（含）前承保，目前还有457价值保费未承保,开单一件即可获得10%加佣</v>
      </c>
      <c r="AA12" s="68">
        <f>SUMIF(险种!E:E,E:E,险种!Z:Z)</f>
        <v>0</v>
      </c>
      <c r="AB12" s="65"/>
      <c r="AC12" s="68">
        <f>SUMIF(险种!E:E,E:E,险种!AA:AA)</f>
        <v>0</v>
      </c>
      <c r="AD12" s="68">
        <f>SUMIFS(险种!AA:AA,险种!U:U,"有效",险种!E:E,E:E)</f>
        <v>0</v>
      </c>
      <c r="AE12" s="68" t="str">
        <f>A12&amp;D12&amp;G12&amp;"目前获得"&amp;$AC$1&amp;AC:AC&amp;"名，获得"&amp;$AD$1&amp;AD:AD&amp;"名"</f>
        <v>淮南本部吴苑主管目前获得龙虾节预收名额0名，获得龙虾节承保名额0名</v>
      </c>
      <c r="AF12" s="68">
        <f>SUMIF(认购返还案!D:D,E:E,认购返还案!E:E)</f>
        <v>200</v>
      </c>
      <c r="AG12" s="68">
        <f>_xlfn.IFS(AND(U:U&gt;=3000,U:U&lt;5000),AF:AF*0.5,U:U&gt;=5000,AF:AF*1,U:U&lt;3000,0)</f>
        <v>0</v>
      </c>
      <c r="AH12" s="68">
        <f>_xlfn.IFS(AND(V:V&gt;=3000,V:V&lt;5000),AF:AF*0.5,V:V&gt;=5000,AF:AF*1,V:V&lt;3000,0)</f>
        <v>0</v>
      </c>
      <c r="AI12" s="68" t="str">
        <f>A:A&amp;D:D&amp;G:G&amp;$AF$1&amp;AF:AF&amp;"元，目前预收价值"&amp;U:U&amp;"，"&amp;$AG$1&amp;AG:AG&amp;"元，"&amp;$AH$1&amp;AH:AH&amp;"元"</f>
        <v>淮南本部吴苑主管冲锋队缴费金额200元，目前预收价值385.1，预收拟返还0元，承保拟返还0元</v>
      </c>
      <c r="AJ12" s="68">
        <f>SUMIF(保单!R:R,E:E,保单!BE:BE)*IF(AF:AF&gt;1,1,0)</f>
        <v>0</v>
      </c>
      <c r="AK12" s="68">
        <f>SUMIFS(保单!BE:BE,保单!R:R,E:E,保单!BB:BB,"有效")*IF(AF:AF&gt;1,1,0)</f>
        <v>0</v>
      </c>
      <c r="AL12" s="72" t="str">
        <f>A:A&amp;D:D&amp;G:G&amp;"只要在1-10日承保全部保单，即可获得"&amp;$AJ$1&amp;AJ:AJ&amp;"个"</f>
        <v>淮南本部吴苑主管只要在1-10日承保全部保单，即可获得冲锋队按摩仪0个</v>
      </c>
    </row>
    <row r="13" spans="1:38">
      <c r="A13" s="64" t="s">
        <v>27</v>
      </c>
      <c r="B13" s="64" t="s">
        <v>52</v>
      </c>
      <c r="C13" s="64" t="s">
        <v>53</v>
      </c>
      <c r="D13" s="64" t="s">
        <v>54</v>
      </c>
      <c r="E13" s="64">
        <v>531925062</v>
      </c>
      <c r="F13" s="64" t="s">
        <v>168</v>
      </c>
      <c r="G13" s="64" t="str">
        <f>IF(OR(F:F="高级经理一级",F:F="业务经理一级"),"主管","伙伴")</f>
        <v>伙伴</v>
      </c>
      <c r="H13" s="65">
        <f>SUMIF(险种!E:E,E:E,险种!R:R)-SUMIFS(险种!R:R,险种!U:U,"终止",险种!E:E,E:E)</f>
        <v>7325.1</v>
      </c>
      <c r="I13" s="65">
        <f>SUMIFS(险种!R:R,险种!U:U,"有效",险种!E:E,E:E)</f>
        <v>0</v>
      </c>
      <c r="J13" s="65">
        <f>ROUND(SUMIF(险种!E:E,E:E,险种!Q:Q)-SUMIFS(险种!Q:Q,险种!U:U,"终止",险种!E:E,E:E),1)</f>
        <v>341.8</v>
      </c>
      <c r="K13" s="68">
        <f>RANK(J13,J:J)</f>
        <v>13</v>
      </c>
      <c r="L13" s="65">
        <f>ROUND(SUMIFS(险种!Q:Q,险种!U:U,"有效",险种!E:E,E:E),1)</f>
        <v>0</v>
      </c>
      <c r="M13" s="68">
        <f>RANK(L13,L:L,)</f>
        <v>14</v>
      </c>
      <c r="N13" s="68">
        <f>SUMIF(险种!E:E,E:E,险种!W:W)</f>
        <v>0</v>
      </c>
      <c r="O13" s="68">
        <f>IF(N:N&gt;=1,1,0)</f>
        <v>0</v>
      </c>
      <c r="P13" s="65">
        <f>ROUND(SUMIFS(险种!Q:Q,险种!V:V,$P$1,险种!E:E,E:E),1)</f>
        <v>0</v>
      </c>
      <c r="Q13" s="68">
        <f>RANK(P13,$P:$P,0)-1</f>
        <v>5</v>
      </c>
      <c r="R13" s="68" t="str">
        <f>A:A&amp;D:D&amp;G:G&amp;"在"&amp;$P$1&amp;"预收"&amp;P:P&amp;"排名中支第"&amp;Q:Q&amp;"位"</f>
        <v>凤台康菊伙伴在20210509预收0排名中支第5位</v>
      </c>
      <c r="S13" s="65">
        <f>ROUND(SUMIFS(险种!Q:Q,险种!E:E,E:E,险种!V:V,"&lt;=20210506")-SUMIFS(险种!Q:Q,险种!U:U,"终止",险种!E:E,E:E,险种!V:V,"&lt;=20210506"),1)</f>
        <v>295.5</v>
      </c>
      <c r="T13" s="65">
        <f>ROUND(SUMIFS(险种!Q:Q,险种!U:U,"有效",险种!E:E,E:E,险种!V:V,"&lt;=20210506"),1)</f>
        <v>0</v>
      </c>
      <c r="U13" s="65">
        <f>ROUND(SUMIFS(险种!Q:Q,险种!E:E,E:E,险种!V:V,"&lt;=20210510")-SUMIFS(险种!Q:Q,险种!U:U,"终止",险种!E:E,E:E,险种!V:V,"&lt;=20210510"),1)</f>
        <v>341.8</v>
      </c>
      <c r="V13" s="65">
        <f>ROUND(SUMIFS(险种!Q:Q,险种!U:U,"有效",险种!E:E,E:E,险种!V:V,"&lt;=20210510"),1)</f>
        <v>0</v>
      </c>
      <c r="W13" s="65">
        <f t="shared" si="0"/>
        <v>341.8</v>
      </c>
      <c r="X13" s="68">
        <f>SUMIF(险种!E:E,E:E,险种!Y:Y)</f>
        <v>0</v>
      </c>
      <c r="Y13" s="65">
        <f>MAX(_xlfn.IFS(OR(X:X=1,X:X=2),J:J*0.1,X:X&gt;=3,J:J*0.2,X:X=0,0),IF(J:J&gt;=20000,J:J*0.2,0))</f>
        <v>0</v>
      </c>
      <c r="Z13" s="65" t="str">
        <f>A13&amp;D13&amp;G13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凤台康菊伙伴5.1-5.10预收价值保费342，首周预收3000P件数0件，预收拟加佣0元。温馨提示，保单需10日（含）前承保，目前还有342价值保费未承保,开单一件即可获得10%加佣</v>
      </c>
      <c r="AA13" s="68">
        <f>SUMIF(险种!E:E,E:E,险种!Z:Z)</f>
        <v>0</v>
      </c>
      <c r="AB13" s="65"/>
      <c r="AC13" s="68">
        <f>SUMIF(险种!E:E,E:E,险种!AA:AA)</f>
        <v>0</v>
      </c>
      <c r="AD13" s="68">
        <f>SUMIFS(险种!AA:AA,险种!U:U,"有效",险种!E:E,E:E)</f>
        <v>0</v>
      </c>
      <c r="AE13" s="68" t="str">
        <f>A13&amp;D13&amp;G13&amp;"目前获得"&amp;$AC$1&amp;AC:AC&amp;"名，获得"&amp;$AD$1&amp;AD:AD&amp;"名"</f>
        <v>凤台康菊伙伴目前获得龙虾节预收名额0名，获得龙虾节承保名额0名</v>
      </c>
      <c r="AF13" s="68">
        <f>SUMIF(认购返还案!D:D,E:E,认购返还案!E:E)</f>
        <v>200</v>
      </c>
      <c r="AG13" s="68">
        <f>_xlfn.IFS(AND(U:U&gt;=3000,U:U&lt;5000),AF:AF*0.5,U:U&gt;=5000,AF:AF*1,U:U&lt;3000,0)</f>
        <v>0</v>
      </c>
      <c r="AH13" s="68">
        <f>_xlfn.IFS(AND(V:V&gt;=3000,V:V&lt;5000),AF:AF*0.5,V:V&gt;=5000,AF:AF*1,V:V&lt;3000,0)</f>
        <v>0</v>
      </c>
      <c r="AI13" s="68" t="str">
        <f>A:A&amp;D:D&amp;G:G&amp;$AF$1&amp;AF:AF&amp;"元，目前预收价值"&amp;U:U&amp;"，"&amp;$AG$1&amp;AG:AG&amp;"元，"&amp;$AH$1&amp;AH:AH&amp;"元"</f>
        <v>凤台康菊伙伴冲锋队缴费金额200元，目前预收价值341.8，预收拟返还0元，承保拟返还0元</v>
      </c>
      <c r="AJ13" s="68">
        <f>SUMIF(保单!R:R,E:E,保单!BE:BE)*IF(AF:AF&gt;1,1,0)</f>
        <v>0</v>
      </c>
      <c r="AK13" s="68">
        <f>SUMIFS(保单!BE:BE,保单!R:R,E:E,保单!BB:BB,"有效")*IF(AF:AF&gt;1,1,0)</f>
        <v>0</v>
      </c>
      <c r="AL13" s="72" t="str">
        <f>A:A&amp;D:D&amp;G:G&amp;"只要在1-10日承保全部保单，即可获得"&amp;$AJ$1&amp;AJ:AJ&amp;"个"</f>
        <v>凤台康菊伙伴只要在1-10日承保全部保单，即可获得冲锋队按摩仪0个</v>
      </c>
    </row>
    <row r="14" spans="1:38">
      <c r="A14" s="64" t="s">
        <v>27</v>
      </c>
      <c r="B14" s="64" t="s">
        <v>100</v>
      </c>
      <c r="C14" s="64" t="s">
        <v>101</v>
      </c>
      <c r="D14" s="64" t="s">
        <v>102</v>
      </c>
      <c r="E14" s="64">
        <v>61598022</v>
      </c>
      <c r="F14" s="64" t="s">
        <v>168</v>
      </c>
      <c r="G14" s="64" t="str">
        <f>IF(OR(F:F="高级经理一级",F:F="业务经理一级"),"主管","伙伴")</f>
        <v>伙伴</v>
      </c>
      <c r="H14" s="65">
        <f>SUMIF(险种!E:E,E:E,险种!R:R)-SUMIFS(险种!R:R,险种!U:U,"终止",险种!E:E,E:E)</f>
        <v>1040</v>
      </c>
      <c r="I14" s="65">
        <f>SUMIFS(险种!R:R,险种!U:U,"有效",险种!E:E,E:E)</f>
        <v>1040</v>
      </c>
      <c r="J14" s="65">
        <f>ROUND(SUMIF(险种!E:E,E:E,险种!Q:Q)-SUMIFS(险种!Q:Q,险种!U:U,"终止",险种!E:E,E:E),1)</f>
        <v>91</v>
      </c>
      <c r="K14" s="68">
        <f>RANK(J14,J:J)</f>
        <v>15</v>
      </c>
      <c r="L14" s="65">
        <f>ROUND(SUMIFS(险种!Q:Q,险种!U:U,"有效",险种!E:E,E:E),1)</f>
        <v>91</v>
      </c>
      <c r="M14" s="68">
        <f>RANK(L14,L:L,)</f>
        <v>8</v>
      </c>
      <c r="N14" s="68">
        <f>SUMIF(险种!E:E,E:E,险种!W:W)</f>
        <v>0</v>
      </c>
      <c r="O14" s="68">
        <f>IF(N:N&gt;=1,1,0)</f>
        <v>0</v>
      </c>
      <c r="P14" s="65">
        <f>ROUND(SUMIFS(险种!Q:Q,险种!V:V,$P$1,险种!E:E,E:E),1)</f>
        <v>0</v>
      </c>
      <c r="Q14" s="68">
        <f>RANK(P14,$P:$P,0)-1</f>
        <v>5</v>
      </c>
      <c r="R14" s="68" t="str">
        <f>A:A&amp;D:D&amp;G:G&amp;"在"&amp;$P$1&amp;"预收"&amp;P:P&amp;"排名中支第"&amp;Q:Q&amp;"位"</f>
        <v>凤台李玲伙伴在20210509预收0排名中支第5位</v>
      </c>
      <c r="S14" s="65">
        <f>ROUND(SUMIFS(险种!Q:Q,险种!E:E,E:E,险种!V:V,"&lt;=20210506")-SUMIFS(险种!Q:Q,险种!U:U,"终止",险种!E:E,E:E,险种!V:V,"&lt;=20210506"),1)</f>
        <v>0</v>
      </c>
      <c r="T14" s="65">
        <f>ROUND(SUMIFS(险种!Q:Q,险种!U:U,"有效",险种!E:E,E:E,险种!V:V,"&lt;=20210506"),1)</f>
        <v>0</v>
      </c>
      <c r="U14" s="65">
        <f>ROUND(SUMIFS(险种!Q:Q,险种!E:E,E:E,险种!V:V,"&lt;=20210510")-SUMIFS(险种!Q:Q,险种!U:U,"终止",险种!E:E,E:E,险种!V:V,"&lt;=20210510"),1)</f>
        <v>91</v>
      </c>
      <c r="V14" s="65">
        <f>ROUND(SUMIFS(险种!Q:Q,险种!U:U,"有效",险种!E:E,E:E,险种!V:V,"&lt;=20210510"),1)</f>
        <v>91</v>
      </c>
      <c r="W14" s="65">
        <f t="shared" si="0"/>
        <v>0</v>
      </c>
      <c r="X14" s="68">
        <f>SUMIF(险种!E:E,E:E,险种!Y:Y)</f>
        <v>0</v>
      </c>
      <c r="Y14" s="65">
        <f>MAX(_xlfn.IFS(OR(X:X=1,X:X=2),J:J*0.1,X:X&gt;=3,J:J*0.2,X:X=0,0),IF(J:J&gt;=20000,J:J*0.2,0))</f>
        <v>0</v>
      </c>
      <c r="Z14" s="65" t="str">
        <f>A14&amp;D14&amp;G14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凤台李玲伙伴5.1-5.10预收价值保费91，首周预收3000P件数0件，预收拟加佣0元。温馨提示，保单需10日（含）前承保，目前还有0价值保费未承保,开单一件即可获得10%加佣</v>
      </c>
      <c r="AA14" s="68">
        <f>SUMIF(险种!E:E,E:E,险种!Z:Z)</f>
        <v>0</v>
      </c>
      <c r="AB14" s="65"/>
      <c r="AC14" s="68">
        <f>SUMIF(险种!E:E,E:E,险种!AA:AA)</f>
        <v>0</v>
      </c>
      <c r="AD14" s="68">
        <f>SUMIFS(险种!AA:AA,险种!U:U,"有效",险种!E:E,E:E)</f>
        <v>0</v>
      </c>
      <c r="AE14" s="68" t="str">
        <f>A14&amp;D14&amp;G14&amp;"目前获得"&amp;$AC$1&amp;AC:AC&amp;"名，获得"&amp;$AD$1&amp;AD:AD&amp;"名"</f>
        <v>凤台李玲伙伴目前获得龙虾节预收名额0名，获得龙虾节承保名额0名</v>
      </c>
      <c r="AF14" s="68">
        <f>SUMIF(认购返还案!D:D,E:E,认购返还案!E:E)</f>
        <v>0</v>
      </c>
      <c r="AG14" s="68">
        <f>_xlfn.IFS(AND(U:U&gt;=3000,U:U&lt;5000),AF:AF*0.5,U:U&gt;=5000,AF:AF*1,U:U&lt;3000,0)</f>
        <v>0</v>
      </c>
      <c r="AH14" s="68">
        <f>_xlfn.IFS(AND(V:V&gt;=3000,V:V&lt;5000),AF:AF*0.5,V:V&gt;=5000,AF:AF*1,V:V&lt;3000,0)</f>
        <v>0</v>
      </c>
      <c r="AI14" s="68" t="str">
        <f>A:A&amp;D:D&amp;G:G&amp;$AF$1&amp;AF:AF&amp;"元，目前预收价值"&amp;U:U&amp;"，"&amp;$AG$1&amp;AG:AG&amp;"元，"&amp;$AH$1&amp;AH:AH&amp;"元"</f>
        <v>凤台李玲伙伴冲锋队缴费金额0元，目前预收价值91，预收拟返还0元，承保拟返还0元</v>
      </c>
      <c r="AJ14" s="68">
        <f>SUMIF(保单!R:R,E:E,保单!BE:BE)*IF(AF:AF&gt;1,1,0)</f>
        <v>0</v>
      </c>
      <c r="AK14" s="68">
        <f>SUMIFS(保单!BE:BE,保单!R:R,E:E,保单!BB:BB,"有效")*IF(AF:AF&gt;1,1,0)</f>
        <v>0</v>
      </c>
      <c r="AL14" s="72" t="str">
        <f>A:A&amp;D:D&amp;G:G&amp;"只要在1-10日承保全部保单，即可获得"&amp;$AJ$1&amp;AJ:AJ&amp;"个"</f>
        <v>凤台李玲伙伴只要在1-10日承保全部保单，即可获得冲锋队按摩仪0个</v>
      </c>
    </row>
    <row r="15" spans="1:38">
      <c r="A15" s="64" t="s">
        <v>42</v>
      </c>
      <c r="B15" s="64" t="s">
        <v>62</v>
      </c>
      <c r="C15" s="64" t="s">
        <v>92</v>
      </c>
      <c r="D15" s="64" t="s">
        <v>93</v>
      </c>
      <c r="E15" s="64">
        <v>6559818092</v>
      </c>
      <c r="F15" s="64" t="s">
        <v>158</v>
      </c>
      <c r="G15" s="64" t="str">
        <f>IF(OR(F:F="高级经理一级",F:F="业务经理一级"),"主管","伙伴")</f>
        <v>伙伴</v>
      </c>
      <c r="H15" s="65">
        <f>SUMIF(险种!E:E,E:E,险种!R:R)-SUMIFS(险种!R:R,险种!U:U,"终止",险种!E:E,E:E)</f>
        <v>88</v>
      </c>
      <c r="I15" s="65">
        <f>SUMIFS(险种!R:R,险种!U:U,"有效",险种!E:E,E:E)</f>
        <v>88</v>
      </c>
      <c r="J15" s="65">
        <f>ROUND(SUMIF(险种!E:E,E:E,险种!Q:Q)-SUMIFS(险种!Q:Q,险种!U:U,"终止",险种!E:E,E:E),1)</f>
        <v>31.4</v>
      </c>
      <c r="K15" s="68">
        <f>RANK(J15,J:J)</f>
        <v>16</v>
      </c>
      <c r="L15" s="65">
        <f>ROUND(SUMIFS(险种!Q:Q,险种!U:U,"有效",险种!E:E,E:E),1)</f>
        <v>31.4</v>
      </c>
      <c r="M15" s="68">
        <f>RANK(L15,L:L,)</f>
        <v>9</v>
      </c>
      <c r="N15" s="68">
        <f>SUMIF(险种!E:E,E:E,险种!W:W)</f>
        <v>0</v>
      </c>
      <c r="O15" s="68">
        <f>IF(N:N&gt;=1,1,0)</f>
        <v>0</v>
      </c>
      <c r="P15" s="65">
        <f>ROUND(SUMIFS(险种!Q:Q,险种!V:V,$P$1,险种!E:E,E:E),1)</f>
        <v>0</v>
      </c>
      <c r="Q15" s="68">
        <f>RANK(P15,$P:$P,0)-1</f>
        <v>5</v>
      </c>
      <c r="R15" s="68" t="str">
        <f>A:A&amp;D:D&amp;G:G&amp;"在"&amp;$P$1&amp;"预收"&amp;P:P&amp;"排名中支第"&amp;Q:Q&amp;"位"</f>
        <v>淮南本部王毅铭伙伴在20210509预收0排名中支第5位</v>
      </c>
      <c r="S15" s="65">
        <f>ROUND(SUMIFS(险种!Q:Q,险种!E:E,E:E,险种!V:V,"&lt;=20210506")-SUMIFS(险种!Q:Q,险种!U:U,"终止",险种!E:E,E:E,险种!V:V,"&lt;=20210506"),1)</f>
        <v>0</v>
      </c>
      <c r="T15" s="65">
        <f>ROUND(SUMIFS(险种!Q:Q,险种!U:U,"有效",险种!E:E,E:E,险种!V:V,"&lt;=20210506"),1)</f>
        <v>0</v>
      </c>
      <c r="U15" s="65">
        <f>ROUND(SUMIFS(险种!Q:Q,险种!E:E,E:E,险种!V:V,"&lt;=20210510")-SUMIFS(险种!Q:Q,险种!U:U,"终止",险种!E:E,E:E,险种!V:V,"&lt;=20210510"),1)</f>
        <v>31.4</v>
      </c>
      <c r="V15" s="65">
        <f>ROUND(SUMIFS(险种!Q:Q,险种!U:U,"有效",险种!E:E,E:E,险种!V:V,"&lt;=20210510"),1)</f>
        <v>31.4</v>
      </c>
      <c r="W15" s="65">
        <f t="shared" si="0"/>
        <v>0</v>
      </c>
      <c r="X15" s="68">
        <f>SUMIF(险种!E:E,E:E,险种!Y:Y)</f>
        <v>0</v>
      </c>
      <c r="Y15" s="65">
        <f>MAX(_xlfn.IFS(OR(X:X=1,X:X=2),J:J*0.1,X:X&gt;=3,J:J*0.2,X:X=0,0),IF(J:J&gt;=20000,J:J*0.2,0))</f>
        <v>0</v>
      </c>
      <c r="Z15" s="65" t="str">
        <f>A15&amp;D15&amp;G15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淮南本部王毅铭伙伴5.1-5.10预收价值保费31，首周预收3000P件数0件，预收拟加佣0元。温馨提示，保单需10日（含）前承保，目前还有0价值保费未承保,开单一件即可获得10%加佣</v>
      </c>
      <c r="AA15" s="68">
        <f>SUMIF(险种!E:E,E:E,险种!Z:Z)</f>
        <v>0</v>
      </c>
      <c r="AB15" s="65"/>
      <c r="AC15" s="68">
        <f>SUMIF(险种!E:E,E:E,险种!AA:AA)</f>
        <v>0</v>
      </c>
      <c r="AD15" s="68">
        <f>SUMIFS(险种!AA:AA,险种!U:U,"有效",险种!E:E,E:E)</f>
        <v>0</v>
      </c>
      <c r="AE15" s="68" t="str">
        <f>A15&amp;D15&amp;G15&amp;"目前获得"&amp;$AC$1&amp;AC:AC&amp;"名，获得"&amp;$AD$1&amp;AD:AD&amp;"名"</f>
        <v>淮南本部王毅铭伙伴目前获得龙虾节预收名额0名，获得龙虾节承保名额0名</v>
      </c>
      <c r="AF15" s="68">
        <f>SUMIF(认购返还案!D:D,E:E,认购返还案!E:E)</f>
        <v>0</v>
      </c>
      <c r="AG15" s="68">
        <f>_xlfn.IFS(AND(U:U&gt;=3000,U:U&lt;5000),AF:AF*0.5,U:U&gt;=5000,AF:AF*1,U:U&lt;3000,0)</f>
        <v>0</v>
      </c>
      <c r="AH15" s="68">
        <f>_xlfn.IFS(AND(V:V&gt;=3000,V:V&lt;5000),AF:AF*0.5,V:V&gt;=5000,AF:AF*1,V:V&lt;3000,0)</f>
        <v>0</v>
      </c>
      <c r="AI15" s="68" t="str">
        <f>A:A&amp;D:D&amp;G:G&amp;$AF$1&amp;AF:AF&amp;"元，目前预收价值"&amp;U:U&amp;"，"&amp;$AG$1&amp;AG:AG&amp;"元，"&amp;$AH$1&amp;AH:AH&amp;"元"</f>
        <v>淮南本部王毅铭伙伴冲锋队缴费金额0元，目前预收价值31.4，预收拟返还0元，承保拟返还0元</v>
      </c>
      <c r="AJ15" s="68">
        <f>SUMIF(保单!R:R,E:E,保单!BE:BE)*IF(AF:AF&gt;1,1,0)</f>
        <v>0</v>
      </c>
      <c r="AK15" s="68">
        <f>SUMIFS(保单!BE:BE,保单!R:R,E:E,保单!BB:BB,"有效")*IF(AF:AF&gt;1,1,0)</f>
        <v>0</v>
      </c>
      <c r="AL15" s="72" t="str">
        <f>A:A&amp;D:D&amp;G:G&amp;"只要在1-10日承保全部保单，即可获得"&amp;$AJ$1&amp;AJ:AJ&amp;"个"</f>
        <v>淮南本部王毅铭伙伴只要在1-10日承保全部保单，即可获得冲锋队按摩仪0个</v>
      </c>
    </row>
    <row r="16" spans="1:38">
      <c r="A16" s="64" t="s">
        <v>27</v>
      </c>
      <c r="B16" s="64" t="s">
        <v>37</v>
      </c>
      <c r="C16" s="64" t="s">
        <v>110</v>
      </c>
      <c r="D16" s="64" t="s">
        <v>111</v>
      </c>
      <c r="E16" s="64">
        <v>477030872</v>
      </c>
      <c r="F16" s="64" t="s">
        <v>165</v>
      </c>
      <c r="G16" s="64" t="str">
        <f>IF(OR(F:F="高级经理一级",F:F="业务经理一级"),"主管","伙伴")</f>
        <v>主管</v>
      </c>
      <c r="H16" s="65">
        <f>SUMIF(险种!E:E,E:E,险种!R:R)-SUMIFS(险种!R:R,险种!U:U,"终止",险种!E:E,E:E)</f>
        <v>319</v>
      </c>
      <c r="I16" s="65">
        <f>SUMIFS(险种!R:R,险种!U:U,"有效",险种!E:E,E:E)</f>
        <v>319</v>
      </c>
      <c r="J16" s="65">
        <f>ROUND(SUMIF(险种!E:E,E:E,险种!Q:Q)-SUMIFS(险种!Q:Q,险种!U:U,"终止",险种!E:E,E:E),1)</f>
        <v>27.9</v>
      </c>
      <c r="K16" s="68">
        <f>RANK(J16,J:J)</f>
        <v>17</v>
      </c>
      <c r="L16" s="65">
        <f>ROUND(SUMIFS(险种!Q:Q,险种!U:U,"有效",险种!E:E,E:E),1)</f>
        <v>27.9</v>
      </c>
      <c r="M16" s="68">
        <f>RANK(L16,L:L,)</f>
        <v>10</v>
      </c>
      <c r="N16" s="68">
        <f>SUMIF(险种!E:E,E:E,险种!W:W)</f>
        <v>0</v>
      </c>
      <c r="O16" s="68">
        <f>IF(N:N&gt;=1,1,0)</f>
        <v>0</v>
      </c>
      <c r="P16" s="65">
        <f>ROUND(SUMIFS(险种!Q:Q,险种!V:V,$P$1,险种!E:E,E:E),1)</f>
        <v>0</v>
      </c>
      <c r="Q16" s="68">
        <f>RANK(P16,$P:$P,0)-1</f>
        <v>5</v>
      </c>
      <c r="R16" s="68" t="str">
        <f>A:A&amp;D:D&amp;G:G&amp;"在"&amp;$P$1&amp;"预收"&amp;P:P&amp;"排名中支第"&amp;Q:Q&amp;"位"</f>
        <v>凤台花志勇主管在20210509预收0排名中支第5位</v>
      </c>
      <c r="S16" s="65">
        <f>ROUND(SUMIFS(险种!Q:Q,险种!E:E,E:E,险种!V:V,"&lt;=20210506")-SUMIFS(险种!Q:Q,险种!U:U,"终止",险种!E:E,E:E,险种!V:V,"&lt;=20210506"),1)</f>
        <v>27.9</v>
      </c>
      <c r="T16" s="65">
        <f>ROUND(SUMIFS(险种!Q:Q,险种!U:U,"有效",险种!E:E,E:E,险种!V:V,"&lt;=20210506"),1)</f>
        <v>27.9</v>
      </c>
      <c r="U16" s="65">
        <f>ROUND(SUMIFS(险种!Q:Q,险种!E:E,E:E,险种!V:V,"&lt;=20210510")-SUMIFS(险种!Q:Q,险种!U:U,"终止",险种!E:E,E:E,险种!V:V,"&lt;=20210510"),1)</f>
        <v>27.9</v>
      </c>
      <c r="V16" s="65">
        <f>ROUND(SUMIFS(险种!Q:Q,险种!U:U,"有效",险种!E:E,E:E,险种!V:V,"&lt;=20210510"),1)</f>
        <v>27.9</v>
      </c>
      <c r="W16" s="65">
        <f t="shared" si="0"/>
        <v>0</v>
      </c>
      <c r="X16" s="68">
        <f>SUMIF(险种!E:E,E:E,险种!Y:Y)</f>
        <v>0</v>
      </c>
      <c r="Y16" s="65">
        <f>MAX(_xlfn.IFS(OR(X:X=1,X:X=2),J:J*0.1,X:X&gt;=3,J:J*0.2,X:X=0,0),IF(J:J&gt;=20000,J:J*0.2,0))</f>
        <v>0</v>
      </c>
      <c r="Z16" s="65" t="str">
        <f>A16&amp;D16&amp;G16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凤台花志勇主管5.1-5.10预收价值保费28，首周预收3000P件数0件，预收拟加佣0元。温馨提示，保单需10日（含）前承保，目前还有0价值保费未承保,开单一件即可获得10%加佣</v>
      </c>
      <c r="AA16" s="68">
        <f>SUMIF(险种!E:E,E:E,险种!Z:Z)</f>
        <v>0</v>
      </c>
      <c r="AB16" s="65"/>
      <c r="AC16" s="68">
        <f>SUMIF(险种!E:E,E:E,险种!AA:AA)</f>
        <v>0</v>
      </c>
      <c r="AD16" s="68">
        <f>SUMIFS(险种!AA:AA,险种!U:U,"有效",险种!E:E,E:E)</f>
        <v>0</v>
      </c>
      <c r="AE16" s="68" t="str">
        <f>A16&amp;D16&amp;G16&amp;"目前获得"&amp;$AC$1&amp;AC:AC&amp;"名，获得"&amp;$AD$1&amp;AD:AD&amp;"名"</f>
        <v>凤台花志勇主管目前获得龙虾节预收名额0名，获得龙虾节承保名额0名</v>
      </c>
      <c r="AF16" s="68">
        <f>SUMIF(认购返还案!D:D,E:E,认购返还案!E:E)</f>
        <v>0</v>
      </c>
      <c r="AG16" s="68">
        <f>_xlfn.IFS(AND(U:U&gt;=3000,U:U&lt;5000),AF:AF*0.5,U:U&gt;=5000,AF:AF*1,U:U&lt;3000,0)</f>
        <v>0</v>
      </c>
      <c r="AH16" s="68">
        <f>_xlfn.IFS(AND(V:V&gt;=3000,V:V&lt;5000),AF:AF*0.5,V:V&gt;=5000,AF:AF*1,V:V&lt;3000,0)</f>
        <v>0</v>
      </c>
      <c r="AI16" s="68" t="str">
        <f>A:A&amp;D:D&amp;G:G&amp;$AF$1&amp;AF:AF&amp;"元，目前预收价值"&amp;U:U&amp;"，"&amp;$AG$1&amp;AG:AG&amp;"元，"&amp;$AH$1&amp;AH:AH&amp;"元"</f>
        <v>凤台花志勇主管冲锋队缴费金额0元，目前预收价值27.9，预收拟返还0元，承保拟返还0元</v>
      </c>
      <c r="AJ16" s="68">
        <f>SUMIF(保单!R:R,E:E,保单!BE:BE)*IF(AF:AF&gt;1,1,0)</f>
        <v>0</v>
      </c>
      <c r="AK16" s="68">
        <f>SUMIFS(保单!BE:BE,保单!R:R,E:E,保单!BB:BB,"有效")*IF(AF:AF&gt;1,1,0)</f>
        <v>0</v>
      </c>
      <c r="AL16" s="72" t="str">
        <f>A:A&amp;D:D&amp;G:G&amp;"只要在1-10日承保全部保单，即可获得"&amp;$AJ$1&amp;AJ:AJ&amp;"个"</f>
        <v>凤台花志勇主管只要在1-10日承保全部保单，即可获得冲锋队按摩仪0个</v>
      </c>
    </row>
    <row r="17" spans="1:38">
      <c r="A17" s="64" t="s">
        <v>42</v>
      </c>
      <c r="B17" s="64" t="s">
        <v>62</v>
      </c>
      <c r="C17" s="64" t="s">
        <v>108</v>
      </c>
      <c r="D17" s="64" t="s">
        <v>109</v>
      </c>
      <c r="E17" s="64">
        <v>5503363952</v>
      </c>
      <c r="F17" s="64" t="s">
        <v>168</v>
      </c>
      <c r="G17" s="64" t="str">
        <f>IF(OR(F:F="高级经理一级",F:F="业务经理一级"),"主管","伙伴")</f>
        <v>伙伴</v>
      </c>
      <c r="H17" s="65">
        <f>SUMIF(险种!E:E,E:E,险种!R:R)-SUMIFS(险种!R:R,险种!U:U,"终止",险种!E:E,E:E)</f>
        <v>157</v>
      </c>
      <c r="I17" s="65">
        <f>SUMIFS(险种!R:R,险种!U:U,"有效",险种!E:E,E:E)</f>
        <v>157</v>
      </c>
      <c r="J17" s="65">
        <f>ROUND(SUMIF(险种!E:E,E:E,险种!Q:Q)-SUMIFS(险种!Q:Q,险种!U:U,"终止",险种!E:E,E:E),1)</f>
        <v>13.7</v>
      </c>
      <c r="K17" s="68">
        <f>RANK(J17,J:J)</f>
        <v>18</v>
      </c>
      <c r="L17" s="65">
        <f>ROUND(SUMIFS(险种!Q:Q,险种!U:U,"有效",险种!E:E,E:E),1)</f>
        <v>13.7</v>
      </c>
      <c r="M17" s="68">
        <f>RANK(L17,L:L,)</f>
        <v>11</v>
      </c>
      <c r="N17" s="68">
        <f>SUMIF(险种!E:E,E:E,险种!W:W)</f>
        <v>0</v>
      </c>
      <c r="O17" s="68">
        <f>IF(N:N&gt;=1,1,0)</f>
        <v>0</v>
      </c>
      <c r="P17" s="65">
        <f>ROUND(SUMIFS(险种!Q:Q,险种!V:V,$P$1,险种!E:E,E:E),1)</f>
        <v>0</v>
      </c>
      <c r="Q17" s="68">
        <f>RANK(P17,$P:$P,0)-1</f>
        <v>5</v>
      </c>
      <c r="R17" s="68" t="str">
        <f>A:A&amp;D:D&amp;G:G&amp;"在"&amp;$P$1&amp;"预收"&amp;P:P&amp;"排名中支第"&amp;Q:Q&amp;"位"</f>
        <v>淮南本部张秀丽伙伴在20210509预收0排名中支第5位</v>
      </c>
      <c r="S17" s="65">
        <f>ROUND(SUMIFS(险种!Q:Q,险种!E:E,E:E,险种!V:V,"&lt;=20210506")-SUMIFS(险种!Q:Q,险种!U:U,"终止",险种!E:E,E:E,险种!V:V,"&lt;=20210506"),1)</f>
        <v>13.7</v>
      </c>
      <c r="T17" s="65">
        <f>ROUND(SUMIFS(险种!Q:Q,险种!U:U,"有效",险种!E:E,E:E,险种!V:V,"&lt;=20210506"),1)</f>
        <v>13.7</v>
      </c>
      <c r="U17" s="65">
        <f>ROUND(SUMIFS(险种!Q:Q,险种!E:E,E:E,险种!V:V,"&lt;=20210510")-SUMIFS(险种!Q:Q,险种!U:U,"终止",险种!E:E,E:E,险种!V:V,"&lt;=20210510"),1)</f>
        <v>13.7</v>
      </c>
      <c r="V17" s="65">
        <f>ROUND(SUMIFS(险种!Q:Q,险种!U:U,"有效",险种!E:E,E:E,险种!V:V,"&lt;=20210510"),1)</f>
        <v>13.7</v>
      </c>
      <c r="W17" s="65">
        <f t="shared" si="0"/>
        <v>0</v>
      </c>
      <c r="X17" s="68">
        <f>SUMIF(险种!E:E,E:E,险种!Y:Y)</f>
        <v>0</v>
      </c>
      <c r="Y17" s="65">
        <f>MAX(_xlfn.IFS(OR(X:X=1,X:X=2),J:J*0.1,X:X&gt;=3,J:J*0.2,X:X=0,0),IF(J:J&gt;=20000,J:J*0.2,0))</f>
        <v>0</v>
      </c>
      <c r="Z17" s="65" t="str">
        <f>A17&amp;D17&amp;G17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淮南本部张秀丽伙伴5.1-5.10预收价值保费14，首周预收3000P件数0件，预收拟加佣0元。温馨提示，保单需10日（含）前承保，目前还有0价值保费未承保,开单一件即可获得10%加佣</v>
      </c>
      <c r="AA17" s="68">
        <f>SUMIF(险种!E:E,E:E,险种!Z:Z)</f>
        <v>0</v>
      </c>
      <c r="AB17" s="65"/>
      <c r="AC17" s="68">
        <f>SUMIF(险种!E:E,E:E,险种!AA:AA)</f>
        <v>0</v>
      </c>
      <c r="AD17" s="68">
        <f>SUMIFS(险种!AA:AA,险种!U:U,"有效",险种!E:E,E:E)</f>
        <v>0</v>
      </c>
      <c r="AE17" s="68" t="str">
        <f>A17&amp;D17&amp;G17&amp;"目前获得"&amp;$AC$1&amp;AC:AC&amp;"名，获得"&amp;$AD$1&amp;AD:AD&amp;"名"</f>
        <v>淮南本部张秀丽伙伴目前获得龙虾节预收名额0名，获得龙虾节承保名额0名</v>
      </c>
      <c r="AF17" s="68">
        <f>SUMIF(认购返还案!D:D,E:E,认购返还案!E:E)</f>
        <v>0</v>
      </c>
      <c r="AG17" s="68">
        <f>_xlfn.IFS(AND(U:U&gt;=3000,U:U&lt;5000),AF:AF*0.5,U:U&gt;=5000,AF:AF*1,U:U&lt;3000,0)</f>
        <v>0</v>
      </c>
      <c r="AH17" s="68">
        <f>_xlfn.IFS(AND(V:V&gt;=3000,V:V&lt;5000),AF:AF*0.5,V:V&gt;=5000,AF:AF*1,V:V&lt;3000,0)</f>
        <v>0</v>
      </c>
      <c r="AI17" s="68" t="str">
        <f>A:A&amp;D:D&amp;G:G&amp;$AF$1&amp;AF:AF&amp;"元，目前预收价值"&amp;U:U&amp;"，"&amp;$AG$1&amp;AG:AG&amp;"元，"&amp;$AH$1&amp;AH:AH&amp;"元"</f>
        <v>淮南本部张秀丽伙伴冲锋队缴费金额0元，目前预收价值13.7，预收拟返还0元，承保拟返还0元</v>
      </c>
      <c r="AJ17" s="68">
        <f>SUMIF(保单!R:R,E:E,保单!BE:BE)*IF(AF:AF&gt;1,1,0)</f>
        <v>0</v>
      </c>
      <c r="AK17" s="68">
        <f>SUMIFS(保单!BE:BE,保单!R:R,E:E,保单!BB:BB,"有效")*IF(AF:AF&gt;1,1,0)</f>
        <v>0</v>
      </c>
      <c r="AL17" s="72" t="str">
        <f>A:A&amp;D:D&amp;G:G&amp;"只要在1-10日承保全部保单，即可获得"&amp;$AJ$1&amp;AJ:AJ&amp;"个"</f>
        <v>淮南本部张秀丽伙伴只要在1-10日承保全部保单，即可获得冲锋队按摩仪0个</v>
      </c>
    </row>
    <row r="18" spans="1:38">
      <c r="A18" s="64" t="s">
        <v>27</v>
      </c>
      <c r="B18" s="64" t="s">
        <v>100</v>
      </c>
      <c r="C18" s="64" t="s">
        <v>101</v>
      </c>
      <c r="D18" s="64" t="s">
        <v>107</v>
      </c>
      <c r="E18" s="64">
        <v>484039162</v>
      </c>
      <c r="F18" s="64" t="s">
        <v>168</v>
      </c>
      <c r="G18" s="64" t="str">
        <f>IF(OR(F:F="高级经理一级",F:F="业务经理一级"),"主管","伙伴")</f>
        <v>伙伴</v>
      </c>
      <c r="H18" s="65">
        <f>SUMIF(险种!E:E,E:E,险种!R:R)-SUMIFS(险种!R:R,险种!U:U,"终止",险种!E:E,E:E)</f>
        <v>149.4</v>
      </c>
      <c r="I18" s="65">
        <f>SUMIFS(险种!R:R,险种!U:U,"有效",险种!E:E,E:E)</f>
        <v>149.4</v>
      </c>
      <c r="J18" s="65">
        <f>ROUND(SUMIF(险种!E:E,E:E,险种!Q:Q)-SUMIFS(险种!Q:Q,险种!U:U,"终止",险种!E:E,E:E),1)</f>
        <v>5.2</v>
      </c>
      <c r="K18" s="68">
        <f>RANK(J18,J:J)</f>
        <v>20</v>
      </c>
      <c r="L18" s="65">
        <f>ROUND(SUMIFS(险种!Q:Q,险种!U:U,"有效",险种!E:E,E:E),1)</f>
        <v>5.2</v>
      </c>
      <c r="M18" s="68">
        <f>RANK(L18,L:L,)</f>
        <v>12</v>
      </c>
      <c r="N18" s="68">
        <f>SUMIF(险种!E:E,E:E,险种!W:W)</f>
        <v>0</v>
      </c>
      <c r="O18" s="68">
        <f>IF(N:N&gt;=1,1,0)</f>
        <v>0</v>
      </c>
      <c r="P18" s="65">
        <f>ROUND(SUMIFS(险种!Q:Q,险种!V:V,$P$1,险种!E:E,E:E),1)</f>
        <v>0</v>
      </c>
      <c r="Q18" s="68">
        <f>RANK(P18,$P:$P,0)-1</f>
        <v>5</v>
      </c>
      <c r="R18" s="68" t="str">
        <f>A:A&amp;D:D&amp;G:G&amp;"在"&amp;$P$1&amp;"预收"&amp;P:P&amp;"排名中支第"&amp;Q:Q&amp;"位"</f>
        <v>凤台张文粉伙伴在20210509预收0排名中支第5位</v>
      </c>
      <c r="S18" s="65">
        <f>ROUND(SUMIFS(险种!Q:Q,险种!E:E,E:E,险种!V:V,"&lt;=20210506")-SUMIFS(险种!Q:Q,险种!U:U,"终止",险种!E:E,E:E,险种!V:V,"&lt;=20210506"),1)</f>
        <v>5.2</v>
      </c>
      <c r="T18" s="65">
        <f>ROUND(SUMIFS(险种!Q:Q,险种!U:U,"有效",险种!E:E,E:E,险种!V:V,"&lt;=20210506"),1)</f>
        <v>5.2</v>
      </c>
      <c r="U18" s="65">
        <f>ROUND(SUMIFS(险种!Q:Q,险种!E:E,E:E,险种!V:V,"&lt;=20210510")-SUMIFS(险种!Q:Q,险种!U:U,"终止",险种!E:E,E:E,险种!V:V,"&lt;=20210510"),1)</f>
        <v>5.2</v>
      </c>
      <c r="V18" s="65">
        <f>ROUND(SUMIFS(险种!Q:Q,险种!U:U,"有效",险种!E:E,E:E,险种!V:V,"&lt;=20210510"),1)</f>
        <v>5.2</v>
      </c>
      <c r="W18" s="65">
        <f t="shared" si="0"/>
        <v>0</v>
      </c>
      <c r="X18" s="68">
        <f>SUMIF(险种!E:E,E:E,险种!Y:Y)</f>
        <v>0</v>
      </c>
      <c r="Y18" s="65">
        <f>MAX(_xlfn.IFS(OR(X:X=1,X:X=2),J:J*0.1,X:X&gt;=3,J:J*0.2,X:X=0,0),IF(J:J&gt;=20000,J:J*0.2,0))</f>
        <v>0</v>
      </c>
      <c r="Z18" s="65" t="str">
        <f>A18&amp;D18&amp;G18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凤台张文粉伙伴5.1-5.10预收价值保费5，首周预收3000P件数0件，预收拟加佣0元。温馨提示，保单需10日（含）前承保，目前还有0价值保费未承保,开单一件即可获得10%加佣</v>
      </c>
      <c r="AA18" s="68">
        <f>SUMIF(险种!E:E,E:E,险种!Z:Z)</f>
        <v>0</v>
      </c>
      <c r="AB18" s="65"/>
      <c r="AC18" s="68">
        <f>SUMIF(险种!E:E,E:E,险种!AA:AA)</f>
        <v>0</v>
      </c>
      <c r="AD18" s="68">
        <f>SUMIFS(险种!AA:AA,险种!U:U,"有效",险种!E:E,E:E)</f>
        <v>0</v>
      </c>
      <c r="AE18" s="68" t="str">
        <f>A18&amp;D18&amp;G18&amp;"目前获得"&amp;$AC$1&amp;AC:AC&amp;"名，获得"&amp;$AD$1&amp;AD:AD&amp;"名"</f>
        <v>凤台张文粉伙伴目前获得龙虾节预收名额0名，获得龙虾节承保名额0名</v>
      </c>
      <c r="AF18" s="68">
        <f>SUMIF(认购返还案!D:D,E:E,认购返还案!E:E)</f>
        <v>200</v>
      </c>
      <c r="AG18" s="68">
        <f>_xlfn.IFS(AND(U:U&gt;=3000,U:U&lt;5000),AF:AF*0.5,U:U&gt;=5000,AF:AF*1,U:U&lt;3000,0)</f>
        <v>0</v>
      </c>
      <c r="AH18" s="68">
        <f>_xlfn.IFS(AND(V:V&gt;=3000,V:V&lt;5000),AF:AF*0.5,V:V&gt;=5000,AF:AF*1,V:V&lt;3000,0)</f>
        <v>0</v>
      </c>
      <c r="AI18" s="68" t="str">
        <f>A:A&amp;D:D&amp;G:G&amp;$AF$1&amp;AF:AF&amp;"元，目前预收价值"&amp;U:U&amp;"，"&amp;$AG$1&amp;AG:AG&amp;"元，"&amp;$AH$1&amp;AH:AH&amp;"元"</f>
        <v>凤台张文粉伙伴冲锋队缴费金额200元，目前预收价值5.2，预收拟返还0元，承保拟返还0元</v>
      </c>
      <c r="AJ18" s="68">
        <f>SUMIF(保单!R:R,E:E,保单!BE:BE)*IF(AF:AF&gt;1,1,0)</f>
        <v>0</v>
      </c>
      <c r="AK18" s="68">
        <f>SUMIFS(保单!BE:BE,保单!R:R,E:E,保单!BB:BB,"有效")*IF(AF:AF&gt;1,1,0)</f>
        <v>0</v>
      </c>
      <c r="AL18" s="72" t="str">
        <f>A:A&amp;D:D&amp;G:G&amp;"只要在1-10日承保全部保单，即可获得"&amp;$AJ$1&amp;AJ:AJ&amp;"个"</f>
        <v>凤台张文粉伙伴只要在1-10日承保全部保单，即可获得冲锋队按摩仪0个</v>
      </c>
    </row>
    <row r="19" spans="1:38">
      <c r="A19" s="64" t="s">
        <v>27</v>
      </c>
      <c r="B19" s="64" t="s">
        <v>28</v>
      </c>
      <c r="C19" s="64" t="s">
        <v>29</v>
      </c>
      <c r="D19" s="64" t="s">
        <v>260</v>
      </c>
      <c r="E19" s="64">
        <v>6580196262</v>
      </c>
      <c r="F19" s="64" t="s">
        <v>158</v>
      </c>
      <c r="G19" s="64" t="str">
        <f>IF(OR(F:F="高级经理一级",F:F="业务经理一级"),"主管","伙伴")</f>
        <v>伙伴</v>
      </c>
      <c r="H19" s="65">
        <f>SUMIF(险种!E:E,E:E,险种!R:R)-SUMIFS(险种!R:R,险种!U:U,"终止",险种!E:E,E:E)</f>
        <v>0</v>
      </c>
      <c r="I19" s="65">
        <f>SUMIFS(险种!R:R,险种!U:U,"有效",险种!E:E,E:E)</f>
        <v>0</v>
      </c>
      <c r="J19" s="65">
        <f>ROUND(SUMIF(险种!E:E,E:E,险种!Q:Q)-SUMIFS(险种!Q:Q,险种!U:U,"终止",险种!E:E,E:E),1)</f>
        <v>0</v>
      </c>
      <c r="K19" s="68">
        <f>RANK(J19,J:J)</f>
        <v>22</v>
      </c>
      <c r="L19" s="65">
        <f>ROUND(SUMIFS(险种!Q:Q,险种!U:U,"有效",险种!E:E,E:E),1)</f>
        <v>0</v>
      </c>
      <c r="M19" s="68">
        <f>RANK(L19,L:L,)</f>
        <v>14</v>
      </c>
      <c r="N19" s="68">
        <f>SUMIF(险种!E:E,E:E,险种!W:W)</f>
        <v>0</v>
      </c>
      <c r="O19" s="68">
        <f>IF(N:N&gt;=1,1,0)</f>
        <v>0</v>
      </c>
      <c r="P19" s="65">
        <f>ROUND(SUMIFS(险种!Q:Q,险种!V:V,$P$1,险种!E:E,E:E),1)</f>
        <v>0</v>
      </c>
      <c r="Q19" s="68">
        <f>RANK(P19,$P:$P,0)-1</f>
        <v>5</v>
      </c>
      <c r="R19" s="68" t="str">
        <f>A:A&amp;D:D&amp;G:G&amp;"在"&amp;$P$1&amp;"预收"&amp;P:P&amp;"排名中支第"&amp;Q:Q&amp;"位"</f>
        <v>凤台吴在芝伙伴在20210509预收0排名中支第5位</v>
      </c>
      <c r="S19" s="65">
        <f>ROUND(SUMIFS(险种!Q:Q,险种!E:E,E:E,险种!V:V,"&lt;=20210506")-SUMIFS(险种!Q:Q,险种!U:U,"终止",险种!E:E,E:E,险种!V:V,"&lt;=20210506"),1)</f>
        <v>0</v>
      </c>
      <c r="T19" s="65">
        <f>ROUND(SUMIFS(险种!Q:Q,险种!U:U,"有效",险种!E:E,E:E,险种!V:V,"&lt;=20210506"),1)</f>
        <v>0</v>
      </c>
      <c r="U19" s="65">
        <f>ROUND(SUMIFS(险种!Q:Q,险种!E:E,E:E,险种!V:V,"&lt;=20210510")-SUMIFS(险种!Q:Q,险种!U:U,"终止",险种!E:E,E:E,险种!V:V,"&lt;=20210510"),1)</f>
        <v>0</v>
      </c>
      <c r="V19" s="65">
        <f>ROUND(SUMIFS(险种!Q:Q,险种!U:U,"有效",险种!E:E,E:E,险种!V:V,"&lt;=20210510"),1)</f>
        <v>0</v>
      </c>
      <c r="W19" s="65">
        <f t="shared" si="0"/>
        <v>0</v>
      </c>
      <c r="X19" s="68">
        <f>SUMIF(险种!E:E,E:E,险种!Y:Y)</f>
        <v>0</v>
      </c>
      <c r="Y19" s="65">
        <f>MAX(_xlfn.IFS(OR(X:X=1,X:X=2),J:J*0.1,X:X&gt;=3,J:J*0.2,X:X=0,0),IF(J:J&gt;=20000,J:J*0.2,0))</f>
        <v>0</v>
      </c>
      <c r="Z19" s="65" t="str">
        <f>A19&amp;D19&amp;G19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凤台吴在芝伙伴5.1-5.10预收价值保费0，首周预收3000P件数0件，预收拟加佣0元。温馨提示，保单需10日（含）前承保，目前还有0价值保费未承保,开单一件即可获得10%加佣</v>
      </c>
      <c r="AA19" s="68">
        <f>SUMIF(险种!E:E,E:E,险种!Z:Z)</f>
        <v>0</v>
      </c>
      <c r="AB19" s="65"/>
      <c r="AC19" s="68">
        <f>SUMIF(险种!E:E,E:E,险种!AA:AA)</f>
        <v>0</v>
      </c>
      <c r="AD19" s="68">
        <f>SUMIFS(险种!AA:AA,险种!U:U,"有效",险种!E:E,E:E)</f>
        <v>0</v>
      </c>
      <c r="AE19" s="68" t="str">
        <f>A19&amp;D19&amp;G19&amp;"目前获得"&amp;$AC$1&amp;AC:AC&amp;"名，获得"&amp;$AD$1&amp;AD:AD&amp;"名"</f>
        <v>凤台吴在芝伙伴目前获得龙虾节预收名额0名，获得龙虾节承保名额0名</v>
      </c>
      <c r="AF19" s="68">
        <f>SUMIF(认购返还案!D:D,E:E,认购返还案!E:E)</f>
        <v>0</v>
      </c>
      <c r="AG19" s="68">
        <f>_xlfn.IFS(AND(U:U&gt;=3000,U:U&lt;5000),AF:AF*0.5,U:U&gt;=5000,AF:AF*1,U:U&lt;3000,0)</f>
        <v>0</v>
      </c>
      <c r="AH19" s="68">
        <f>_xlfn.IFS(AND(V:V&gt;=3000,V:V&lt;5000),AF:AF*0.5,V:V&gt;=5000,AF:AF*1,V:V&lt;3000,0)</f>
        <v>0</v>
      </c>
      <c r="AI19" s="68" t="str">
        <f>A:A&amp;D:D&amp;G:G&amp;$AF$1&amp;AF:AF&amp;"元，目前预收价值"&amp;U:U&amp;"，"&amp;$AG$1&amp;AG:AG&amp;"元，"&amp;$AH$1&amp;AH:AH&amp;"元"</f>
        <v>凤台吴在芝伙伴冲锋队缴费金额0元，目前预收价值0，预收拟返还0元，承保拟返还0元</v>
      </c>
      <c r="AJ19" s="68">
        <f>SUMIF(保单!R:R,E:E,保单!BE:BE)*IF(AF:AF&gt;1,1,0)</f>
        <v>0</v>
      </c>
      <c r="AK19" s="68">
        <f>SUMIFS(保单!BE:BE,保单!R:R,E:E,保单!BB:BB,"有效")*IF(AF:AF&gt;1,1,0)</f>
        <v>0</v>
      </c>
      <c r="AL19" s="72" t="str">
        <f>A:A&amp;D:D&amp;G:G&amp;"只要在1-10日承保全部保单，即可获得"&amp;$AJ$1&amp;AJ:AJ&amp;"个"</f>
        <v>凤台吴在芝伙伴只要在1-10日承保全部保单，即可获得冲锋队按摩仪0个</v>
      </c>
    </row>
    <row r="20" spans="1:38">
      <c r="A20" s="64" t="s">
        <v>27</v>
      </c>
      <c r="B20" s="64" t="s">
        <v>28</v>
      </c>
      <c r="C20" s="64" t="s">
        <v>29</v>
      </c>
      <c r="D20" s="64" t="s">
        <v>261</v>
      </c>
      <c r="E20" s="64">
        <v>6580545282</v>
      </c>
      <c r="F20" s="64" t="s">
        <v>158</v>
      </c>
      <c r="G20" s="64" t="str">
        <f>IF(OR(F:F="高级经理一级",F:F="业务经理一级"),"主管","伙伴")</f>
        <v>伙伴</v>
      </c>
      <c r="H20" s="65">
        <f>SUMIF(险种!E:E,E:E,险种!R:R)-SUMIFS(险种!R:R,险种!U:U,"终止",险种!E:E,E:E)</f>
        <v>0</v>
      </c>
      <c r="I20" s="65">
        <f>SUMIFS(险种!R:R,险种!U:U,"有效",险种!E:E,E:E)</f>
        <v>0</v>
      </c>
      <c r="J20" s="65">
        <f>ROUND(SUMIF(险种!E:E,E:E,险种!Q:Q)-SUMIFS(险种!Q:Q,险种!U:U,"终止",险种!E:E,E:E),1)</f>
        <v>0</v>
      </c>
      <c r="K20" s="68">
        <f>RANK(J20,J:J)</f>
        <v>22</v>
      </c>
      <c r="L20" s="65">
        <f>ROUND(SUMIFS(险种!Q:Q,险种!U:U,"有效",险种!E:E,E:E),1)</f>
        <v>0</v>
      </c>
      <c r="M20" s="68">
        <f>RANK(L20,L:L,)</f>
        <v>14</v>
      </c>
      <c r="N20" s="68">
        <f>SUMIF(险种!E:E,E:E,险种!W:W)</f>
        <v>0</v>
      </c>
      <c r="O20" s="68">
        <f>IF(N:N&gt;=1,1,0)</f>
        <v>0</v>
      </c>
      <c r="P20" s="65">
        <f>ROUND(SUMIFS(险种!Q:Q,险种!V:V,$P$1,险种!E:E,E:E),1)</f>
        <v>0</v>
      </c>
      <c r="Q20" s="68">
        <f>RANK(P20,$P:$P,0)-1</f>
        <v>5</v>
      </c>
      <c r="R20" s="68" t="str">
        <f>A:A&amp;D:D&amp;G:G&amp;"在"&amp;$P$1&amp;"预收"&amp;P:P&amp;"排名中支第"&amp;Q:Q&amp;"位"</f>
        <v>凤台储丽娜伙伴在20210509预收0排名中支第5位</v>
      </c>
      <c r="S20" s="65">
        <f>ROUND(SUMIFS(险种!Q:Q,险种!E:E,E:E,险种!V:V,"&lt;=20210506")-SUMIFS(险种!Q:Q,险种!U:U,"终止",险种!E:E,E:E,险种!V:V,"&lt;=20210506"),1)</f>
        <v>0</v>
      </c>
      <c r="T20" s="65">
        <f>ROUND(SUMIFS(险种!Q:Q,险种!U:U,"有效",险种!E:E,E:E,险种!V:V,"&lt;=20210506"),1)</f>
        <v>0</v>
      </c>
      <c r="U20" s="65">
        <f>ROUND(SUMIFS(险种!Q:Q,险种!E:E,E:E,险种!V:V,"&lt;=20210510")-SUMIFS(险种!Q:Q,险种!U:U,"终止",险种!E:E,E:E,险种!V:V,"&lt;=20210510"),1)</f>
        <v>0</v>
      </c>
      <c r="V20" s="65">
        <f>ROUND(SUMIFS(险种!Q:Q,险种!U:U,"有效",险种!E:E,E:E,险种!V:V,"&lt;=20210510"),1)</f>
        <v>0</v>
      </c>
      <c r="W20" s="65">
        <f t="shared" si="0"/>
        <v>0</v>
      </c>
      <c r="X20" s="68">
        <f>SUMIF(险种!E:E,E:E,险种!Y:Y)</f>
        <v>0</v>
      </c>
      <c r="Y20" s="65">
        <f>MAX(_xlfn.IFS(OR(X:X=1,X:X=2),J:J*0.1,X:X&gt;=3,J:J*0.2,X:X=0,0),IF(J:J&gt;=20000,J:J*0.2,0))</f>
        <v>0</v>
      </c>
      <c r="Z20" s="65" t="str">
        <f>A20&amp;D20&amp;G20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凤台储丽娜伙伴5.1-5.10预收价值保费0，首周预收3000P件数0件，预收拟加佣0元。温馨提示，保单需10日（含）前承保，目前还有0价值保费未承保,开单一件即可获得10%加佣</v>
      </c>
      <c r="AA20" s="68">
        <f>SUMIF(险种!E:E,E:E,险种!Z:Z)</f>
        <v>0</v>
      </c>
      <c r="AB20" s="65"/>
      <c r="AC20" s="68">
        <f>SUMIF(险种!E:E,E:E,险种!AA:AA)</f>
        <v>0</v>
      </c>
      <c r="AD20" s="68">
        <f>SUMIFS(险种!AA:AA,险种!U:U,"有效",险种!E:E,E:E)</f>
        <v>0</v>
      </c>
      <c r="AE20" s="68" t="str">
        <f>A20&amp;D20&amp;G20&amp;"目前获得"&amp;$AC$1&amp;AC:AC&amp;"名，获得"&amp;$AD$1&amp;AD:AD&amp;"名"</f>
        <v>凤台储丽娜伙伴目前获得龙虾节预收名额0名，获得龙虾节承保名额0名</v>
      </c>
      <c r="AF20" s="68">
        <f>SUMIF(认购返还案!D:D,E:E,认购返还案!E:E)</f>
        <v>0</v>
      </c>
      <c r="AG20" s="68">
        <f>_xlfn.IFS(AND(U:U&gt;=3000,U:U&lt;5000),AF:AF*0.5,U:U&gt;=5000,AF:AF*1,U:U&lt;3000,0)</f>
        <v>0</v>
      </c>
      <c r="AH20" s="68">
        <f>_xlfn.IFS(AND(V:V&gt;=3000,V:V&lt;5000),AF:AF*0.5,V:V&gt;=5000,AF:AF*1,V:V&lt;3000,0)</f>
        <v>0</v>
      </c>
      <c r="AI20" s="68" t="str">
        <f>A:A&amp;D:D&amp;G:G&amp;$AF$1&amp;AF:AF&amp;"元，目前预收价值"&amp;U:U&amp;"，"&amp;$AG$1&amp;AG:AG&amp;"元，"&amp;$AH$1&amp;AH:AH&amp;"元"</f>
        <v>凤台储丽娜伙伴冲锋队缴费金额0元，目前预收价值0，预收拟返还0元，承保拟返还0元</v>
      </c>
      <c r="AJ20" s="68">
        <f>SUMIF(保单!R:R,E:E,保单!BE:BE)*IF(AF:AF&gt;1,1,0)</f>
        <v>0</v>
      </c>
      <c r="AK20" s="68">
        <f>SUMIFS(保单!BE:BE,保单!R:R,E:E,保单!BB:BB,"有效")*IF(AF:AF&gt;1,1,0)</f>
        <v>0</v>
      </c>
      <c r="AL20" s="72" t="str">
        <f>A:A&amp;D:D&amp;G:G&amp;"只要在1-10日承保全部保单，即可获得"&amp;$AJ$1&amp;AJ:AJ&amp;"个"</f>
        <v>凤台储丽娜伙伴只要在1-10日承保全部保单，即可获得冲锋队按摩仪0个</v>
      </c>
    </row>
    <row r="21" spans="1:38">
      <c r="A21" s="64" t="s">
        <v>42</v>
      </c>
      <c r="B21" s="64" t="s">
        <v>62</v>
      </c>
      <c r="C21" s="64" t="s">
        <v>108</v>
      </c>
      <c r="D21" s="64" t="s">
        <v>262</v>
      </c>
      <c r="E21" s="64">
        <v>6580502702</v>
      </c>
      <c r="F21" s="64" t="s">
        <v>158</v>
      </c>
      <c r="G21" s="64" t="str">
        <f>IF(OR(F:F="高级经理一级",F:F="业务经理一级"),"主管","伙伴")</f>
        <v>伙伴</v>
      </c>
      <c r="H21" s="65">
        <f>SUMIF(险种!E:E,E:E,险种!R:R)-SUMIFS(险种!R:R,险种!U:U,"终止",险种!E:E,E:E)</f>
        <v>0</v>
      </c>
      <c r="I21" s="65">
        <f>SUMIFS(险种!R:R,险种!U:U,"有效",险种!E:E,E:E)</f>
        <v>0</v>
      </c>
      <c r="J21" s="65">
        <f>ROUND(SUMIF(险种!E:E,E:E,险种!Q:Q)-SUMIFS(险种!Q:Q,险种!U:U,"终止",险种!E:E,E:E),1)</f>
        <v>0</v>
      </c>
      <c r="K21" s="68">
        <f>RANK(J21,J:J)</f>
        <v>22</v>
      </c>
      <c r="L21" s="65">
        <f>ROUND(SUMIFS(险种!Q:Q,险种!U:U,"有效",险种!E:E,E:E),1)</f>
        <v>0</v>
      </c>
      <c r="M21" s="68">
        <f>RANK(L21,L:L,)</f>
        <v>14</v>
      </c>
      <c r="N21" s="68">
        <f>SUMIF(险种!E:E,E:E,险种!W:W)</f>
        <v>0</v>
      </c>
      <c r="O21" s="68">
        <f>IF(N:N&gt;=1,1,0)</f>
        <v>0</v>
      </c>
      <c r="P21" s="65">
        <f>ROUND(SUMIFS(险种!Q:Q,险种!V:V,$P$1,险种!E:E,E:E),1)</f>
        <v>0</v>
      </c>
      <c r="Q21" s="68">
        <f>RANK(P21,$P:$P,0)-1</f>
        <v>5</v>
      </c>
      <c r="R21" s="68" t="str">
        <f>A:A&amp;D:D&amp;G:G&amp;"在"&amp;$P$1&amp;"预收"&amp;P:P&amp;"排名中支第"&amp;Q:Q&amp;"位"</f>
        <v>淮南本部张少琴伙伴在20210509预收0排名中支第5位</v>
      </c>
      <c r="S21" s="65">
        <f>ROUND(SUMIFS(险种!Q:Q,险种!E:E,E:E,险种!V:V,"&lt;=20210506")-SUMIFS(险种!Q:Q,险种!U:U,"终止",险种!E:E,E:E,险种!V:V,"&lt;=20210506"),1)</f>
        <v>0</v>
      </c>
      <c r="T21" s="65">
        <f>ROUND(SUMIFS(险种!Q:Q,险种!U:U,"有效",险种!E:E,E:E,险种!V:V,"&lt;=20210506"),1)</f>
        <v>0</v>
      </c>
      <c r="U21" s="65">
        <f>ROUND(SUMIFS(险种!Q:Q,险种!E:E,E:E,险种!V:V,"&lt;=20210510")-SUMIFS(险种!Q:Q,险种!U:U,"终止",险种!E:E,E:E,险种!V:V,"&lt;=20210510"),1)</f>
        <v>0</v>
      </c>
      <c r="V21" s="65">
        <f>ROUND(SUMIFS(险种!Q:Q,险种!U:U,"有效",险种!E:E,E:E,险种!V:V,"&lt;=20210510"),1)</f>
        <v>0</v>
      </c>
      <c r="W21" s="65">
        <f t="shared" si="0"/>
        <v>0</v>
      </c>
      <c r="X21" s="68">
        <f>SUMIF(险种!E:E,E:E,险种!Y:Y)</f>
        <v>0</v>
      </c>
      <c r="Y21" s="65">
        <f>MAX(_xlfn.IFS(OR(X:X=1,X:X=2),J:J*0.1,X:X&gt;=3,J:J*0.2,X:X=0,0),IF(J:J&gt;=20000,J:J*0.2,0))</f>
        <v>0</v>
      </c>
      <c r="Z21" s="65" t="str">
        <f>A21&amp;D21&amp;G21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淮南本部张少琴伙伴5.1-5.10预收价值保费0，首周预收3000P件数0件，预收拟加佣0元。温馨提示，保单需10日（含）前承保，目前还有0价值保费未承保,开单一件即可获得10%加佣</v>
      </c>
      <c r="AA21" s="68">
        <f>SUMIF(险种!E:E,E:E,险种!Z:Z)</f>
        <v>0</v>
      </c>
      <c r="AB21" s="65"/>
      <c r="AC21" s="68">
        <f>SUMIF(险种!E:E,E:E,险种!AA:AA)</f>
        <v>0</v>
      </c>
      <c r="AD21" s="68">
        <f>SUMIFS(险种!AA:AA,险种!U:U,"有效",险种!E:E,E:E)</f>
        <v>0</v>
      </c>
      <c r="AE21" s="68" t="str">
        <f>A21&amp;D21&amp;G21&amp;"目前获得"&amp;$AC$1&amp;AC:AC&amp;"名，获得"&amp;$AD$1&amp;AD:AD&amp;"名"</f>
        <v>淮南本部张少琴伙伴目前获得龙虾节预收名额0名，获得龙虾节承保名额0名</v>
      </c>
      <c r="AF21" s="68">
        <f>SUMIF(认购返还案!D:D,E:E,认购返还案!E:E)</f>
        <v>0</v>
      </c>
      <c r="AG21" s="68">
        <f>_xlfn.IFS(AND(U:U&gt;=3000,U:U&lt;5000),AF:AF*0.5,U:U&gt;=5000,AF:AF*1,U:U&lt;3000,0)</f>
        <v>0</v>
      </c>
      <c r="AH21" s="68">
        <f>_xlfn.IFS(AND(V:V&gt;=3000,V:V&lt;5000),AF:AF*0.5,V:V&gt;=5000,AF:AF*1,V:V&lt;3000,0)</f>
        <v>0</v>
      </c>
      <c r="AI21" s="68" t="str">
        <f>A:A&amp;D:D&amp;G:G&amp;$AF$1&amp;AF:AF&amp;"元，目前预收价值"&amp;U:U&amp;"，"&amp;$AG$1&amp;AG:AG&amp;"元，"&amp;$AH$1&amp;AH:AH&amp;"元"</f>
        <v>淮南本部张少琴伙伴冲锋队缴费金额0元，目前预收价值0，预收拟返还0元，承保拟返还0元</v>
      </c>
      <c r="AJ21" s="68">
        <f>SUMIF(保单!R:R,E:E,保单!BE:BE)*IF(AF:AF&gt;1,1,0)</f>
        <v>0</v>
      </c>
      <c r="AK21" s="68">
        <f>SUMIFS(保单!BE:BE,保单!R:R,E:E,保单!BB:BB,"有效")*IF(AF:AF&gt;1,1,0)</f>
        <v>0</v>
      </c>
      <c r="AL21" s="72" t="str">
        <f>A:A&amp;D:D&amp;G:G&amp;"只要在1-10日承保全部保单，即可获得"&amp;$AJ$1&amp;AJ:AJ&amp;"个"</f>
        <v>淮南本部张少琴伙伴只要在1-10日承保全部保单，即可获得冲锋队按摩仪0个</v>
      </c>
    </row>
    <row r="22" spans="1:38">
      <c r="A22" s="64" t="s">
        <v>27</v>
      </c>
      <c r="B22" s="64" t="s">
        <v>94</v>
      </c>
      <c r="C22" s="64" t="s">
        <v>95</v>
      </c>
      <c r="D22" s="64" t="s">
        <v>263</v>
      </c>
      <c r="E22" s="64">
        <v>6579892592</v>
      </c>
      <c r="F22" s="64" t="s">
        <v>158</v>
      </c>
      <c r="G22" s="64" t="str">
        <f>IF(OR(F:F="高级经理一级",F:F="业务经理一级"),"主管","伙伴")</f>
        <v>伙伴</v>
      </c>
      <c r="H22" s="65">
        <f>SUMIF(险种!E:E,E:E,险种!R:R)-SUMIFS(险种!R:R,险种!U:U,"终止",险种!E:E,E:E)</f>
        <v>0</v>
      </c>
      <c r="I22" s="65">
        <f>SUMIFS(险种!R:R,险种!U:U,"有效",险种!E:E,E:E)</f>
        <v>0</v>
      </c>
      <c r="J22" s="65">
        <f>ROUND(SUMIF(险种!E:E,E:E,险种!Q:Q)-SUMIFS(险种!Q:Q,险种!U:U,"终止",险种!E:E,E:E),1)</f>
        <v>0</v>
      </c>
      <c r="K22" s="68">
        <f>RANK(J22,J:J)</f>
        <v>22</v>
      </c>
      <c r="L22" s="65">
        <f>ROUND(SUMIFS(险种!Q:Q,险种!U:U,"有效",险种!E:E,E:E),1)</f>
        <v>0</v>
      </c>
      <c r="M22" s="68">
        <f>RANK(L22,L:L,)</f>
        <v>14</v>
      </c>
      <c r="N22" s="68">
        <f>SUMIF(险种!E:E,E:E,险种!W:W)</f>
        <v>0</v>
      </c>
      <c r="O22" s="68">
        <f>IF(N:N&gt;=1,1,0)</f>
        <v>0</v>
      </c>
      <c r="P22" s="65">
        <f>ROUND(SUMIFS(险种!Q:Q,险种!V:V,$P$1,险种!E:E,E:E),1)</f>
        <v>0</v>
      </c>
      <c r="Q22" s="68">
        <f>RANK(P22,$P:$P,0)-1</f>
        <v>5</v>
      </c>
      <c r="R22" s="68" t="str">
        <f>A:A&amp;D:D&amp;G:G&amp;"在"&amp;$P$1&amp;"预收"&amp;P:P&amp;"排名中支第"&amp;Q:Q&amp;"位"</f>
        <v>凤台马保伙伴在20210509预收0排名中支第5位</v>
      </c>
      <c r="S22" s="65">
        <f>ROUND(SUMIFS(险种!Q:Q,险种!E:E,E:E,险种!V:V,"&lt;=20210506")-SUMIFS(险种!Q:Q,险种!U:U,"终止",险种!E:E,E:E,险种!V:V,"&lt;=20210506"),1)</f>
        <v>0</v>
      </c>
      <c r="T22" s="65">
        <f>ROUND(SUMIFS(险种!Q:Q,险种!U:U,"有效",险种!E:E,E:E,险种!V:V,"&lt;=20210506"),1)</f>
        <v>0</v>
      </c>
      <c r="U22" s="65">
        <f>ROUND(SUMIFS(险种!Q:Q,险种!E:E,E:E,险种!V:V,"&lt;=20210510")-SUMIFS(险种!Q:Q,险种!U:U,"终止",险种!E:E,E:E,险种!V:V,"&lt;=20210510"),1)</f>
        <v>0</v>
      </c>
      <c r="V22" s="65">
        <f>ROUND(SUMIFS(险种!Q:Q,险种!U:U,"有效",险种!E:E,E:E,险种!V:V,"&lt;=20210510"),1)</f>
        <v>0</v>
      </c>
      <c r="W22" s="65">
        <f t="shared" si="0"/>
        <v>0</v>
      </c>
      <c r="X22" s="68">
        <f>SUMIF(险种!E:E,E:E,险种!Y:Y)</f>
        <v>0</v>
      </c>
      <c r="Y22" s="65">
        <f>MAX(_xlfn.IFS(OR(X:X=1,X:X=2),J:J*0.1,X:X&gt;=3,J:J*0.2,X:X=0,0),IF(J:J&gt;=20000,J:J*0.2,0))</f>
        <v>0</v>
      </c>
      <c r="Z22" s="65" t="str">
        <f>A22&amp;D22&amp;G22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凤台马保伙伴5.1-5.10预收价值保费0，首周预收3000P件数0件，预收拟加佣0元。温馨提示，保单需10日（含）前承保，目前还有0价值保费未承保,开单一件即可获得10%加佣</v>
      </c>
      <c r="AA22" s="68">
        <f>SUMIF(险种!E:E,E:E,险种!Z:Z)</f>
        <v>0</v>
      </c>
      <c r="AB22" s="65"/>
      <c r="AC22" s="68">
        <f>SUMIF(险种!E:E,E:E,险种!AA:AA)</f>
        <v>0</v>
      </c>
      <c r="AD22" s="68">
        <f>SUMIFS(险种!AA:AA,险种!U:U,"有效",险种!E:E,E:E)</f>
        <v>0</v>
      </c>
      <c r="AE22" s="68" t="str">
        <f>A22&amp;D22&amp;G22&amp;"目前获得"&amp;$AC$1&amp;AC:AC&amp;"名，获得"&amp;$AD$1&amp;AD:AD&amp;"名"</f>
        <v>凤台马保伙伴目前获得龙虾节预收名额0名，获得龙虾节承保名额0名</v>
      </c>
      <c r="AF22" s="68">
        <f>SUMIF(认购返还案!D:D,E:E,认购返还案!E:E)</f>
        <v>0</v>
      </c>
      <c r="AG22" s="68">
        <f>_xlfn.IFS(AND(U:U&gt;=3000,U:U&lt;5000),AF:AF*0.5,U:U&gt;=5000,AF:AF*1,U:U&lt;3000,0)</f>
        <v>0</v>
      </c>
      <c r="AH22" s="68">
        <f>_xlfn.IFS(AND(V:V&gt;=3000,V:V&lt;5000),AF:AF*0.5,V:V&gt;=5000,AF:AF*1,V:V&lt;3000,0)</f>
        <v>0</v>
      </c>
      <c r="AI22" s="68" t="str">
        <f>A:A&amp;D:D&amp;G:G&amp;$AF$1&amp;AF:AF&amp;"元，目前预收价值"&amp;U:U&amp;"，"&amp;$AG$1&amp;AG:AG&amp;"元，"&amp;$AH$1&amp;AH:AH&amp;"元"</f>
        <v>凤台马保伙伴冲锋队缴费金额0元，目前预收价值0，预收拟返还0元，承保拟返还0元</v>
      </c>
      <c r="AJ22" s="68">
        <f>SUMIF(保单!R:R,E:E,保单!BE:BE)*IF(AF:AF&gt;1,1,0)</f>
        <v>0</v>
      </c>
      <c r="AK22" s="68">
        <f>SUMIFS(保单!BE:BE,保单!R:R,E:E,保单!BB:BB,"有效")*IF(AF:AF&gt;1,1,0)</f>
        <v>0</v>
      </c>
      <c r="AL22" s="72" t="str">
        <f>A:A&amp;D:D&amp;G:G&amp;"只要在1-10日承保全部保单，即可获得"&amp;$AJ$1&amp;AJ:AJ&amp;"个"</f>
        <v>凤台马保伙伴只要在1-10日承保全部保单，即可获得冲锋队按摩仪0个</v>
      </c>
    </row>
    <row r="23" spans="1:38">
      <c r="A23" s="64" t="s">
        <v>27</v>
      </c>
      <c r="B23" s="64" t="s">
        <v>28</v>
      </c>
      <c r="C23" s="64" t="s">
        <v>29</v>
      </c>
      <c r="D23" s="64" t="s">
        <v>264</v>
      </c>
      <c r="E23" s="64">
        <v>6578633392</v>
      </c>
      <c r="F23" s="64" t="s">
        <v>158</v>
      </c>
      <c r="G23" s="64" t="str">
        <f>IF(OR(F:F="高级经理一级",F:F="业务经理一级"),"主管","伙伴")</f>
        <v>伙伴</v>
      </c>
      <c r="H23" s="65">
        <f>SUMIF(险种!E:E,E:E,险种!R:R)-SUMIFS(险种!R:R,险种!U:U,"终止",险种!E:E,E:E)</f>
        <v>0</v>
      </c>
      <c r="I23" s="65">
        <f>SUMIFS(险种!R:R,险种!U:U,"有效",险种!E:E,E:E)</f>
        <v>0</v>
      </c>
      <c r="J23" s="65">
        <f>ROUND(SUMIF(险种!E:E,E:E,险种!Q:Q)-SUMIFS(险种!Q:Q,险种!U:U,"终止",险种!E:E,E:E),1)</f>
        <v>0</v>
      </c>
      <c r="K23" s="68">
        <f>RANK(J23,J:J)</f>
        <v>22</v>
      </c>
      <c r="L23" s="65">
        <f>ROUND(SUMIFS(险种!Q:Q,险种!U:U,"有效",险种!E:E,E:E),1)</f>
        <v>0</v>
      </c>
      <c r="M23" s="68">
        <f>RANK(L23,L:L,)</f>
        <v>14</v>
      </c>
      <c r="N23" s="68">
        <f>SUMIF(险种!E:E,E:E,险种!W:W)</f>
        <v>0</v>
      </c>
      <c r="O23" s="68">
        <f>IF(N:N&gt;=1,1,0)</f>
        <v>0</v>
      </c>
      <c r="P23" s="65">
        <f>ROUND(SUMIFS(险种!Q:Q,险种!V:V,$P$1,险种!E:E,E:E),1)</f>
        <v>0</v>
      </c>
      <c r="Q23" s="68">
        <f>RANK(P23,$P:$P,0)-1</f>
        <v>5</v>
      </c>
      <c r="R23" s="68" t="str">
        <f>A:A&amp;D:D&amp;G:G&amp;"在"&amp;$P$1&amp;"预收"&amp;P:P&amp;"排名中支第"&amp;Q:Q&amp;"位"</f>
        <v>凤台任永生伙伴在20210509预收0排名中支第5位</v>
      </c>
      <c r="S23" s="65">
        <f>ROUND(SUMIFS(险种!Q:Q,险种!E:E,E:E,险种!V:V,"&lt;=20210506")-SUMIFS(险种!Q:Q,险种!U:U,"终止",险种!E:E,E:E,险种!V:V,"&lt;=20210506"),1)</f>
        <v>0</v>
      </c>
      <c r="T23" s="65">
        <f>ROUND(SUMIFS(险种!Q:Q,险种!U:U,"有效",险种!E:E,E:E,险种!V:V,"&lt;=20210506"),1)</f>
        <v>0</v>
      </c>
      <c r="U23" s="65">
        <f>ROUND(SUMIFS(险种!Q:Q,险种!E:E,E:E,险种!V:V,"&lt;=20210510")-SUMIFS(险种!Q:Q,险种!U:U,"终止",险种!E:E,E:E,险种!V:V,"&lt;=20210510"),1)</f>
        <v>0</v>
      </c>
      <c r="V23" s="65">
        <f>ROUND(SUMIFS(险种!Q:Q,险种!U:U,"有效",险种!E:E,E:E,险种!V:V,"&lt;=20210510"),1)</f>
        <v>0</v>
      </c>
      <c r="W23" s="65">
        <f t="shared" si="0"/>
        <v>0</v>
      </c>
      <c r="X23" s="68">
        <f>SUMIF(险种!E:E,E:E,险种!Y:Y)</f>
        <v>0</v>
      </c>
      <c r="Y23" s="65">
        <f>MAX(_xlfn.IFS(OR(X:X=1,X:X=2),J:J*0.1,X:X&gt;=3,J:J*0.2,X:X=0,0),IF(J:J&gt;=20000,J:J*0.2,0))</f>
        <v>0</v>
      </c>
      <c r="Z23" s="65" t="str">
        <f>A23&amp;D23&amp;G23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凤台任永生伙伴5.1-5.10预收价值保费0，首周预收3000P件数0件，预收拟加佣0元。温馨提示，保单需10日（含）前承保，目前还有0价值保费未承保,开单一件即可获得10%加佣</v>
      </c>
      <c r="AA23" s="68">
        <f>SUMIF(险种!E:E,E:E,险种!Z:Z)</f>
        <v>0</v>
      </c>
      <c r="AB23" s="65"/>
      <c r="AC23" s="68">
        <f>SUMIF(险种!E:E,E:E,险种!AA:AA)</f>
        <v>0</v>
      </c>
      <c r="AD23" s="68">
        <f>SUMIFS(险种!AA:AA,险种!U:U,"有效",险种!E:E,E:E)</f>
        <v>0</v>
      </c>
      <c r="AE23" s="68" t="str">
        <f>A23&amp;D23&amp;G23&amp;"目前获得"&amp;$AC$1&amp;AC:AC&amp;"名，获得"&amp;$AD$1&amp;AD:AD&amp;"名"</f>
        <v>凤台任永生伙伴目前获得龙虾节预收名额0名，获得龙虾节承保名额0名</v>
      </c>
      <c r="AF23" s="68">
        <f>SUMIF(认购返还案!D:D,E:E,认购返还案!E:E)</f>
        <v>200</v>
      </c>
      <c r="AG23" s="68">
        <f>_xlfn.IFS(AND(U:U&gt;=3000,U:U&lt;5000),AF:AF*0.5,U:U&gt;=5000,AF:AF*1,U:U&lt;3000,0)</f>
        <v>0</v>
      </c>
      <c r="AH23" s="68">
        <f>_xlfn.IFS(AND(V:V&gt;=3000,V:V&lt;5000),AF:AF*0.5,V:V&gt;=5000,AF:AF*1,V:V&lt;3000,0)</f>
        <v>0</v>
      </c>
      <c r="AI23" s="68" t="str">
        <f>A:A&amp;D:D&amp;G:G&amp;$AF$1&amp;AF:AF&amp;"元，目前预收价值"&amp;U:U&amp;"，"&amp;$AG$1&amp;AG:AG&amp;"元，"&amp;$AH$1&amp;AH:AH&amp;"元"</f>
        <v>凤台任永生伙伴冲锋队缴费金额200元，目前预收价值0，预收拟返还0元，承保拟返还0元</v>
      </c>
      <c r="AJ23" s="68">
        <f>SUMIF(保单!R:R,E:E,保单!BE:BE)*IF(AF:AF&gt;1,1,0)</f>
        <v>0</v>
      </c>
      <c r="AK23" s="68">
        <f>SUMIFS(保单!BE:BE,保单!R:R,E:E,保单!BB:BB,"有效")*IF(AF:AF&gt;1,1,0)</f>
        <v>0</v>
      </c>
      <c r="AL23" s="72" t="str">
        <f>A:A&amp;D:D&amp;G:G&amp;"只要在1-10日承保全部保单，即可获得"&amp;$AJ$1&amp;AJ:AJ&amp;"个"</f>
        <v>凤台任永生伙伴只要在1-10日承保全部保单，即可获得冲锋队按摩仪0个</v>
      </c>
    </row>
    <row r="24" spans="1:38">
      <c r="A24" s="64" t="s">
        <v>27</v>
      </c>
      <c r="B24" s="64" t="s">
        <v>28</v>
      </c>
      <c r="C24" s="64" t="s">
        <v>29</v>
      </c>
      <c r="D24" s="64" t="s">
        <v>265</v>
      </c>
      <c r="E24" s="64">
        <v>6579141032</v>
      </c>
      <c r="F24" s="64" t="s">
        <v>158</v>
      </c>
      <c r="G24" s="64" t="str">
        <f>IF(OR(F:F="高级经理一级",F:F="业务经理一级"),"主管","伙伴")</f>
        <v>伙伴</v>
      </c>
      <c r="H24" s="65">
        <f>SUMIF(险种!E:E,E:E,险种!R:R)-SUMIFS(险种!R:R,险种!U:U,"终止",险种!E:E,E:E)</f>
        <v>0</v>
      </c>
      <c r="I24" s="65">
        <f>SUMIFS(险种!R:R,险种!U:U,"有效",险种!E:E,E:E)</f>
        <v>0</v>
      </c>
      <c r="J24" s="65">
        <f>ROUND(SUMIF(险种!E:E,E:E,险种!Q:Q)-SUMIFS(险种!Q:Q,险种!U:U,"终止",险种!E:E,E:E),1)</f>
        <v>0</v>
      </c>
      <c r="K24" s="68">
        <f>RANK(J24,J:J)</f>
        <v>22</v>
      </c>
      <c r="L24" s="65">
        <f>ROUND(SUMIFS(险种!Q:Q,险种!U:U,"有效",险种!E:E,E:E),1)</f>
        <v>0</v>
      </c>
      <c r="M24" s="68">
        <f>RANK(L24,L:L,)</f>
        <v>14</v>
      </c>
      <c r="N24" s="68">
        <f>SUMIF(险种!E:E,E:E,险种!W:W)</f>
        <v>0</v>
      </c>
      <c r="O24" s="68">
        <f>IF(N:N&gt;=1,1,0)</f>
        <v>0</v>
      </c>
      <c r="P24" s="65">
        <f>ROUND(SUMIFS(险种!Q:Q,险种!V:V,$P$1,险种!E:E,E:E),1)</f>
        <v>0</v>
      </c>
      <c r="Q24" s="68">
        <f>RANK(P24,$P:$P,0)-1</f>
        <v>5</v>
      </c>
      <c r="R24" s="68" t="str">
        <f>A:A&amp;D:D&amp;G:G&amp;"在"&amp;$P$1&amp;"预收"&amp;P:P&amp;"排名中支第"&amp;Q:Q&amp;"位"</f>
        <v>凤台李廷廷伙伴在20210509预收0排名中支第5位</v>
      </c>
      <c r="S24" s="65">
        <f>ROUND(SUMIFS(险种!Q:Q,险种!E:E,E:E,险种!V:V,"&lt;=20210506")-SUMIFS(险种!Q:Q,险种!U:U,"终止",险种!E:E,E:E,险种!V:V,"&lt;=20210506"),1)</f>
        <v>0</v>
      </c>
      <c r="T24" s="65">
        <f>ROUND(SUMIFS(险种!Q:Q,险种!U:U,"有效",险种!E:E,E:E,险种!V:V,"&lt;=20210506"),1)</f>
        <v>0</v>
      </c>
      <c r="U24" s="65">
        <f>ROUND(SUMIFS(险种!Q:Q,险种!E:E,E:E,险种!V:V,"&lt;=20210510")-SUMIFS(险种!Q:Q,险种!U:U,"终止",险种!E:E,E:E,险种!V:V,"&lt;=20210510"),1)</f>
        <v>0</v>
      </c>
      <c r="V24" s="65">
        <f>ROUND(SUMIFS(险种!Q:Q,险种!U:U,"有效",险种!E:E,E:E,险种!V:V,"&lt;=20210510"),1)</f>
        <v>0</v>
      </c>
      <c r="W24" s="65">
        <f t="shared" si="0"/>
        <v>0</v>
      </c>
      <c r="X24" s="68">
        <f>SUMIF(险种!E:E,E:E,险种!Y:Y)</f>
        <v>0</v>
      </c>
      <c r="Y24" s="65">
        <f>MAX(_xlfn.IFS(OR(X:X=1,X:X=2),J:J*0.1,X:X&gt;=3,J:J*0.2,X:X=0,0),IF(J:J&gt;=20000,J:J*0.2,0))</f>
        <v>0</v>
      </c>
      <c r="Z24" s="65" t="str">
        <f>A24&amp;D24&amp;G24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凤台李廷廷伙伴5.1-5.10预收价值保费0，首周预收3000P件数0件，预收拟加佣0元。温馨提示，保单需10日（含）前承保，目前还有0价值保费未承保,开单一件即可获得10%加佣</v>
      </c>
      <c r="AA24" s="68">
        <f>SUMIF(险种!E:E,E:E,险种!Z:Z)</f>
        <v>0</v>
      </c>
      <c r="AB24" s="65"/>
      <c r="AC24" s="68">
        <f>SUMIF(险种!E:E,E:E,险种!AA:AA)</f>
        <v>0</v>
      </c>
      <c r="AD24" s="68">
        <f>SUMIFS(险种!AA:AA,险种!U:U,"有效",险种!E:E,E:E)</f>
        <v>0</v>
      </c>
      <c r="AE24" s="68" t="str">
        <f>A24&amp;D24&amp;G24&amp;"目前获得"&amp;$AC$1&amp;AC:AC&amp;"名，获得"&amp;$AD$1&amp;AD:AD&amp;"名"</f>
        <v>凤台李廷廷伙伴目前获得龙虾节预收名额0名，获得龙虾节承保名额0名</v>
      </c>
      <c r="AF24" s="68">
        <f>SUMIF(认购返还案!D:D,E:E,认购返还案!E:E)</f>
        <v>0</v>
      </c>
      <c r="AG24" s="68">
        <f>_xlfn.IFS(AND(U:U&gt;=3000,U:U&lt;5000),AF:AF*0.5,U:U&gt;=5000,AF:AF*1,U:U&lt;3000,0)</f>
        <v>0</v>
      </c>
      <c r="AH24" s="68">
        <f>_xlfn.IFS(AND(V:V&gt;=3000,V:V&lt;5000),AF:AF*0.5,V:V&gt;=5000,AF:AF*1,V:V&lt;3000,0)</f>
        <v>0</v>
      </c>
      <c r="AI24" s="68" t="str">
        <f>A:A&amp;D:D&amp;G:G&amp;$AF$1&amp;AF:AF&amp;"元，目前预收价值"&amp;U:U&amp;"，"&amp;$AG$1&amp;AG:AG&amp;"元，"&amp;$AH$1&amp;AH:AH&amp;"元"</f>
        <v>凤台李廷廷伙伴冲锋队缴费金额0元，目前预收价值0，预收拟返还0元，承保拟返还0元</v>
      </c>
      <c r="AJ24" s="68">
        <f>SUMIF(保单!R:R,E:E,保单!BE:BE)*IF(AF:AF&gt;1,1,0)</f>
        <v>0</v>
      </c>
      <c r="AK24" s="68">
        <f>SUMIFS(保单!BE:BE,保单!R:R,E:E,保单!BB:BB,"有效")*IF(AF:AF&gt;1,1,0)</f>
        <v>0</v>
      </c>
      <c r="AL24" s="72" t="str">
        <f>A:A&amp;D:D&amp;G:G&amp;"只要在1-10日承保全部保单，即可获得"&amp;$AJ$1&amp;AJ:AJ&amp;"个"</f>
        <v>凤台李廷廷伙伴只要在1-10日承保全部保单，即可获得冲锋队按摩仪0个</v>
      </c>
    </row>
    <row r="25" spans="1:38">
      <c r="A25" s="64" t="s">
        <v>27</v>
      </c>
      <c r="B25" s="64" t="s">
        <v>100</v>
      </c>
      <c r="C25" s="64" t="s">
        <v>101</v>
      </c>
      <c r="D25" s="64" t="s">
        <v>266</v>
      </c>
      <c r="E25" s="64">
        <v>6579086682</v>
      </c>
      <c r="F25" s="64" t="s">
        <v>158</v>
      </c>
      <c r="G25" s="64" t="str">
        <f>IF(OR(F:F="高级经理一级",F:F="业务经理一级"),"主管","伙伴")</f>
        <v>伙伴</v>
      </c>
      <c r="H25" s="65">
        <f>SUMIF(险种!E:E,E:E,险种!R:R)-SUMIFS(险种!R:R,险种!U:U,"终止",险种!E:E,E:E)</f>
        <v>0</v>
      </c>
      <c r="I25" s="65">
        <f>SUMIFS(险种!R:R,险种!U:U,"有效",险种!E:E,E:E)</f>
        <v>0</v>
      </c>
      <c r="J25" s="65">
        <f>ROUND(SUMIF(险种!E:E,E:E,险种!Q:Q)-SUMIFS(险种!Q:Q,险种!U:U,"终止",险种!E:E,E:E),1)</f>
        <v>0</v>
      </c>
      <c r="K25" s="68">
        <f>RANK(J25,J:J)</f>
        <v>22</v>
      </c>
      <c r="L25" s="65">
        <f>ROUND(SUMIFS(险种!Q:Q,险种!U:U,"有效",险种!E:E,E:E),1)</f>
        <v>0</v>
      </c>
      <c r="M25" s="68">
        <f>RANK(L25,L:L,)</f>
        <v>14</v>
      </c>
      <c r="N25" s="68">
        <f>SUMIF(险种!E:E,E:E,险种!W:W)</f>
        <v>0</v>
      </c>
      <c r="O25" s="68">
        <f>IF(N:N&gt;=1,1,0)</f>
        <v>0</v>
      </c>
      <c r="P25" s="65">
        <f>ROUND(SUMIFS(险种!Q:Q,险种!V:V,$P$1,险种!E:E,E:E),1)</f>
        <v>0</v>
      </c>
      <c r="Q25" s="68">
        <f>RANK(P25,$P:$P,0)-1</f>
        <v>5</v>
      </c>
      <c r="R25" s="68" t="str">
        <f>A:A&amp;D:D&amp;G:G&amp;"在"&amp;$P$1&amp;"预收"&amp;P:P&amp;"排名中支第"&amp;Q:Q&amp;"位"</f>
        <v>凤台谢丽伙伴在20210509预收0排名中支第5位</v>
      </c>
      <c r="S25" s="65">
        <f>ROUND(SUMIFS(险种!Q:Q,险种!E:E,E:E,险种!V:V,"&lt;=20210506")-SUMIFS(险种!Q:Q,险种!U:U,"终止",险种!E:E,E:E,险种!V:V,"&lt;=20210506"),1)</f>
        <v>0</v>
      </c>
      <c r="T25" s="65">
        <f>ROUND(SUMIFS(险种!Q:Q,险种!U:U,"有效",险种!E:E,E:E,险种!V:V,"&lt;=20210506"),1)</f>
        <v>0</v>
      </c>
      <c r="U25" s="65">
        <f>ROUND(SUMIFS(险种!Q:Q,险种!E:E,E:E,险种!V:V,"&lt;=20210510")-SUMIFS(险种!Q:Q,险种!U:U,"终止",险种!E:E,E:E,险种!V:V,"&lt;=20210510"),1)</f>
        <v>0</v>
      </c>
      <c r="V25" s="65">
        <f>ROUND(SUMIFS(险种!Q:Q,险种!U:U,"有效",险种!E:E,E:E,险种!V:V,"&lt;=20210510"),1)</f>
        <v>0</v>
      </c>
      <c r="W25" s="65">
        <f t="shared" si="0"/>
        <v>0</v>
      </c>
      <c r="X25" s="68">
        <f>SUMIF(险种!E:E,E:E,险种!Y:Y)</f>
        <v>0</v>
      </c>
      <c r="Y25" s="65">
        <f>MAX(_xlfn.IFS(OR(X:X=1,X:X=2),J:J*0.1,X:X&gt;=3,J:J*0.2,X:X=0,0),IF(J:J&gt;=20000,J:J*0.2,0))</f>
        <v>0</v>
      </c>
      <c r="Z25" s="65" t="str">
        <f>A25&amp;D25&amp;G25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凤台谢丽伙伴5.1-5.10预收价值保费0，首周预收3000P件数0件，预收拟加佣0元。温馨提示，保单需10日（含）前承保，目前还有0价值保费未承保,开单一件即可获得10%加佣</v>
      </c>
      <c r="AA25" s="68">
        <f>SUMIF(险种!E:E,E:E,险种!Z:Z)</f>
        <v>0</v>
      </c>
      <c r="AB25" s="65"/>
      <c r="AC25" s="68">
        <f>SUMIF(险种!E:E,E:E,险种!AA:AA)</f>
        <v>0</v>
      </c>
      <c r="AD25" s="68">
        <f>SUMIFS(险种!AA:AA,险种!U:U,"有效",险种!E:E,E:E)</f>
        <v>0</v>
      </c>
      <c r="AE25" s="68" t="str">
        <f>A25&amp;D25&amp;G25&amp;"目前获得"&amp;$AC$1&amp;AC:AC&amp;"名，获得"&amp;$AD$1&amp;AD:AD&amp;"名"</f>
        <v>凤台谢丽伙伴目前获得龙虾节预收名额0名，获得龙虾节承保名额0名</v>
      </c>
      <c r="AF25" s="68">
        <f>SUMIF(认购返还案!D:D,E:E,认购返还案!E:E)</f>
        <v>200</v>
      </c>
      <c r="AG25" s="68">
        <f>_xlfn.IFS(AND(U:U&gt;=3000,U:U&lt;5000),AF:AF*0.5,U:U&gt;=5000,AF:AF*1,U:U&lt;3000,0)</f>
        <v>0</v>
      </c>
      <c r="AH25" s="68">
        <f>_xlfn.IFS(AND(V:V&gt;=3000,V:V&lt;5000),AF:AF*0.5,V:V&gt;=5000,AF:AF*1,V:V&lt;3000,0)</f>
        <v>0</v>
      </c>
      <c r="AI25" s="68" t="str">
        <f>A:A&amp;D:D&amp;G:G&amp;$AF$1&amp;AF:AF&amp;"元，目前预收价值"&amp;U:U&amp;"，"&amp;$AG$1&amp;AG:AG&amp;"元，"&amp;$AH$1&amp;AH:AH&amp;"元"</f>
        <v>凤台谢丽伙伴冲锋队缴费金额200元，目前预收价值0，预收拟返还0元，承保拟返还0元</v>
      </c>
      <c r="AJ25" s="68">
        <f>SUMIF(保单!R:R,E:E,保单!BE:BE)*IF(AF:AF&gt;1,1,0)</f>
        <v>0</v>
      </c>
      <c r="AK25" s="68">
        <f>SUMIFS(保单!BE:BE,保单!R:R,E:E,保单!BB:BB,"有效")*IF(AF:AF&gt;1,1,0)</f>
        <v>0</v>
      </c>
      <c r="AL25" s="72" t="str">
        <f>A:A&amp;D:D&amp;G:G&amp;"只要在1-10日承保全部保单，即可获得"&amp;$AJ$1&amp;AJ:AJ&amp;"个"</f>
        <v>凤台谢丽伙伴只要在1-10日承保全部保单，即可获得冲锋队按摩仪0个</v>
      </c>
    </row>
    <row r="26" spans="1:38">
      <c r="A26" s="64" t="s">
        <v>42</v>
      </c>
      <c r="B26" s="64" t="s">
        <v>62</v>
      </c>
      <c r="C26" s="64" t="s">
        <v>72</v>
      </c>
      <c r="D26" s="64" t="s">
        <v>267</v>
      </c>
      <c r="E26" s="64">
        <v>6578542762</v>
      </c>
      <c r="F26" s="64" t="s">
        <v>158</v>
      </c>
      <c r="G26" s="64" t="str">
        <f>IF(OR(F:F="高级经理一级",F:F="业务经理一级"),"主管","伙伴")</f>
        <v>伙伴</v>
      </c>
      <c r="H26" s="65">
        <f>SUMIF(险种!E:E,E:E,险种!R:R)-SUMIFS(险种!R:R,险种!U:U,"终止",险种!E:E,E:E)</f>
        <v>0</v>
      </c>
      <c r="I26" s="65">
        <f>SUMIFS(险种!R:R,险种!U:U,"有效",险种!E:E,E:E)</f>
        <v>0</v>
      </c>
      <c r="J26" s="65">
        <f>ROUND(SUMIF(险种!E:E,E:E,险种!Q:Q)-SUMIFS(险种!Q:Q,险种!U:U,"终止",险种!E:E,E:E),1)</f>
        <v>0</v>
      </c>
      <c r="K26" s="68">
        <f>RANK(J26,J:J)</f>
        <v>22</v>
      </c>
      <c r="L26" s="65">
        <f>ROUND(SUMIFS(险种!Q:Q,险种!U:U,"有效",险种!E:E,E:E),1)</f>
        <v>0</v>
      </c>
      <c r="M26" s="68">
        <f>RANK(L26,L:L,)</f>
        <v>14</v>
      </c>
      <c r="N26" s="68">
        <f>SUMIF(险种!E:E,E:E,险种!W:W)</f>
        <v>0</v>
      </c>
      <c r="O26" s="68">
        <f>IF(N:N&gt;=1,1,0)</f>
        <v>0</v>
      </c>
      <c r="P26" s="65">
        <f>ROUND(SUMIFS(险种!Q:Q,险种!V:V,$P$1,险种!E:E,E:E),1)</f>
        <v>0</v>
      </c>
      <c r="Q26" s="68">
        <f>RANK(P26,$P:$P,0)-1</f>
        <v>5</v>
      </c>
      <c r="R26" s="68" t="str">
        <f>A:A&amp;D:D&amp;G:G&amp;"在"&amp;$P$1&amp;"预收"&amp;P:P&amp;"排名中支第"&amp;Q:Q&amp;"位"</f>
        <v>淮南本部王思齐伙伴在20210509预收0排名中支第5位</v>
      </c>
      <c r="S26" s="65">
        <f>ROUND(SUMIFS(险种!Q:Q,险种!E:E,E:E,险种!V:V,"&lt;=20210506")-SUMIFS(险种!Q:Q,险种!U:U,"终止",险种!E:E,E:E,险种!V:V,"&lt;=20210506"),1)</f>
        <v>0</v>
      </c>
      <c r="T26" s="65">
        <f>ROUND(SUMIFS(险种!Q:Q,险种!U:U,"有效",险种!E:E,E:E,险种!V:V,"&lt;=20210506"),1)</f>
        <v>0</v>
      </c>
      <c r="U26" s="65">
        <f>ROUND(SUMIFS(险种!Q:Q,险种!E:E,E:E,险种!V:V,"&lt;=20210510")-SUMIFS(险种!Q:Q,险种!U:U,"终止",险种!E:E,E:E,险种!V:V,"&lt;=20210510"),1)</f>
        <v>0</v>
      </c>
      <c r="V26" s="65">
        <f>ROUND(SUMIFS(险种!Q:Q,险种!U:U,"有效",险种!E:E,E:E,险种!V:V,"&lt;=20210510"),1)</f>
        <v>0</v>
      </c>
      <c r="W26" s="65">
        <f t="shared" si="0"/>
        <v>0</v>
      </c>
      <c r="X26" s="68">
        <f>SUMIF(险种!E:E,E:E,险种!Y:Y)</f>
        <v>0</v>
      </c>
      <c r="Y26" s="65">
        <f>MAX(_xlfn.IFS(OR(X:X=1,X:X=2),J:J*0.1,X:X&gt;=3,J:J*0.2,X:X=0,0),IF(J:J&gt;=20000,J:J*0.2,0))</f>
        <v>0</v>
      </c>
      <c r="Z26" s="65" t="str">
        <f>A26&amp;D26&amp;G26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淮南本部王思齐伙伴5.1-5.10预收价值保费0，首周预收3000P件数0件，预收拟加佣0元。温馨提示，保单需10日（含）前承保，目前还有0价值保费未承保,开单一件即可获得10%加佣</v>
      </c>
      <c r="AA26" s="68">
        <f>SUMIF(险种!E:E,E:E,险种!Z:Z)</f>
        <v>0</v>
      </c>
      <c r="AB26" s="65"/>
      <c r="AC26" s="68">
        <f>SUMIF(险种!E:E,E:E,险种!AA:AA)</f>
        <v>0</v>
      </c>
      <c r="AD26" s="68">
        <f>SUMIFS(险种!AA:AA,险种!U:U,"有效",险种!E:E,E:E)</f>
        <v>0</v>
      </c>
      <c r="AE26" s="68" t="str">
        <f>A26&amp;D26&amp;G26&amp;"目前获得"&amp;$AC$1&amp;AC:AC&amp;"名，获得"&amp;$AD$1&amp;AD:AD&amp;"名"</f>
        <v>淮南本部王思齐伙伴目前获得龙虾节预收名额0名，获得龙虾节承保名额0名</v>
      </c>
      <c r="AF26" s="68">
        <f>SUMIF(认购返还案!D:D,E:E,认购返还案!E:E)</f>
        <v>0</v>
      </c>
      <c r="AG26" s="68">
        <f>_xlfn.IFS(AND(U:U&gt;=3000,U:U&lt;5000),AF:AF*0.5,U:U&gt;=5000,AF:AF*1,U:U&lt;3000,0)</f>
        <v>0</v>
      </c>
      <c r="AH26" s="68">
        <f>_xlfn.IFS(AND(V:V&gt;=3000,V:V&lt;5000),AF:AF*0.5,V:V&gt;=5000,AF:AF*1,V:V&lt;3000,0)</f>
        <v>0</v>
      </c>
      <c r="AI26" s="68" t="str">
        <f>A:A&amp;D:D&amp;G:G&amp;$AF$1&amp;AF:AF&amp;"元，目前预收价值"&amp;U:U&amp;"，"&amp;$AG$1&amp;AG:AG&amp;"元，"&amp;$AH$1&amp;AH:AH&amp;"元"</f>
        <v>淮南本部王思齐伙伴冲锋队缴费金额0元，目前预收价值0，预收拟返还0元，承保拟返还0元</v>
      </c>
      <c r="AJ26" s="68">
        <f>SUMIF(保单!R:R,E:E,保单!BE:BE)*IF(AF:AF&gt;1,1,0)</f>
        <v>0</v>
      </c>
      <c r="AK26" s="68">
        <f>SUMIFS(保单!BE:BE,保单!R:R,E:E,保单!BB:BB,"有效")*IF(AF:AF&gt;1,1,0)</f>
        <v>0</v>
      </c>
      <c r="AL26" s="72" t="str">
        <f>A:A&amp;D:D&amp;G:G&amp;"只要在1-10日承保全部保单，即可获得"&amp;$AJ$1&amp;AJ:AJ&amp;"个"</f>
        <v>淮南本部王思齐伙伴只要在1-10日承保全部保单，即可获得冲锋队按摩仪0个</v>
      </c>
    </row>
    <row r="27" spans="1:38">
      <c r="A27" s="64" t="s">
        <v>27</v>
      </c>
      <c r="B27" s="64" t="s">
        <v>28</v>
      </c>
      <c r="C27" s="64" t="s">
        <v>29</v>
      </c>
      <c r="D27" s="64" t="s">
        <v>268</v>
      </c>
      <c r="E27" s="64">
        <v>6577775832</v>
      </c>
      <c r="F27" s="64" t="s">
        <v>158</v>
      </c>
      <c r="G27" s="64" t="str">
        <f>IF(OR(F:F="高级经理一级",F:F="业务经理一级"),"主管","伙伴")</f>
        <v>伙伴</v>
      </c>
      <c r="H27" s="65">
        <f>SUMIF(险种!E:E,E:E,险种!R:R)-SUMIFS(险种!R:R,险种!U:U,"终止",险种!E:E,E:E)</f>
        <v>0</v>
      </c>
      <c r="I27" s="65">
        <f>SUMIFS(险种!R:R,险种!U:U,"有效",险种!E:E,E:E)</f>
        <v>0</v>
      </c>
      <c r="J27" s="65">
        <f>ROUND(SUMIF(险种!E:E,E:E,险种!Q:Q)-SUMIFS(险种!Q:Q,险种!U:U,"终止",险种!E:E,E:E),1)</f>
        <v>0</v>
      </c>
      <c r="K27" s="68">
        <f>RANK(J27,J:J)</f>
        <v>22</v>
      </c>
      <c r="L27" s="65">
        <f>ROUND(SUMIFS(险种!Q:Q,险种!U:U,"有效",险种!E:E,E:E),1)</f>
        <v>0</v>
      </c>
      <c r="M27" s="68">
        <f>RANK(L27,L:L,)</f>
        <v>14</v>
      </c>
      <c r="N27" s="68">
        <f>SUMIF(险种!E:E,E:E,险种!W:W)</f>
        <v>0</v>
      </c>
      <c r="O27" s="68">
        <f>IF(N:N&gt;=1,1,0)</f>
        <v>0</v>
      </c>
      <c r="P27" s="65">
        <f>ROUND(SUMIFS(险种!Q:Q,险种!V:V,$P$1,险种!E:E,E:E),1)</f>
        <v>0</v>
      </c>
      <c r="Q27" s="68">
        <f>RANK(P27,$P:$P,0)-1</f>
        <v>5</v>
      </c>
      <c r="R27" s="68" t="str">
        <f>A:A&amp;D:D&amp;G:G&amp;"在"&amp;$P$1&amp;"预收"&amp;P:P&amp;"排名中支第"&amp;Q:Q&amp;"位"</f>
        <v>凤台钮芳伙伴在20210509预收0排名中支第5位</v>
      </c>
      <c r="S27" s="65">
        <f>ROUND(SUMIFS(险种!Q:Q,险种!E:E,E:E,险种!V:V,"&lt;=20210506")-SUMIFS(险种!Q:Q,险种!U:U,"终止",险种!E:E,E:E,险种!V:V,"&lt;=20210506"),1)</f>
        <v>0</v>
      </c>
      <c r="T27" s="65">
        <f>ROUND(SUMIFS(险种!Q:Q,险种!U:U,"有效",险种!E:E,E:E,险种!V:V,"&lt;=20210506"),1)</f>
        <v>0</v>
      </c>
      <c r="U27" s="65">
        <f>ROUND(SUMIFS(险种!Q:Q,险种!E:E,E:E,险种!V:V,"&lt;=20210510")-SUMIFS(险种!Q:Q,险种!U:U,"终止",险种!E:E,E:E,险种!V:V,"&lt;=20210510"),1)</f>
        <v>0</v>
      </c>
      <c r="V27" s="65">
        <f>ROUND(SUMIFS(险种!Q:Q,险种!U:U,"有效",险种!E:E,E:E,险种!V:V,"&lt;=20210510"),1)</f>
        <v>0</v>
      </c>
      <c r="W27" s="65">
        <f t="shared" si="0"/>
        <v>0</v>
      </c>
      <c r="X27" s="68">
        <f>SUMIF(险种!E:E,E:E,险种!Y:Y)</f>
        <v>0</v>
      </c>
      <c r="Y27" s="65">
        <f>MAX(_xlfn.IFS(OR(X:X=1,X:X=2),J:J*0.1,X:X&gt;=3,J:J*0.2,X:X=0,0),IF(J:J&gt;=20000,J:J*0.2,0))</f>
        <v>0</v>
      </c>
      <c r="Z27" s="65" t="str">
        <f>A27&amp;D27&amp;G27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凤台钮芳伙伴5.1-5.10预收价值保费0，首周预收3000P件数0件，预收拟加佣0元。温馨提示，保单需10日（含）前承保，目前还有0价值保费未承保,开单一件即可获得10%加佣</v>
      </c>
      <c r="AA27" s="68">
        <f>SUMIF(险种!E:E,E:E,险种!Z:Z)</f>
        <v>0</v>
      </c>
      <c r="AB27" s="65"/>
      <c r="AC27" s="68">
        <f>SUMIF(险种!E:E,E:E,险种!AA:AA)</f>
        <v>0</v>
      </c>
      <c r="AD27" s="68">
        <f>SUMIFS(险种!AA:AA,险种!U:U,"有效",险种!E:E,E:E)</f>
        <v>0</v>
      </c>
      <c r="AE27" s="68" t="str">
        <f>A27&amp;D27&amp;G27&amp;"目前获得"&amp;$AC$1&amp;AC:AC&amp;"名，获得"&amp;$AD$1&amp;AD:AD&amp;"名"</f>
        <v>凤台钮芳伙伴目前获得龙虾节预收名额0名，获得龙虾节承保名额0名</v>
      </c>
      <c r="AF27" s="68">
        <f>SUMIF(认购返还案!D:D,E:E,认购返还案!E:E)</f>
        <v>0</v>
      </c>
      <c r="AG27" s="68">
        <f>_xlfn.IFS(AND(U:U&gt;=3000,U:U&lt;5000),AF:AF*0.5,U:U&gt;=5000,AF:AF*1,U:U&lt;3000,0)</f>
        <v>0</v>
      </c>
      <c r="AH27" s="68">
        <f>_xlfn.IFS(AND(V:V&gt;=3000,V:V&lt;5000),AF:AF*0.5,V:V&gt;=5000,AF:AF*1,V:V&lt;3000,0)</f>
        <v>0</v>
      </c>
      <c r="AI27" s="68" t="str">
        <f>A:A&amp;D:D&amp;G:G&amp;$AF$1&amp;AF:AF&amp;"元，目前预收价值"&amp;U:U&amp;"，"&amp;$AG$1&amp;AG:AG&amp;"元，"&amp;$AH$1&amp;AH:AH&amp;"元"</f>
        <v>凤台钮芳伙伴冲锋队缴费金额0元，目前预收价值0，预收拟返还0元，承保拟返还0元</v>
      </c>
      <c r="AJ27" s="68">
        <f>SUMIF(保单!R:R,E:E,保单!BE:BE)*IF(AF:AF&gt;1,1,0)</f>
        <v>0</v>
      </c>
      <c r="AK27" s="68">
        <f>SUMIFS(保单!BE:BE,保单!R:R,E:E,保单!BB:BB,"有效")*IF(AF:AF&gt;1,1,0)</f>
        <v>0</v>
      </c>
      <c r="AL27" s="72" t="str">
        <f>A:A&amp;D:D&amp;G:G&amp;"只要在1-10日承保全部保单，即可获得"&amp;$AJ$1&amp;AJ:AJ&amp;"个"</f>
        <v>凤台钮芳伙伴只要在1-10日承保全部保单，即可获得冲锋队按摩仪0个</v>
      </c>
    </row>
    <row r="28" spans="1:38">
      <c r="A28" s="64" t="s">
        <v>42</v>
      </c>
      <c r="B28" s="64" t="s">
        <v>62</v>
      </c>
      <c r="C28" s="64" t="s">
        <v>72</v>
      </c>
      <c r="D28" s="64" t="s">
        <v>269</v>
      </c>
      <c r="E28" s="64">
        <v>6575257432</v>
      </c>
      <c r="F28" s="64" t="s">
        <v>158</v>
      </c>
      <c r="G28" s="64" t="str">
        <f>IF(OR(F:F="高级经理一级",F:F="业务经理一级"),"主管","伙伴")</f>
        <v>伙伴</v>
      </c>
      <c r="H28" s="65">
        <f>SUMIF(险种!E:E,E:E,险种!R:R)-SUMIFS(险种!R:R,险种!U:U,"终止",险种!E:E,E:E)</f>
        <v>0</v>
      </c>
      <c r="I28" s="65">
        <f>SUMIFS(险种!R:R,险种!U:U,"有效",险种!E:E,E:E)</f>
        <v>0</v>
      </c>
      <c r="J28" s="65">
        <f>ROUND(SUMIF(险种!E:E,E:E,险种!Q:Q)-SUMIFS(险种!Q:Q,险种!U:U,"终止",险种!E:E,E:E),1)</f>
        <v>0</v>
      </c>
      <c r="K28" s="68">
        <f>RANK(J28,J:J)</f>
        <v>22</v>
      </c>
      <c r="L28" s="65">
        <f>ROUND(SUMIFS(险种!Q:Q,险种!U:U,"有效",险种!E:E,E:E),1)</f>
        <v>0</v>
      </c>
      <c r="M28" s="68">
        <f>RANK(L28,L:L,)</f>
        <v>14</v>
      </c>
      <c r="N28" s="68">
        <f>SUMIF(险种!E:E,E:E,险种!W:W)</f>
        <v>0</v>
      </c>
      <c r="O28" s="68">
        <f>IF(N:N&gt;=1,1,0)</f>
        <v>0</v>
      </c>
      <c r="P28" s="65">
        <f>ROUND(SUMIFS(险种!Q:Q,险种!V:V,$P$1,险种!E:E,E:E),1)</f>
        <v>0</v>
      </c>
      <c r="Q28" s="68">
        <f>RANK(P28,$P:$P,0)-1</f>
        <v>5</v>
      </c>
      <c r="R28" s="68" t="str">
        <f>A:A&amp;D:D&amp;G:G&amp;"在"&amp;$P$1&amp;"预收"&amp;P:P&amp;"排名中支第"&amp;Q:Q&amp;"位"</f>
        <v>淮南本部杨海山伙伴在20210509预收0排名中支第5位</v>
      </c>
      <c r="S28" s="65">
        <f>ROUND(SUMIFS(险种!Q:Q,险种!E:E,E:E,险种!V:V,"&lt;=20210506")-SUMIFS(险种!Q:Q,险种!U:U,"终止",险种!E:E,E:E,险种!V:V,"&lt;=20210506"),1)</f>
        <v>0</v>
      </c>
      <c r="T28" s="65">
        <f>ROUND(SUMIFS(险种!Q:Q,险种!U:U,"有效",险种!E:E,E:E,险种!V:V,"&lt;=20210506"),1)</f>
        <v>0</v>
      </c>
      <c r="U28" s="65">
        <f>ROUND(SUMIFS(险种!Q:Q,险种!E:E,E:E,险种!V:V,"&lt;=20210510")-SUMIFS(险种!Q:Q,险种!U:U,"终止",险种!E:E,E:E,险种!V:V,"&lt;=20210510"),1)</f>
        <v>0</v>
      </c>
      <c r="V28" s="65">
        <f>ROUND(SUMIFS(险种!Q:Q,险种!U:U,"有效",险种!E:E,E:E,险种!V:V,"&lt;=20210510"),1)</f>
        <v>0</v>
      </c>
      <c r="W28" s="65">
        <f t="shared" si="0"/>
        <v>0</v>
      </c>
      <c r="X28" s="68">
        <f>SUMIF(险种!E:E,E:E,险种!Y:Y)</f>
        <v>0</v>
      </c>
      <c r="Y28" s="65">
        <f>MAX(_xlfn.IFS(OR(X:X=1,X:X=2),J:J*0.1,X:X&gt;=3,J:J*0.2,X:X=0,0),IF(J:J&gt;=20000,J:J*0.2,0))</f>
        <v>0</v>
      </c>
      <c r="Z28" s="65" t="str">
        <f>A28&amp;D28&amp;G28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淮南本部杨海山伙伴5.1-5.10预收价值保费0，首周预收3000P件数0件，预收拟加佣0元。温馨提示，保单需10日（含）前承保，目前还有0价值保费未承保,开单一件即可获得10%加佣</v>
      </c>
      <c r="AA28" s="68">
        <f>SUMIF(险种!E:E,E:E,险种!Z:Z)</f>
        <v>0</v>
      </c>
      <c r="AB28" s="65"/>
      <c r="AC28" s="68">
        <f>SUMIF(险种!E:E,E:E,险种!AA:AA)</f>
        <v>0</v>
      </c>
      <c r="AD28" s="68">
        <f>SUMIFS(险种!AA:AA,险种!U:U,"有效",险种!E:E,E:E)</f>
        <v>0</v>
      </c>
      <c r="AE28" s="68" t="str">
        <f>A28&amp;D28&amp;G28&amp;"目前获得"&amp;$AC$1&amp;AC:AC&amp;"名，获得"&amp;$AD$1&amp;AD:AD&amp;"名"</f>
        <v>淮南本部杨海山伙伴目前获得龙虾节预收名额0名，获得龙虾节承保名额0名</v>
      </c>
      <c r="AF28" s="68">
        <f>SUMIF(认购返还案!D:D,E:E,认购返还案!E:E)</f>
        <v>200</v>
      </c>
      <c r="AG28" s="68">
        <f>_xlfn.IFS(AND(U:U&gt;=3000,U:U&lt;5000),AF:AF*0.5,U:U&gt;=5000,AF:AF*1,U:U&lt;3000,0)</f>
        <v>0</v>
      </c>
      <c r="AH28" s="68">
        <f>_xlfn.IFS(AND(V:V&gt;=3000,V:V&lt;5000),AF:AF*0.5,V:V&gt;=5000,AF:AF*1,V:V&lt;3000,0)</f>
        <v>0</v>
      </c>
      <c r="AI28" s="68" t="str">
        <f>A:A&amp;D:D&amp;G:G&amp;$AF$1&amp;AF:AF&amp;"元，目前预收价值"&amp;U:U&amp;"，"&amp;$AG$1&amp;AG:AG&amp;"元，"&amp;$AH$1&amp;AH:AH&amp;"元"</f>
        <v>淮南本部杨海山伙伴冲锋队缴费金额200元，目前预收价值0，预收拟返还0元，承保拟返还0元</v>
      </c>
      <c r="AJ28" s="68">
        <f>SUMIF(保单!R:R,E:E,保单!BE:BE)*IF(AF:AF&gt;1,1,0)</f>
        <v>0</v>
      </c>
      <c r="AK28" s="68">
        <f>SUMIFS(保单!BE:BE,保单!R:R,E:E,保单!BB:BB,"有效")*IF(AF:AF&gt;1,1,0)</f>
        <v>0</v>
      </c>
      <c r="AL28" s="72" t="str">
        <f>A:A&amp;D:D&amp;G:G&amp;"只要在1-10日承保全部保单，即可获得"&amp;$AJ$1&amp;AJ:AJ&amp;"个"</f>
        <v>淮南本部杨海山伙伴只要在1-10日承保全部保单，即可获得冲锋队按摩仪0个</v>
      </c>
    </row>
    <row r="29" spans="1:38">
      <c r="A29" s="64" t="s">
        <v>48</v>
      </c>
      <c r="B29" s="64" t="s">
        <v>49</v>
      </c>
      <c r="C29" s="64" t="s">
        <v>98</v>
      </c>
      <c r="D29" s="64" t="s">
        <v>270</v>
      </c>
      <c r="E29" s="64">
        <v>6567279892</v>
      </c>
      <c r="F29" s="64" t="s">
        <v>158</v>
      </c>
      <c r="G29" s="64" t="str">
        <f>IF(OR(F:F="高级经理一级",F:F="业务经理一级"),"主管","伙伴")</f>
        <v>伙伴</v>
      </c>
      <c r="H29" s="65">
        <f>SUMIF(险种!E:E,E:E,险种!R:R)-SUMIFS(险种!R:R,险种!U:U,"终止",险种!E:E,E:E)</f>
        <v>0</v>
      </c>
      <c r="I29" s="65">
        <f>SUMIFS(险种!R:R,险种!U:U,"有效",险种!E:E,E:E)</f>
        <v>0</v>
      </c>
      <c r="J29" s="65">
        <f>ROUND(SUMIF(险种!E:E,E:E,险种!Q:Q)-SUMIFS(险种!Q:Q,险种!U:U,"终止",险种!E:E,E:E),1)</f>
        <v>0</v>
      </c>
      <c r="K29" s="68">
        <f>RANK(J29,J:J)</f>
        <v>22</v>
      </c>
      <c r="L29" s="65">
        <f>ROUND(SUMIFS(险种!Q:Q,险种!U:U,"有效",险种!E:E,E:E),1)</f>
        <v>0</v>
      </c>
      <c r="M29" s="68">
        <f>RANK(L29,L:L,)</f>
        <v>14</v>
      </c>
      <c r="N29" s="68">
        <f>SUMIF(险种!E:E,E:E,险种!W:W)</f>
        <v>0</v>
      </c>
      <c r="O29" s="68">
        <f>IF(N:N&gt;=1,1,0)</f>
        <v>0</v>
      </c>
      <c r="P29" s="65">
        <f>ROUND(SUMIFS(险种!Q:Q,险种!V:V,$P$1,险种!E:E,E:E),1)</f>
        <v>0</v>
      </c>
      <c r="Q29" s="68">
        <f>RANK(P29,$P:$P,0)-1</f>
        <v>5</v>
      </c>
      <c r="R29" s="68" t="str">
        <f>A:A&amp;D:D&amp;G:G&amp;"在"&amp;$P$1&amp;"预收"&amp;P:P&amp;"排名中支第"&amp;Q:Q&amp;"位"</f>
        <v>谢家集庄山菊伙伴在20210509预收0排名中支第5位</v>
      </c>
      <c r="S29" s="65">
        <f>ROUND(SUMIFS(险种!Q:Q,险种!E:E,E:E,险种!V:V,"&lt;=20210506")-SUMIFS(险种!Q:Q,险种!U:U,"终止",险种!E:E,E:E,险种!V:V,"&lt;=20210506"),1)</f>
        <v>0</v>
      </c>
      <c r="T29" s="65">
        <f>ROUND(SUMIFS(险种!Q:Q,险种!U:U,"有效",险种!E:E,E:E,险种!V:V,"&lt;=20210506"),1)</f>
        <v>0</v>
      </c>
      <c r="U29" s="65">
        <f>ROUND(SUMIFS(险种!Q:Q,险种!E:E,E:E,险种!V:V,"&lt;=20210510")-SUMIFS(险种!Q:Q,险种!U:U,"终止",险种!E:E,E:E,险种!V:V,"&lt;=20210510"),1)</f>
        <v>0</v>
      </c>
      <c r="V29" s="65">
        <f>ROUND(SUMIFS(险种!Q:Q,险种!U:U,"有效",险种!E:E,E:E,险种!V:V,"&lt;=20210510"),1)</f>
        <v>0</v>
      </c>
      <c r="W29" s="65">
        <f t="shared" si="0"/>
        <v>0</v>
      </c>
      <c r="X29" s="68">
        <f>SUMIF(险种!E:E,E:E,险种!Y:Y)</f>
        <v>0</v>
      </c>
      <c r="Y29" s="65">
        <f>MAX(_xlfn.IFS(OR(X:X=1,X:X=2),J:J*0.1,X:X&gt;=3,J:J*0.2,X:X=0,0),IF(J:J&gt;=20000,J:J*0.2,0))</f>
        <v>0</v>
      </c>
      <c r="Z29" s="65" t="str">
        <f>A29&amp;D29&amp;G29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谢家集庄山菊伙伴5.1-5.10预收价值保费0，首周预收3000P件数0件，预收拟加佣0元。温馨提示，保单需10日（含）前承保，目前还有0价值保费未承保,开单一件即可获得10%加佣</v>
      </c>
      <c r="AA29" s="68">
        <f>SUMIF(险种!E:E,E:E,险种!Z:Z)</f>
        <v>0</v>
      </c>
      <c r="AB29" s="65"/>
      <c r="AC29" s="68">
        <f>SUMIF(险种!E:E,E:E,险种!AA:AA)</f>
        <v>0</v>
      </c>
      <c r="AD29" s="68">
        <f>SUMIFS(险种!AA:AA,险种!U:U,"有效",险种!E:E,E:E)</f>
        <v>0</v>
      </c>
      <c r="AE29" s="68" t="str">
        <f>A29&amp;D29&amp;G29&amp;"目前获得"&amp;$AC$1&amp;AC:AC&amp;"名，获得"&amp;$AD$1&amp;AD:AD&amp;"名"</f>
        <v>谢家集庄山菊伙伴目前获得龙虾节预收名额0名，获得龙虾节承保名额0名</v>
      </c>
      <c r="AF29" s="68">
        <f>SUMIF(认购返还案!D:D,E:E,认购返还案!E:E)</f>
        <v>0</v>
      </c>
      <c r="AG29" s="68">
        <f>_xlfn.IFS(AND(U:U&gt;=3000,U:U&lt;5000),AF:AF*0.5,U:U&gt;=5000,AF:AF*1,U:U&lt;3000,0)</f>
        <v>0</v>
      </c>
      <c r="AH29" s="68">
        <f>_xlfn.IFS(AND(V:V&gt;=3000,V:V&lt;5000),AF:AF*0.5,V:V&gt;=5000,AF:AF*1,V:V&lt;3000,0)</f>
        <v>0</v>
      </c>
      <c r="AI29" s="68" t="str">
        <f>A:A&amp;D:D&amp;G:G&amp;$AF$1&amp;AF:AF&amp;"元，目前预收价值"&amp;U:U&amp;"，"&amp;$AG$1&amp;AG:AG&amp;"元，"&amp;$AH$1&amp;AH:AH&amp;"元"</f>
        <v>谢家集庄山菊伙伴冲锋队缴费金额0元，目前预收价值0，预收拟返还0元，承保拟返还0元</v>
      </c>
      <c r="AJ29" s="68">
        <f>SUMIF(保单!R:R,E:E,保单!BE:BE)*IF(AF:AF&gt;1,1,0)</f>
        <v>0</v>
      </c>
      <c r="AK29" s="68">
        <f>SUMIFS(保单!BE:BE,保单!R:R,E:E,保单!BB:BB,"有效")*IF(AF:AF&gt;1,1,0)</f>
        <v>0</v>
      </c>
      <c r="AL29" s="72" t="str">
        <f>A:A&amp;D:D&amp;G:G&amp;"只要在1-10日承保全部保单，即可获得"&amp;$AJ$1&amp;AJ:AJ&amp;"个"</f>
        <v>谢家集庄山菊伙伴只要在1-10日承保全部保单，即可获得冲锋队按摩仪0个</v>
      </c>
    </row>
    <row r="30" spans="1:38">
      <c r="A30" s="64" t="s">
        <v>42</v>
      </c>
      <c r="B30" s="64" t="s">
        <v>62</v>
      </c>
      <c r="C30" s="64" t="s">
        <v>108</v>
      </c>
      <c r="D30" s="64" t="s">
        <v>271</v>
      </c>
      <c r="E30" s="64">
        <v>6563912032</v>
      </c>
      <c r="F30" s="64" t="s">
        <v>158</v>
      </c>
      <c r="G30" s="64" t="str">
        <f>IF(OR(F:F="高级经理一级",F:F="业务经理一级"),"主管","伙伴")</f>
        <v>伙伴</v>
      </c>
      <c r="H30" s="65">
        <f>SUMIF(险种!E:E,E:E,险种!R:R)-SUMIFS(险种!R:R,险种!U:U,"终止",险种!E:E,E:E)</f>
        <v>0</v>
      </c>
      <c r="I30" s="65">
        <f>SUMIFS(险种!R:R,险种!U:U,"有效",险种!E:E,E:E)</f>
        <v>0</v>
      </c>
      <c r="J30" s="65">
        <f>ROUND(SUMIF(险种!E:E,E:E,险种!Q:Q)-SUMIFS(险种!Q:Q,险种!U:U,"终止",险种!E:E,E:E),1)</f>
        <v>0</v>
      </c>
      <c r="K30" s="68">
        <f>RANK(J30,J:J)</f>
        <v>22</v>
      </c>
      <c r="L30" s="65">
        <f>ROUND(SUMIFS(险种!Q:Q,险种!U:U,"有效",险种!E:E,E:E),1)</f>
        <v>0</v>
      </c>
      <c r="M30" s="68">
        <f>RANK(L30,L:L,)</f>
        <v>14</v>
      </c>
      <c r="N30" s="68">
        <f>SUMIF(险种!E:E,E:E,险种!W:W)</f>
        <v>0</v>
      </c>
      <c r="O30" s="68">
        <f>IF(N:N&gt;=1,1,0)</f>
        <v>0</v>
      </c>
      <c r="P30" s="65">
        <f>ROUND(SUMIFS(险种!Q:Q,险种!V:V,$P$1,险种!E:E,E:E),1)</f>
        <v>0</v>
      </c>
      <c r="Q30" s="68">
        <f>RANK(P30,$P:$P,0)-1</f>
        <v>5</v>
      </c>
      <c r="R30" s="68" t="str">
        <f>A:A&amp;D:D&amp;G:G&amp;"在"&amp;$P$1&amp;"预收"&amp;P:P&amp;"排名中支第"&amp;Q:Q&amp;"位"</f>
        <v>淮南本部陈利媛伙伴在20210509预收0排名中支第5位</v>
      </c>
      <c r="S30" s="65">
        <f>ROUND(SUMIFS(险种!Q:Q,险种!E:E,E:E,险种!V:V,"&lt;=20210506")-SUMIFS(险种!Q:Q,险种!U:U,"终止",险种!E:E,E:E,险种!V:V,"&lt;=20210506"),1)</f>
        <v>0</v>
      </c>
      <c r="T30" s="65">
        <f>ROUND(SUMIFS(险种!Q:Q,险种!U:U,"有效",险种!E:E,E:E,险种!V:V,"&lt;=20210506"),1)</f>
        <v>0</v>
      </c>
      <c r="U30" s="65">
        <f>ROUND(SUMIFS(险种!Q:Q,险种!E:E,E:E,险种!V:V,"&lt;=20210510")-SUMIFS(险种!Q:Q,险种!U:U,"终止",险种!E:E,E:E,险种!V:V,"&lt;=20210510"),1)</f>
        <v>0</v>
      </c>
      <c r="V30" s="65">
        <f>ROUND(SUMIFS(险种!Q:Q,险种!U:U,"有效",险种!E:E,E:E,险种!V:V,"&lt;=20210510"),1)</f>
        <v>0</v>
      </c>
      <c r="W30" s="65">
        <f t="shared" si="0"/>
        <v>0</v>
      </c>
      <c r="X30" s="68">
        <f>SUMIF(险种!E:E,E:E,险种!Y:Y)</f>
        <v>0</v>
      </c>
      <c r="Y30" s="65">
        <f>MAX(_xlfn.IFS(OR(X:X=1,X:X=2),J:J*0.1,X:X&gt;=3,J:J*0.2,X:X=0,0),IF(J:J&gt;=20000,J:J*0.2,0))</f>
        <v>0</v>
      </c>
      <c r="Z30" s="65" t="str">
        <f>A30&amp;D30&amp;G30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淮南本部陈利媛伙伴5.1-5.10预收价值保费0，首周预收3000P件数0件，预收拟加佣0元。温馨提示，保单需10日（含）前承保，目前还有0价值保费未承保,开单一件即可获得10%加佣</v>
      </c>
      <c r="AA30" s="68">
        <f>SUMIF(险种!E:E,E:E,险种!Z:Z)</f>
        <v>0</v>
      </c>
      <c r="AB30" s="65"/>
      <c r="AC30" s="68">
        <f>SUMIF(险种!E:E,E:E,险种!AA:AA)</f>
        <v>0</v>
      </c>
      <c r="AD30" s="68">
        <f>SUMIFS(险种!AA:AA,险种!U:U,"有效",险种!E:E,E:E)</f>
        <v>0</v>
      </c>
      <c r="AE30" s="68" t="str">
        <f>A30&amp;D30&amp;G30&amp;"目前获得"&amp;$AC$1&amp;AC:AC&amp;"名，获得"&amp;$AD$1&amp;AD:AD&amp;"名"</f>
        <v>淮南本部陈利媛伙伴目前获得龙虾节预收名额0名，获得龙虾节承保名额0名</v>
      </c>
      <c r="AF30" s="68">
        <f>SUMIF(认购返还案!D:D,E:E,认购返还案!E:E)</f>
        <v>0</v>
      </c>
      <c r="AG30" s="68">
        <f>_xlfn.IFS(AND(U:U&gt;=3000,U:U&lt;5000),AF:AF*0.5,U:U&gt;=5000,AF:AF*1,U:U&lt;3000,0)</f>
        <v>0</v>
      </c>
      <c r="AH30" s="68">
        <f>_xlfn.IFS(AND(V:V&gt;=3000,V:V&lt;5000),AF:AF*0.5,V:V&gt;=5000,AF:AF*1,V:V&lt;3000,0)</f>
        <v>0</v>
      </c>
      <c r="AI30" s="68" t="str">
        <f>A:A&amp;D:D&amp;G:G&amp;$AF$1&amp;AF:AF&amp;"元，目前预收价值"&amp;U:U&amp;"，"&amp;$AG$1&amp;AG:AG&amp;"元，"&amp;$AH$1&amp;AH:AH&amp;"元"</f>
        <v>淮南本部陈利媛伙伴冲锋队缴费金额0元，目前预收价值0，预收拟返还0元，承保拟返还0元</v>
      </c>
      <c r="AJ30" s="68">
        <f>SUMIF(保单!R:R,E:E,保单!BE:BE)*IF(AF:AF&gt;1,1,0)</f>
        <v>0</v>
      </c>
      <c r="AK30" s="68">
        <f>SUMIFS(保单!BE:BE,保单!R:R,E:E,保单!BB:BB,"有效")*IF(AF:AF&gt;1,1,0)</f>
        <v>0</v>
      </c>
      <c r="AL30" s="72" t="str">
        <f>A:A&amp;D:D&amp;G:G&amp;"只要在1-10日承保全部保单，即可获得"&amp;$AJ$1&amp;AJ:AJ&amp;"个"</f>
        <v>淮南本部陈利媛伙伴只要在1-10日承保全部保单，即可获得冲锋队按摩仪0个</v>
      </c>
    </row>
    <row r="31" spans="1:38">
      <c r="A31" s="64" t="s">
        <v>48</v>
      </c>
      <c r="B31" s="64" t="s">
        <v>49</v>
      </c>
      <c r="C31" s="64" t="s">
        <v>98</v>
      </c>
      <c r="D31" s="64" t="s">
        <v>272</v>
      </c>
      <c r="E31" s="64">
        <v>6561874132</v>
      </c>
      <c r="F31" s="64" t="s">
        <v>158</v>
      </c>
      <c r="G31" s="64" t="str">
        <f>IF(OR(F:F="高级经理一级",F:F="业务经理一级"),"主管","伙伴")</f>
        <v>伙伴</v>
      </c>
      <c r="H31" s="65">
        <f>SUMIF(险种!E:E,E:E,险种!R:R)-SUMIFS(险种!R:R,险种!U:U,"终止",险种!E:E,E:E)</f>
        <v>0</v>
      </c>
      <c r="I31" s="65">
        <f>SUMIFS(险种!R:R,险种!U:U,"有效",险种!E:E,E:E)</f>
        <v>0</v>
      </c>
      <c r="J31" s="65">
        <f>ROUND(SUMIF(险种!E:E,E:E,险种!Q:Q)-SUMIFS(险种!Q:Q,险种!U:U,"终止",险种!E:E,E:E),1)</f>
        <v>0</v>
      </c>
      <c r="K31" s="68">
        <f>RANK(J31,J:J)</f>
        <v>22</v>
      </c>
      <c r="L31" s="65">
        <f>ROUND(SUMIFS(险种!Q:Q,险种!U:U,"有效",险种!E:E,E:E),1)</f>
        <v>0</v>
      </c>
      <c r="M31" s="68">
        <f>RANK(L31,L:L,)</f>
        <v>14</v>
      </c>
      <c r="N31" s="68">
        <f>SUMIF(险种!E:E,E:E,险种!W:W)</f>
        <v>0</v>
      </c>
      <c r="O31" s="68">
        <f>IF(N:N&gt;=1,1,0)</f>
        <v>0</v>
      </c>
      <c r="P31" s="65">
        <f>ROUND(SUMIFS(险种!Q:Q,险种!V:V,$P$1,险种!E:E,E:E),1)</f>
        <v>0</v>
      </c>
      <c r="Q31" s="68">
        <f>RANK(P31,$P:$P,0)-1</f>
        <v>5</v>
      </c>
      <c r="R31" s="68" t="str">
        <f>A:A&amp;D:D&amp;G:G&amp;"在"&amp;$P$1&amp;"预收"&amp;P:P&amp;"排名中支第"&amp;Q:Q&amp;"位"</f>
        <v>谢家集蔡瑞群伙伴在20210509预收0排名中支第5位</v>
      </c>
      <c r="S31" s="65">
        <f>ROUND(SUMIFS(险种!Q:Q,险种!E:E,E:E,险种!V:V,"&lt;=20210506")-SUMIFS(险种!Q:Q,险种!U:U,"终止",险种!E:E,E:E,险种!V:V,"&lt;=20210506"),1)</f>
        <v>0</v>
      </c>
      <c r="T31" s="65">
        <f>ROUND(SUMIFS(险种!Q:Q,险种!U:U,"有效",险种!E:E,E:E,险种!V:V,"&lt;=20210506"),1)</f>
        <v>0</v>
      </c>
      <c r="U31" s="65">
        <f>ROUND(SUMIFS(险种!Q:Q,险种!E:E,E:E,险种!V:V,"&lt;=20210510")-SUMIFS(险种!Q:Q,险种!U:U,"终止",险种!E:E,E:E,险种!V:V,"&lt;=20210510"),1)</f>
        <v>0</v>
      </c>
      <c r="V31" s="65">
        <f>ROUND(SUMIFS(险种!Q:Q,险种!U:U,"有效",险种!E:E,E:E,险种!V:V,"&lt;=20210510"),1)</f>
        <v>0</v>
      </c>
      <c r="W31" s="65">
        <f t="shared" si="0"/>
        <v>0</v>
      </c>
      <c r="X31" s="68">
        <f>SUMIF(险种!E:E,E:E,险种!Y:Y)</f>
        <v>0</v>
      </c>
      <c r="Y31" s="65">
        <f>MAX(_xlfn.IFS(OR(X:X=1,X:X=2),J:J*0.1,X:X&gt;=3,J:J*0.2,X:X=0,0),IF(J:J&gt;=20000,J:J*0.2,0))</f>
        <v>0</v>
      </c>
      <c r="Z31" s="65" t="str">
        <f>A31&amp;D31&amp;G31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谢家集蔡瑞群伙伴5.1-5.10预收价值保费0，首周预收3000P件数0件，预收拟加佣0元。温馨提示，保单需10日（含）前承保，目前还有0价值保费未承保,开单一件即可获得10%加佣</v>
      </c>
      <c r="AA31" s="68">
        <f>SUMIF(险种!E:E,E:E,险种!Z:Z)</f>
        <v>0</v>
      </c>
      <c r="AB31" s="65"/>
      <c r="AC31" s="68">
        <f>SUMIF(险种!E:E,E:E,险种!AA:AA)</f>
        <v>0</v>
      </c>
      <c r="AD31" s="68">
        <f>SUMIFS(险种!AA:AA,险种!U:U,"有效",险种!E:E,E:E)</f>
        <v>0</v>
      </c>
      <c r="AE31" s="68" t="str">
        <f>A31&amp;D31&amp;G31&amp;"目前获得"&amp;$AC$1&amp;AC:AC&amp;"名，获得"&amp;$AD$1&amp;AD:AD&amp;"名"</f>
        <v>谢家集蔡瑞群伙伴目前获得龙虾节预收名额0名，获得龙虾节承保名额0名</v>
      </c>
      <c r="AF31" s="68">
        <f>SUMIF(认购返还案!D:D,E:E,认购返还案!E:E)</f>
        <v>0</v>
      </c>
      <c r="AG31" s="68">
        <f>_xlfn.IFS(AND(U:U&gt;=3000,U:U&lt;5000),AF:AF*0.5,U:U&gt;=5000,AF:AF*1,U:U&lt;3000,0)</f>
        <v>0</v>
      </c>
      <c r="AH31" s="68">
        <f>_xlfn.IFS(AND(V:V&gt;=3000,V:V&lt;5000),AF:AF*0.5,V:V&gt;=5000,AF:AF*1,V:V&lt;3000,0)</f>
        <v>0</v>
      </c>
      <c r="AI31" s="68" t="str">
        <f>A:A&amp;D:D&amp;G:G&amp;$AF$1&amp;AF:AF&amp;"元，目前预收价值"&amp;U:U&amp;"，"&amp;$AG$1&amp;AG:AG&amp;"元，"&amp;$AH$1&amp;AH:AH&amp;"元"</f>
        <v>谢家集蔡瑞群伙伴冲锋队缴费金额0元，目前预收价值0，预收拟返还0元，承保拟返还0元</v>
      </c>
      <c r="AJ31" s="68">
        <f>SUMIF(保单!R:R,E:E,保单!BE:BE)*IF(AF:AF&gt;1,1,0)</f>
        <v>0</v>
      </c>
      <c r="AK31" s="68">
        <f>SUMIFS(保单!BE:BE,保单!R:R,E:E,保单!BB:BB,"有效")*IF(AF:AF&gt;1,1,0)</f>
        <v>0</v>
      </c>
      <c r="AL31" s="72" t="str">
        <f>A:A&amp;D:D&amp;G:G&amp;"只要在1-10日承保全部保单，即可获得"&amp;$AJ$1&amp;AJ:AJ&amp;"个"</f>
        <v>谢家集蔡瑞群伙伴只要在1-10日承保全部保单，即可获得冲锋队按摩仪0个</v>
      </c>
    </row>
    <row r="32" spans="1:38">
      <c r="A32" s="64" t="s">
        <v>42</v>
      </c>
      <c r="B32" s="64" t="s">
        <v>62</v>
      </c>
      <c r="C32" s="64" t="s">
        <v>72</v>
      </c>
      <c r="D32" s="64" t="s">
        <v>273</v>
      </c>
      <c r="E32" s="64">
        <v>6561864162</v>
      </c>
      <c r="F32" s="64" t="s">
        <v>158</v>
      </c>
      <c r="G32" s="64" t="str">
        <f>IF(OR(F:F="高级经理一级",F:F="业务经理一级"),"主管","伙伴")</f>
        <v>伙伴</v>
      </c>
      <c r="H32" s="65">
        <f>SUMIF(险种!E:E,E:E,险种!R:R)-SUMIFS(险种!R:R,险种!U:U,"终止",险种!E:E,E:E)</f>
        <v>0</v>
      </c>
      <c r="I32" s="65">
        <f>SUMIFS(险种!R:R,险种!U:U,"有效",险种!E:E,E:E)</f>
        <v>0</v>
      </c>
      <c r="J32" s="65">
        <f>ROUND(SUMIF(险种!E:E,E:E,险种!Q:Q)-SUMIFS(险种!Q:Q,险种!U:U,"终止",险种!E:E,E:E),1)</f>
        <v>0</v>
      </c>
      <c r="K32" s="68">
        <f>RANK(J32,J:J)</f>
        <v>22</v>
      </c>
      <c r="L32" s="65">
        <f>ROUND(SUMIFS(险种!Q:Q,险种!U:U,"有效",险种!E:E,E:E),1)</f>
        <v>0</v>
      </c>
      <c r="M32" s="68">
        <f>RANK(L32,L:L,)</f>
        <v>14</v>
      </c>
      <c r="N32" s="68">
        <f>SUMIF(险种!E:E,E:E,险种!W:W)</f>
        <v>0</v>
      </c>
      <c r="O32" s="68">
        <f>IF(N:N&gt;=1,1,0)</f>
        <v>0</v>
      </c>
      <c r="P32" s="65">
        <f>ROUND(SUMIFS(险种!Q:Q,险种!V:V,$P$1,险种!E:E,E:E),1)</f>
        <v>0</v>
      </c>
      <c r="Q32" s="68">
        <f>RANK(P32,$P:$P,0)-1</f>
        <v>5</v>
      </c>
      <c r="R32" s="68" t="str">
        <f>A:A&amp;D:D&amp;G:G&amp;"在"&amp;$P$1&amp;"预收"&amp;P:P&amp;"排名中支第"&amp;Q:Q&amp;"位"</f>
        <v>淮南本部张洪娟伙伴在20210509预收0排名中支第5位</v>
      </c>
      <c r="S32" s="65">
        <f>ROUND(SUMIFS(险种!Q:Q,险种!E:E,E:E,险种!V:V,"&lt;=20210506")-SUMIFS(险种!Q:Q,险种!U:U,"终止",险种!E:E,E:E,险种!V:V,"&lt;=20210506"),1)</f>
        <v>0</v>
      </c>
      <c r="T32" s="65">
        <f>ROUND(SUMIFS(险种!Q:Q,险种!U:U,"有效",险种!E:E,E:E,险种!V:V,"&lt;=20210506"),1)</f>
        <v>0</v>
      </c>
      <c r="U32" s="65">
        <f>ROUND(SUMIFS(险种!Q:Q,险种!E:E,E:E,险种!V:V,"&lt;=20210510")-SUMIFS(险种!Q:Q,险种!U:U,"终止",险种!E:E,E:E,险种!V:V,"&lt;=20210510"),1)</f>
        <v>0</v>
      </c>
      <c r="V32" s="65">
        <f>ROUND(SUMIFS(险种!Q:Q,险种!U:U,"有效",险种!E:E,E:E,险种!V:V,"&lt;=20210510"),1)</f>
        <v>0</v>
      </c>
      <c r="W32" s="65">
        <f t="shared" si="0"/>
        <v>0</v>
      </c>
      <c r="X32" s="68">
        <f>SUMIF(险种!E:E,E:E,险种!Y:Y)</f>
        <v>0</v>
      </c>
      <c r="Y32" s="65">
        <f>MAX(_xlfn.IFS(OR(X:X=1,X:X=2),J:J*0.1,X:X&gt;=3,J:J*0.2,X:X=0,0),IF(J:J&gt;=20000,J:J*0.2,0))</f>
        <v>0</v>
      </c>
      <c r="Z32" s="65" t="str">
        <f>A32&amp;D32&amp;G32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淮南本部张洪娟伙伴5.1-5.10预收价值保费0，首周预收3000P件数0件，预收拟加佣0元。温馨提示，保单需10日（含）前承保，目前还有0价值保费未承保,开单一件即可获得10%加佣</v>
      </c>
      <c r="AA32" s="68">
        <f>SUMIF(险种!E:E,E:E,险种!Z:Z)</f>
        <v>0</v>
      </c>
      <c r="AB32" s="65"/>
      <c r="AC32" s="68">
        <f>SUMIF(险种!E:E,E:E,险种!AA:AA)</f>
        <v>0</v>
      </c>
      <c r="AD32" s="68">
        <f>SUMIFS(险种!AA:AA,险种!U:U,"有效",险种!E:E,E:E)</f>
        <v>0</v>
      </c>
      <c r="AE32" s="68" t="str">
        <f>A32&amp;D32&amp;G32&amp;"目前获得"&amp;$AC$1&amp;AC:AC&amp;"名，获得"&amp;$AD$1&amp;AD:AD&amp;"名"</f>
        <v>淮南本部张洪娟伙伴目前获得龙虾节预收名额0名，获得龙虾节承保名额0名</v>
      </c>
      <c r="AF32" s="68">
        <f>SUMIF(认购返还案!D:D,E:E,认购返还案!E:E)</f>
        <v>0</v>
      </c>
      <c r="AG32" s="68">
        <f>_xlfn.IFS(AND(U:U&gt;=3000,U:U&lt;5000),AF:AF*0.5,U:U&gt;=5000,AF:AF*1,U:U&lt;3000,0)</f>
        <v>0</v>
      </c>
      <c r="AH32" s="68">
        <f>_xlfn.IFS(AND(V:V&gt;=3000,V:V&lt;5000),AF:AF*0.5,V:V&gt;=5000,AF:AF*1,V:V&lt;3000,0)</f>
        <v>0</v>
      </c>
      <c r="AI32" s="68" t="str">
        <f>A:A&amp;D:D&amp;G:G&amp;$AF$1&amp;AF:AF&amp;"元，目前预收价值"&amp;U:U&amp;"，"&amp;$AG$1&amp;AG:AG&amp;"元，"&amp;$AH$1&amp;AH:AH&amp;"元"</f>
        <v>淮南本部张洪娟伙伴冲锋队缴费金额0元，目前预收价值0，预收拟返还0元，承保拟返还0元</v>
      </c>
      <c r="AJ32" s="68">
        <f>SUMIF(保单!R:R,E:E,保单!BE:BE)*IF(AF:AF&gt;1,1,0)</f>
        <v>0</v>
      </c>
      <c r="AK32" s="68">
        <f>SUMIFS(保单!BE:BE,保单!R:R,E:E,保单!BB:BB,"有效")*IF(AF:AF&gt;1,1,0)</f>
        <v>0</v>
      </c>
      <c r="AL32" s="72" t="str">
        <f>A:A&amp;D:D&amp;G:G&amp;"只要在1-10日承保全部保单，即可获得"&amp;$AJ$1&amp;AJ:AJ&amp;"个"</f>
        <v>淮南本部张洪娟伙伴只要在1-10日承保全部保单，即可获得冲锋队按摩仪0个</v>
      </c>
    </row>
    <row r="33" spans="1:38">
      <c r="A33" s="64" t="s">
        <v>42</v>
      </c>
      <c r="B33" s="64" t="s">
        <v>43</v>
      </c>
      <c r="C33" s="64" t="s">
        <v>77</v>
      </c>
      <c r="D33" s="64" t="s">
        <v>274</v>
      </c>
      <c r="E33" s="64">
        <v>6561860562</v>
      </c>
      <c r="F33" s="64" t="s">
        <v>158</v>
      </c>
      <c r="G33" s="64" t="str">
        <f>IF(OR(F:F="高级经理一级",F:F="业务经理一级"),"主管","伙伴")</f>
        <v>伙伴</v>
      </c>
      <c r="H33" s="65">
        <f>SUMIF(险种!E:E,E:E,险种!R:R)-SUMIFS(险种!R:R,险种!U:U,"终止",险种!E:E,E:E)</f>
        <v>0</v>
      </c>
      <c r="I33" s="65">
        <f>SUMIFS(险种!R:R,险种!U:U,"有效",险种!E:E,E:E)</f>
        <v>0</v>
      </c>
      <c r="J33" s="65">
        <f>ROUND(SUMIF(险种!E:E,E:E,险种!Q:Q)-SUMIFS(险种!Q:Q,险种!U:U,"终止",险种!E:E,E:E),1)</f>
        <v>0</v>
      </c>
      <c r="K33" s="68">
        <f>RANK(J33,J:J)</f>
        <v>22</v>
      </c>
      <c r="L33" s="65">
        <f>ROUND(SUMIFS(险种!Q:Q,险种!U:U,"有效",险种!E:E,E:E),1)</f>
        <v>0</v>
      </c>
      <c r="M33" s="68">
        <f>RANK(L33,L:L,)</f>
        <v>14</v>
      </c>
      <c r="N33" s="68">
        <f>SUMIF(险种!E:E,E:E,险种!W:W)</f>
        <v>0</v>
      </c>
      <c r="O33" s="68">
        <f>IF(N:N&gt;=1,1,0)</f>
        <v>0</v>
      </c>
      <c r="P33" s="65">
        <f>ROUND(SUMIFS(险种!Q:Q,险种!V:V,$P$1,险种!E:E,E:E),1)</f>
        <v>0</v>
      </c>
      <c r="Q33" s="68">
        <f>RANK(P33,$P:$P,0)-1</f>
        <v>5</v>
      </c>
      <c r="R33" s="68" t="str">
        <f>A:A&amp;D:D&amp;G:G&amp;"在"&amp;$P$1&amp;"预收"&amp;P:P&amp;"排名中支第"&amp;Q:Q&amp;"位"</f>
        <v>淮南本部徐贺伙伴在20210509预收0排名中支第5位</v>
      </c>
      <c r="S33" s="65">
        <f>ROUND(SUMIFS(险种!Q:Q,险种!E:E,E:E,险种!V:V,"&lt;=20210506")-SUMIFS(险种!Q:Q,险种!U:U,"终止",险种!E:E,E:E,险种!V:V,"&lt;=20210506"),1)</f>
        <v>0</v>
      </c>
      <c r="T33" s="65">
        <f>ROUND(SUMIFS(险种!Q:Q,险种!U:U,"有效",险种!E:E,E:E,险种!V:V,"&lt;=20210506"),1)</f>
        <v>0</v>
      </c>
      <c r="U33" s="65">
        <f>ROUND(SUMIFS(险种!Q:Q,险种!E:E,E:E,险种!V:V,"&lt;=20210510")-SUMIFS(险种!Q:Q,险种!U:U,"终止",险种!E:E,E:E,险种!V:V,"&lt;=20210510"),1)</f>
        <v>0</v>
      </c>
      <c r="V33" s="65">
        <f>ROUND(SUMIFS(险种!Q:Q,险种!U:U,"有效",险种!E:E,E:E,险种!V:V,"&lt;=20210510"),1)</f>
        <v>0</v>
      </c>
      <c r="W33" s="65">
        <f t="shared" si="0"/>
        <v>0</v>
      </c>
      <c r="X33" s="68">
        <f>SUMIF(险种!E:E,E:E,险种!Y:Y)</f>
        <v>0</v>
      </c>
      <c r="Y33" s="65">
        <f>MAX(_xlfn.IFS(OR(X:X=1,X:X=2),J:J*0.1,X:X&gt;=3,J:J*0.2,X:X=0,0),IF(J:J&gt;=20000,J:J*0.2,0))</f>
        <v>0</v>
      </c>
      <c r="Z33" s="65" t="str">
        <f>A33&amp;D33&amp;G33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淮南本部徐贺伙伴5.1-5.10预收价值保费0，首周预收3000P件数0件，预收拟加佣0元。温馨提示，保单需10日（含）前承保，目前还有0价值保费未承保,开单一件即可获得10%加佣</v>
      </c>
      <c r="AA33" s="68">
        <f>SUMIF(险种!E:E,E:E,险种!Z:Z)</f>
        <v>0</v>
      </c>
      <c r="AB33" s="65"/>
      <c r="AC33" s="68">
        <f>SUMIF(险种!E:E,E:E,险种!AA:AA)</f>
        <v>0</v>
      </c>
      <c r="AD33" s="68">
        <f>SUMIFS(险种!AA:AA,险种!U:U,"有效",险种!E:E,E:E)</f>
        <v>0</v>
      </c>
      <c r="AE33" s="68" t="str">
        <f>A33&amp;D33&amp;G33&amp;"目前获得"&amp;$AC$1&amp;AC:AC&amp;"名，获得"&amp;$AD$1&amp;AD:AD&amp;"名"</f>
        <v>淮南本部徐贺伙伴目前获得龙虾节预收名额0名，获得龙虾节承保名额0名</v>
      </c>
      <c r="AF33" s="68">
        <f>SUMIF(认购返还案!D:D,E:E,认购返还案!E:E)</f>
        <v>0</v>
      </c>
      <c r="AG33" s="68">
        <f>_xlfn.IFS(AND(U:U&gt;=3000,U:U&lt;5000),AF:AF*0.5,U:U&gt;=5000,AF:AF*1,U:U&lt;3000,0)</f>
        <v>0</v>
      </c>
      <c r="AH33" s="68">
        <f>_xlfn.IFS(AND(V:V&gt;=3000,V:V&lt;5000),AF:AF*0.5,V:V&gt;=5000,AF:AF*1,V:V&lt;3000,0)</f>
        <v>0</v>
      </c>
      <c r="AI33" s="68" t="str">
        <f>A:A&amp;D:D&amp;G:G&amp;$AF$1&amp;AF:AF&amp;"元，目前预收价值"&amp;U:U&amp;"，"&amp;$AG$1&amp;AG:AG&amp;"元，"&amp;$AH$1&amp;AH:AH&amp;"元"</f>
        <v>淮南本部徐贺伙伴冲锋队缴费金额0元，目前预收价值0，预收拟返还0元，承保拟返还0元</v>
      </c>
      <c r="AJ33" s="68">
        <f>SUMIF(保单!R:R,E:E,保单!BE:BE)*IF(AF:AF&gt;1,1,0)</f>
        <v>0</v>
      </c>
      <c r="AK33" s="68">
        <f>SUMIFS(保单!BE:BE,保单!R:R,E:E,保单!BB:BB,"有效")*IF(AF:AF&gt;1,1,0)</f>
        <v>0</v>
      </c>
      <c r="AL33" s="72" t="str">
        <f>A:A&amp;D:D&amp;G:G&amp;"只要在1-10日承保全部保单，即可获得"&amp;$AJ$1&amp;AJ:AJ&amp;"个"</f>
        <v>淮南本部徐贺伙伴只要在1-10日承保全部保单，即可获得冲锋队按摩仪0个</v>
      </c>
    </row>
    <row r="34" spans="1:38">
      <c r="A34" s="64" t="s">
        <v>48</v>
      </c>
      <c r="B34" s="64" t="s">
        <v>49</v>
      </c>
      <c r="C34" s="64" t="s">
        <v>50</v>
      </c>
      <c r="D34" s="64" t="s">
        <v>275</v>
      </c>
      <c r="E34" s="64">
        <v>6560423702</v>
      </c>
      <c r="F34" s="64" t="s">
        <v>158</v>
      </c>
      <c r="G34" s="64" t="str">
        <f>IF(OR(F:F="高级经理一级",F:F="业务经理一级"),"主管","伙伴")</f>
        <v>伙伴</v>
      </c>
      <c r="H34" s="65">
        <f>SUMIF(险种!E:E,E:E,险种!R:R)-SUMIFS(险种!R:R,险种!U:U,"终止",险种!E:E,E:E)</f>
        <v>0</v>
      </c>
      <c r="I34" s="65">
        <f>SUMIFS(险种!R:R,险种!U:U,"有效",险种!E:E,E:E)</f>
        <v>0</v>
      </c>
      <c r="J34" s="65">
        <f>ROUND(SUMIF(险种!E:E,E:E,险种!Q:Q)-SUMIFS(险种!Q:Q,险种!U:U,"终止",险种!E:E,E:E),1)</f>
        <v>0</v>
      </c>
      <c r="K34" s="68">
        <f>RANK(J34,J:J)</f>
        <v>22</v>
      </c>
      <c r="L34" s="65">
        <f>ROUND(SUMIFS(险种!Q:Q,险种!U:U,"有效",险种!E:E,E:E),1)</f>
        <v>0</v>
      </c>
      <c r="M34" s="68">
        <f>RANK(L34,L:L,)</f>
        <v>14</v>
      </c>
      <c r="N34" s="68">
        <f>SUMIF(险种!E:E,E:E,险种!W:W)</f>
        <v>0</v>
      </c>
      <c r="O34" s="68">
        <f>IF(N:N&gt;=1,1,0)</f>
        <v>0</v>
      </c>
      <c r="P34" s="65">
        <f>ROUND(SUMIFS(险种!Q:Q,险种!V:V,$P$1,险种!E:E,E:E),1)</f>
        <v>0</v>
      </c>
      <c r="Q34" s="68">
        <f>RANK(P34,$P:$P,0)-1</f>
        <v>5</v>
      </c>
      <c r="R34" s="68" t="str">
        <f>A:A&amp;D:D&amp;G:G&amp;"在"&amp;$P$1&amp;"预收"&amp;P:P&amp;"排名中支第"&amp;Q:Q&amp;"位"</f>
        <v>谢家集单红侠伙伴在20210509预收0排名中支第5位</v>
      </c>
      <c r="S34" s="65">
        <f>ROUND(SUMIFS(险种!Q:Q,险种!E:E,E:E,险种!V:V,"&lt;=20210506")-SUMIFS(险种!Q:Q,险种!U:U,"终止",险种!E:E,E:E,险种!V:V,"&lt;=20210506"),1)</f>
        <v>0</v>
      </c>
      <c r="T34" s="65">
        <f>ROUND(SUMIFS(险种!Q:Q,险种!U:U,"有效",险种!E:E,E:E,险种!V:V,"&lt;=20210506"),1)</f>
        <v>0</v>
      </c>
      <c r="U34" s="65">
        <f>ROUND(SUMIFS(险种!Q:Q,险种!E:E,E:E,险种!V:V,"&lt;=20210510")-SUMIFS(险种!Q:Q,险种!U:U,"终止",险种!E:E,E:E,险种!V:V,"&lt;=20210510"),1)</f>
        <v>0</v>
      </c>
      <c r="V34" s="65">
        <f>ROUND(SUMIFS(险种!Q:Q,险种!U:U,"有效",险种!E:E,E:E,险种!V:V,"&lt;=20210510"),1)</f>
        <v>0</v>
      </c>
      <c r="W34" s="65">
        <f t="shared" si="0"/>
        <v>0</v>
      </c>
      <c r="X34" s="68">
        <f>SUMIF(险种!E:E,E:E,险种!Y:Y)</f>
        <v>0</v>
      </c>
      <c r="Y34" s="65">
        <f>MAX(_xlfn.IFS(OR(X:X=1,X:X=2),J:J*0.1,X:X&gt;=3,J:J*0.2,X:X=0,0),IF(J:J&gt;=20000,J:J*0.2,0))</f>
        <v>0</v>
      </c>
      <c r="Z34" s="65" t="str">
        <f>A34&amp;D34&amp;G34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谢家集单红侠伙伴5.1-5.10预收价值保费0，首周预收3000P件数0件，预收拟加佣0元。温馨提示，保单需10日（含）前承保，目前还有0价值保费未承保,开单一件即可获得10%加佣</v>
      </c>
      <c r="AA34" s="68">
        <f>SUMIF(险种!E:E,E:E,险种!Z:Z)</f>
        <v>0</v>
      </c>
      <c r="AB34" s="65"/>
      <c r="AC34" s="68">
        <f>SUMIF(险种!E:E,E:E,险种!AA:AA)</f>
        <v>0</v>
      </c>
      <c r="AD34" s="68">
        <f>SUMIFS(险种!AA:AA,险种!U:U,"有效",险种!E:E,E:E)</f>
        <v>0</v>
      </c>
      <c r="AE34" s="68" t="str">
        <f>A34&amp;D34&amp;G34&amp;"目前获得"&amp;$AC$1&amp;AC:AC&amp;"名，获得"&amp;$AD$1&amp;AD:AD&amp;"名"</f>
        <v>谢家集单红侠伙伴目前获得龙虾节预收名额0名，获得龙虾节承保名额0名</v>
      </c>
      <c r="AF34" s="68">
        <f>SUMIF(认购返还案!D:D,E:E,认购返还案!E:E)</f>
        <v>200</v>
      </c>
      <c r="AG34" s="68">
        <f>_xlfn.IFS(AND(U:U&gt;=3000,U:U&lt;5000),AF:AF*0.5,U:U&gt;=5000,AF:AF*1,U:U&lt;3000,0)</f>
        <v>0</v>
      </c>
      <c r="AH34" s="68">
        <f>_xlfn.IFS(AND(V:V&gt;=3000,V:V&lt;5000),AF:AF*0.5,V:V&gt;=5000,AF:AF*1,V:V&lt;3000,0)</f>
        <v>0</v>
      </c>
      <c r="AI34" s="68" t="str">
        <f>A:A&amp;D:D&amp;G:G&amp;$AF$1&amp;AF:AF&amp;"元，目前预收价值"&amp;U:U&amp;"，"&amp;$AG$1&amp;AG:AG&amp;"元，"&amp;$AH$1&amp;AH:AH&amp;"元"</f>
        <v>谢家集单红侠伙伴冲锋队缴费金额200元，目前预收价值0，预收拟返还0元，承保拟返还0元</v>
      </c>
      <c r="AJ34" s="68">
        <f>SUMIF(保单!R:R,E:E,保单!BE:BE)*IF(AF:AF&gt;1,1,0)</f>
        <v>0</v>
      </c>
      <c r="AK34" s="68">
        <f>SUMIFS(保单!BE:BE,保单!R:R,E:E,保单!BB:BB,"有效")*IF(AF:AF&gt;1,1,0)</f>
        <v>0</v>
      </c>
      <c r="AL34" s="72" t="str">
        <f>A:A&amp;D:D&amp;G:G&amp;"只要在1-10日承保全部保单，即可获得"&amp;$AJ$1&amp;AJ:AJ&amp;"个"</f>
        <v>谢家集单红侠伙伴只要在1-10日承保全部保单，即可获得冲锋队按摩仪0个</v>
      </c>
    </row>
    <row r="35" spans="1:38">
      <c r="A35" s="64" t="s">
        <v>42</v>
      </c>
      <c r="B35" s="64" t="s">
        <v>62</v>
      </c>
      <c r="C35" s="64" t="s">
        <v>86</v>
      </c>
      <c r="D35" s="64" t="s">
        <v>276</v>
      </c>
      <c r="E35" s="64">
        <v>6560355712</v>
      </c>
      <c r="F35" s="64" t="s">
        <v>158</v>
      </c>
      <c r="G35" s="64" t="str">
        <f>IF(OR(F:F="高级经理一级",F:F="业务经理一级"),"主管","伙伴")</f>
        <v>伙伴</v>
      </c>
      <c r="H35" s="65">
        <f>SUMIF(险种!E:E,E:E,险种!R:R)-SUMIFS(险种!R:R,险种!U:U,"终止",险种!E:E,E:E)</f>
        <v>0</v>
      </c>
      <c r="I35" s="65">
        <f>SUMIFS(险种!R:R,险种!U:U,"有效",险种!E:E,E:E)</f>
        <v>0</v>
      </c>
      <c r="J35" s="65">
        <f>ROUND(SUMIF(险种!E:E,E:E,险种!Q:Q)-SUMIFS(险种!Q:Q,险种!U:U,"终止",险种!E:E,E:E),1)</f>
        <v>0</v>
      </c>
      <c r="K35" s="68">
        <f>RANK(J35,J:J)</f>
        <v>22</v>
      </c>
      <c r="L35" s="65">
        <f>ROUND(SUMIFS(险种!Q:Q,险种!U:U,"有效",险种!E:E,E:E),1)</f>
        <v>0</v>
      </c>
      <c r="M35" s="68">
        <f>RANK(L35,L:L,)</f>
        <v>14</v>
      </c>
      <c r="N35" s="68">
        <f>SUMIF(险种!E:E,E:E,险种!W:W)</f>
        <v>0</v>
      </c>
      <c r="O35" s="68">
        <f>IF(N:N&gt;=1,1,0)</f>
        <v>0</v>
      </c>
      <c r="P35" s="65">
        <f>ROUND(SUMIFS(险种!Q:Q,险种!V:V,$P$1,险种!E:E,E:E),1)</f>
        <v>0</v>
      </c>
      <c r="Q35" s="68">
        <f>RANK(P35,$P:$P,0)-1</f>
        <v>5</v>
      </c>
      <c r="R35" s="68" t="str">
        <f>A:A&amp;D:D&amp;G:G&amp;"在"&amp;$P$1&amp;"预收"&amp;P:P&amp;"排名中支第"&amp;Q:Q&amp;"位"</f>
        <v>淮南本部丁静伙伴在20210509预收0排名中支第5位</v>
      </c>
      <c r="S35" s="65">
        <f>ROUND(SUMIFS(险种!Q:Q,险种!E:E,E:E,险种!V:V,"&lt;=20210506")-SUMIFS(险种!Q:Q,险种!U:U,"终止",险种!E:E,E:E,险种!V:V,"&lt;=20210506"),1)</f>
        <v>0</v>
      </c>
      <c r="T35" s="65">
        <f>ROUND(SUMIFS(险种!Q:Q,险种!U:U,"有效",险种!E:E,E:E,险种!V:V,"&lt;=20210506"),1)</f>
        <v>0</v>
      </c>
      <c r="U35" s="65">
        <f>ROUND(SUMIFS(险种!Q:Q,险种!E:E,E:E,险种!V:V,"&lt;=20210510")-SUMIFS(险种!Q:Q,险种!U:U,"终止",险种!E:E,E:E,险种!V:V,"&lt;=20210510"),1)</f>
        <v>0</v>
      </c>
      <c r="V35" s="65">
        <f>ROUND(SUMIFS(险种!Q:Q,险种!U:U,"有效",险种!E:E,E:E,险种!V:V,"&lt;=20210510"),1)</f>
        <v>0</v>
      </c>
      <c r="W35" s="65">
        <f t="shared" si="0"/>
        <v>0</v>
      </c>
      <c r="X35" s="68">
        <f>SUMIF(险种!E:E,E:E,险种!Y:Y)</f>
        <v>0</v>
      </c>
      <c r="Y35" s="65">
        <f>MAX(_xlfn.IFS(OR(X:X=1,X:X=2),J:J*0.1,X:X&gt;=3,J:J*0.2,X:X=0,0),IF(J:J&gt;=20000,J:J*0.2,0))</f>
        <v>0</v>
      </c>
      <c r="Z35" s="65" t="str">
        <f>A35&amp;D35&amp;G35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淮南本部丁静伙伴5.1-5.10预收价值保费0，首周预收3000P件数0件，预收拟加佣0元。温馨提示，保单需10日（含）前承保，目前还有0价值保费未承保,开单一件即可获得10%加佣</v>
      </c>
      <c r="AA35" s="68">
        <f>SUMIF(险种!E:E,E:E,险种!Z:Z)</f>
        <v>0</v>
      </c>
      <c r="AB35" s="65"/>
      <c r="AC35" s="68">
        <f>SUMIF(险种!E:E,E:E,险种!AA:AA)</f>
        <v>0</v>
      </c>
      <c r="AD35" s="68">
        <f>SUMIFS(险种!AA:AA,险种!U:U,"有效",险种!E:E,E:E)</f>
        <v>0</v>
      </c>
      <c r="AE35" s="68" t="str">
        <f>A35&amp;D35&amp;G35&amp;"目前获得"&amp;$AC$1&amp;AC:AC&amp;"名，获得"&amp;$AD$1&amp;AD:AD&amp;"名"</f>
        <v>淮南本部丁静伙伴目前获得龙虾节预收名额0名，获得龙虾节承保名额0名</v>
      </c>
      <c r="AF35" s="68">
        <f>SUMIF(认购返还案!D:D,E:E,认购返还案!E:E)</f>
        <v>0</v>
      </c>
      <c r="AG35" s="68">
        <f>_xlfn.IFS(AND(U:U&gt;=3000,U:U&lt;5000),AF:AF*0.5,U:U&gt;=5000,AF:AF*1,U:U&lt;3000,0)</f>
        <v>0</v>
      </c>
      <c r="AH35" s="68">
        <f>_xlfn.IFS(AND(V:V&gt;=3000,V:V&lt;5000),AF:AF*0.5,V:V&gt;=5000,AF:AF*1,V:V&lt;3000,0)</f>
        <v>0</v>
      </c>
      <c r="AI35" s="68" t="str">
        <f>A:A&amp;D:D&amp;G:G&amp;$AF$1&amp;AF:AF&amp;"元，目前预收价值"&amp;U:U&amp;"，"&amp;$AG$1&amp;AG:AG&amp;"元，"&amp;$AH$1&amp;AH:AH&amp;"元"</f>
        <v>淮南本部丁静伙伴冲锋队缴费金额0元，目前预收价值0，预收拟返还0元，承保拟返还0元</v>
      </c>
      <c r="AJ35" s="68">
        <f>SUMIF(保单!R:R,E:E,保单!BE:BE)*IF(AF:AF&gt;1,1,0)</f>
        <v>0</v>
      </c>
      <c r="AK35" s="68">
        <f>SUMIFS(保单!BE:BE,保单!R:R,E:E,保单!BB:BB,"有效")*IF(AF:AF&gt;1,1,0)</f>
        <v>0</v>
      </c>
      <c r="AL35" s="72" t="str">
        <f>A:A&amp;D:D&amp;G:G&amp;"只要在1-10日承保全部保单，即可获得"&amp;$AJ$1&amp;AJ:AJ&amp;"个"</f>
        <v>淮南本部丁静伙伴只要在1-10日承保全部保单，即可获得冲锋队按摩仪0个</v>
      </c>
    </row>
    <row r="36" spans="1:38">
      <c r="A36" s="64" t="s">
        <v>42</v>
      </c>
      <c r="B36" s="64" t="s">
        <v>62</v>
      </c>
      <c r="C36" s="64" t="s">
        <v>72</v>
      </c>
      <c r="D36" s="64" t="s">
        <v>277</v>
      </c>
      <c r="E36" s="64">
        <v>6560214262</v>
      </c>
      <c r="F36" s="64" t="s">
        <v>158</v>
      </c>
      <c r="G36" s="64" t="str">
        <f>IF(OR(F:F="高级经理一级",F:F="业务经理一级"),"主管","伙伴")</f>
        <v>伙伴</v>
      </c>
      <c r="H36" s="65">
        <f>SUMIF(险种!E:E,E:E,险种!R:R)-SUMIFS(险种!R:R,险种!U:U,"终止",险种!E:E,E:E)</f>
        <v>0</v>
      </c>
      <c r="I36" s="65">
        <f>SUMIFS(险种!R:R,险种!U:U,"有效",险种!E:E,E:E)</f>
        <v>0</v>
      </c>
      <c r="J36" s="65">
        <f>ROUND(SUMIF(险种!E:E,E:E,险种!Q:Q)-SUMIFS(险种!Q:Q,险种!U:U,"终止",险种!E:E,E:E),1)</f>
        <v>0</v>
      </c>
      <c r="K36" s="68">
        <f>RANK(J36,J:J)</f>
        <v>22</v>
      </c>
      <c r="L36" s="65">
        <f>ROUND(SUMIFS(险种!Q:Q,险种!U:U,"有效",险种!E:E,E:E),1)</f>
        <v>0</v>
      </c>
      <c r="M36" s="68">
        <f>RANK(L36,L:L,)</f>
        <v>14</v>
      </c>
      <c r="N36" s="68">
        <f>SUMIF(险种!E:E,E:E,险种!W:W)</f>
        <v>0</v>
      </c>
      <c r="O36" s="68">
        <f>IF(N:N&gt;=1,1,0)</f>
        <v>0</v>
      </c>
      <c r="P36" s="65">
        <f>ROUND(SUMIFS(险种!Q:Q,险种!V:V,$P$1,险种!E:E,E:E),1)</f>
        <v>0</v>
      </c>
      <c r="Q36" s="68">
        <f>RANK(P36,$P:$P,0)-1</f>
        <v>5</v>
      </c>
      <c r="R36" s="68" t="str">
        <f>A:A&amp;D:D&amp;G:G&amp;"在"&amp;$P$1&amp;"预收"&amp;P:P&amp;"排名中支第"&amp;Q:Q&amp;"位"</f>
        <v>淮南本部王芸芸伙伴在20210509预收0排名中支第5位</v>
      </c>
      <c r="S36" s="65">
        <f>ROUND(SUMIFS(险种!Q:Q,险种!E:E,E:E,险种!V:V,"&lt;=20210506")-SUMIFS(险种!Q:Q,险种!U:U,"终止",险种!E:E,E:E,险种!V:V,"&lt;=20210506"),1)</f>
        <v>0</v>
      </c>
      <c r="T36" s="65">
        <f>ROUND(SUMIFS(险种!Q:Q,险种!U:U,"有效",险种!E:E,E:E,险种!V:V,"&lt;=20210506"),1)</f>
        <v>0</v>
      </c>
      <c r="U36" s="65">
        <f>ROUND(SUMIFS(险种!Q:Q,险种!E:E,E:E,险种!V:V,"&lt;=20210510")-SUMIFS(险种!Q:Q,险种!U:U,"终止",险种!E:E,E:E,险种!V:V,"&lt;=20210510"),1)</f>
        <v>0</v>
      </c>
      <c r="V36" s="65">
        <f>ROUND(SUMIFS(险种!Q:Q,险种!U:U,"有效",险种!E:E,E:E,险种!V:V,"&lt;=20210510"),1)</f>
        <v>0</v>
      </c>
      <c r="W36" s="65">
        <f t="shared" si="0"/>
        <v>0</v>
      </c>
      <c r="X36" s="68">
        <f>SUMIF(险种!E:E,E:E,险种!Y:Y)</f>
        <v>0</v>
      </c>
      <c r="Y36" s="65">
        <f>MAX(_xlfn.IFS(OR(X:X=1,X:X=2),J:J*0.1,X:X&gt;=3,J:J*0.2,X:X=0,0),IF(J:J&gt;=20000,J:J*0.2,0))</f>
        <v>0</v>
      </c>
      <c r="Z36" s="65" t="str">
        <f>A36&amp;D36&amp;G36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淮南本部王芸芸伙伴5.1-5.10预收价值保费0，首周预收3000P件数0件，预收拟加佣0元。温馨提示，保单需10日（含）前承保，目前还有0价值保费未承保,开单一件即可获得10%加佣</v>
      </c>
      <c r="AA36" s="68">
        <f>SUMIF(险种!E:E,E:E,险种!Z:Z)</f>
        <v>0</v>
      </c>
      <c r="AB36" s="65"/>
      <c r="AC36" s="68">
        <f>SUMIF(险种!E:E,E:E,险种!AA:AA)</f>
        <v>0</v>
      </c>
      <c r="AD36" s="68">
        <f>SUMIFS(险种!AA:AA,险种!U:U,"有效",险种!E:E,E:E)</f>
        <v>0</v>
      </c>
      <c r="AE36" s="68" t="str">
        <f>A36&amp;D36&amp;G36&amp;"目前获得"&amp;$AC$1&amp;AC:AC&amp;"名，获得"&amp;$AD$1&amp;AD:AD&amp;"名"</f>
        <v>淮南本部王芸芸伙伴目前获得龙虾节预收名额0名，获得龙虾节承保名额0名</v>
      </c>
      <c r="AF36" s="68">
        <f>SUMIF(认购返还案!D:D,E:E,认购返还案!E:E)</f>
        <v>0</v>
      </c>
      <c r="AG36" s="68">
        <f>_xlfn.IFS(AND(U:U&gt;=3000,U:U&lt;5000),AF:AF*0.5,U:U&gt;=5000,AF:AF*1,U:U&lt;3000,0)</f>
        <v>0</v>
      </c>
      <c r="AH36" s="68">
        <f>_xlfn.IFS(AND(V:V&gt;=3000,V:V&lt;5000),AF:AF*0.5,V:V&gt;=5000,AF:AF*1,V:V&lt;3000,0)</f>
        <v>0</v>
      </c>
      <c r="AI36" s="68" t="str">
        <f>A:A&amp;D:D&amp;G:G&amp;$AF$1&amp;AF:AF&amp;"元，目前预收价值"&amp;U:U&amp;"，"&amp;$AG$1&amp;AG:AG&amp;"元，"&amp;$AH$1&amp;AH:AH&amp;"元"</f>
        <v>淮南本部王芸芸伙伴冲锋队缴费金额0元，目前预收价值0，预收拟返还0元，承保拟返还0元</v>
      </c>
      <c r="AJ36" s="68">
        <f>SUMIF(保单!R:R,E:E,保单!BE:BE)*IF(AF:AF&gt;1,1,0)</f>
        <v>0</v>
      </c>
      <c r="AK36" s="68">
        <f>SUMIFS(保单!BE:BE,保单!R:R,E:E,保单!BB:BB,"有效")*IF(AF:AF&gt;1,1,0)</f>
        <v>0</v>
      </c>
      <c r="AL36" s="72" t="str">
        <f>A:A&amp;D:D&amp;G:G&amp;"只要在1-10日承保全部保单，即可获得"&amp;$AJ$1&amp;AJ:AJ&amp;"个"</f>
        <v>淮南本部王芸芸伙伴只要在1-10日承保全部保单，即可获得冲锋队按摩仪0个</v>
      </c>
    </row>
    <row r="37" spans="1:38">
      <c r="A37" s="64" t="s">
        <v>48</v>
      </c>
      <c r="B37" s="64" t="s">
        <v>49</v>
      </c>
      <c r="C37" s="64" t="s">
        <v>98</v>
      </c>
      <c r="D37" s="64" t="s">
        <v>278</v>
      </c>
      <c r="E37" s="64">
        <v>6560149942</v>
      </c>
      <c r="F37" s="64" t="s">
        <v>158</v>
      </c>
      <c r="G37" s="64" t="str">
        <f>IF(OR(F:F="高级经理一级",F:F="业务经理一级"),"主管","伙伴")</f>
        <v>伙伴</v>
      </c>
      <c r="H37" s="65">
        <f>SUMIF(险种!E:E,E:E,险种!R:R)-SUMIFS(险种!R:R,险种!U:U,"终止",险种!E:E,E:E)</f>
        <v>0</v>
      </c>
      <c r="I37" s="65">
        <f>SUMIFS(险种!R:R,险种!U:U,"有效",险种!E:E,E:E)</f>
        <v>0</v>
      </c>
      <c r="J37" s="65">
        <f>ROUND(SUMIF(险种!E:E,E:E,险种!Q:Q)-SUMIFS(险种!Q:Q,险种!U:U,"终止",险种!E:E,E:E),1)</f>
        <v>0</v>
      </c>
      <c r="K37" s="68">
        <f>RANK(J37,J:J)</f>
        <v>22</v>
      </c>
      <c r="L37" s="65">
        <f>ROUND(SUMIFS(险种!Q:Q,险种!U:U,"有效",险种!E:E,E:E),1)</f>
        <v>0</v>
      </c>
      <c r="M37" s="68">
        <f>RANK(L37,L:L,)</f>
        <v>14</v>
      </c>
      <c r="N37" s="68">
        <f>SUMIF(险种!E:E,E:E,险种!W:W)</f>
        <v>0</v>
      </c>
      <c r="O37" s="68">
        <f>IF(N:N&gt;=1,1,0)</f>
        <v>0</v>
      </c>
      <c r="P37" s="65">
        <f>ROUND(SUMIFS(险种!Q:Q,险种!V:V,$P$1,险种!E:E,E:E),1)</f>
        <v>0</v>
      </c>
      <c r="Q37" s="68">
        <f>RANK(P37,$P:$P,0)-1</f>
        <v>5</v>
      </c>
      <c r="R37" s="68" t="str">
        <f>A:A&amp;D:D&amp;G:G&amp;"在"&amp;$P$1&amp;"预收"&amp;P:P&amp;"排名中支第"&amp;Q:Q&amp;"位"</f>
        <v>谢家集陈连梅伙伴在20210509预收0排名中支第5位</v>
      </c>
      <c r="S37" s="65">
        <f>ROUND(SUMIFS(险种!Q:Q,险种!E:E,E:E,险种!V:V,"&lt;=20210506")-SUMIFS(险种!Q:Q,险种!U:U,"终止",险种!E:E,E:E,险种!V:V,"&lt;=20210506"),1)</f>
        <v>0</v>
      </c>
      <c r="T37" s="65">
        <f>ROUND(SUMIFS(险种!Q:Q,险种!U:U,"有效",险种!E:E,E:E,险种!V:V,"&lt;=20210506"),1)</f>
        <v>0</v>
      </c>
      <c r="U37" s="65">
        <f>ROUND(SUMIFS(险种!Q:Q,险种!E:E,E:E,险种!V:V,"&lt;=20210510")-SUMIFS(险种!Q:Q,险种!U:U,"终止",险种!E:E,E:E,险种!V:V,"&lt;=20210510"),1)</f>
        <v>0</v>
      </c>
      <c r="V37" s="65">
        <f>ROUND(SUMIFS(险种!Q:Q,险种!U:U,"有效",险种!E:E,E:E,险种!V:V,"&lt;=20210510"),1)</f>
        <v>0</v>
      </c>
      <c r="W37" s="65">
        <f t="shared" si="0"/>
        <v>0</v>
      </c>
      <c r="X37" s="68">
        <f>SUMIF(险种!E:E,E:E,险种!Y:Y)</f>
        <v>0</v>
      </c>
      <c r="Y37" s="65">
        <f>MAX(_xlfn.IFS(OR(X:X=1,X:X=2),J:J*0.1,X:X&gt;=3,J:J*0.2,X:X=0,0),IF(J:J&gt;=20000,J:J*0.2,0))</f>
        <v>0</v>
      </c>
      <c r="Z37" s="65" t="str">
        <f>A37&amp;D37&amp;G37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谢家集陈连梅伙伴5.1-5.10预收价值保费0，首周预收3000P件数0件，预收拟加佣0元。温馨提示，保单需10日（含）前承保，目前还有0价值保费未承保,开单一件即可获得10%加佣</v>
      </c>
      <c r="AA37" s="68">
        <f>SUMIF(险种!E:E,E:E,险种!Z:Z)</f>
        <v>0</v>
      </c>
      <c r="AB37" s="65"/>
      <c r="AC37" s="68">
        <f>SUMIF(险种!E:E,E:E,险种!AA:AA)</f>
        <v>0</v>
      </c>
      <c r="AD37" s="68">
        <f>SUMIFS(险种!AA:AA,险种!U:U,"有效",险种!E:E,E:E)</f>
        <v>0</v>
      </c>
      <c r="AE37" s="68" t="str">
        <f>A37&amp;D37&amp;G37&amp;"目前获得"&amp;$AC$1&amp;AC:AC&amp;"名，获得"&amp;$AD$1&amp;AD:AD&amp;"名"</f>
        <v>谢家集陈连梅伙伴目前获得龙虾节预收名额0名，获得龙虾节承保名额0名</v>
      </c>
      <c r="AF37" s="68">
        <f>SUMIF(认购返还案!D:D,E:E,认购返还案!E:E)</f>
        <v>0</v>
      </c>
      <c r="AG37" s="68">
        <f>_xlfn.IFS(AND(U:U&gt;=3000,U:U&lt;5000),AF:AF*0.5,U:U&gt;=5000,AF:AF*1,U:U&lt;3000,0)</f>
        <v>0</v>
      </c>
      <c r="AH37" s="68">
        <f>_xlfn.IFS(AND(V:V&gt;=3000,V:V&lt;5000),AF:AF*0.5,V:V&gt;=5000,AF:AF*1,V:V&lt;3000,0)</f>
        <v>0</v>
      </c>
      <c r="AI37" s="68" t="str">
        <f>A:A&amp;D:D&amp;G:G&amp;$AF$1&amp;AF:AF&amp;"元，目前预收价值"&amp;U:U&amp;"，"&amp;$AG$1&amp;AG:AG&amp;"元，"&amp;$AH$1&amp;AH:AH&amp;"元"</f>
        <v>谢家集陈连梅伙伴冲锋队缴费金额0元，目前预收价值0，预收拟返还0元，承保拟返还0元</v>
      </c>
      <c r="AJ37" s="68">
        <f>SUMIF(保单!R:R,E:E,保单!BE:BE)*IF(AF:AF&gt;1,1,0)</f>
        <v>0</v>
      </c>
      <c r="AK37" s="68">
        <f>SUMIFS(保单!BE:BE,保单!R:R,E:E,保单!BB:BB,"有效")*IF(AF:AF&gt;1,1,0)</f>
        <v>0</v>
      </c>
      <c r="AL37" s="72" t="str">
        <f>A:A&amp;D:D&amp;G:G&amp;"只要在1-10日承保全部保单，即可获得"&amp;$AJ$1&amp;AJ:AJ&amp;"个"</f>
        <v>谢家集陈连梅伙伴只要在1-10日承保全部保单，即可获得冲锋队按摩仪0个</v>
      </c>
    </row>
    <row r="38" spans="1:38">
      <c r="A38" s="64" t="s">
        <v>27</v>
      </c>
      <c r="B38" s="64" t="s">
        <v>94</v>
      </c>
      <c r="C38" s="64" t="s">
        <v>95</v>
      </c>
      <c r="D38" s="64" t="s">
        <v>279</v>
      </c>
      <c r="E38" s="64">
        <v>6560072882</v>
      </c>
      <c r="F38" s="64" t="s">
        <v>158</v>
      </c>
      <c r="G38" s="64" t="str">
        <f>IF(OR(F:F="高级经理一级",F:F="业务经理一级"),"主管","伙伴")</f>
        <v>伙伴</v>
      </c>
      <c r="H38" s="65">
        <f>SUMIF(险种!E:E,E:E,险种!R:R)-SUMIFS(险种!R:R,险种!U:U,"终止",险种!E:E,E:E)</f>
        <v>0</v>
      </c>
      <c r="I38" s="65">
        <f>SUMIFS(险种!R:R,险种!U:U,"有效",险种!E:E,E:E)</f>
        <v>0</v>
      </c>
      <c r="J38" s="65">
        <f>ROUND(SUMIF(险种!E:E,E:E,险种!Q:Q)-SUMIFS(险种!Q:Q,险种!U:U,"终止",险种!E:E,E:E),1)</f>
        <v>0</v>
      </c>
      <c r="K38" s="68">
        <f>RANK(J38,J:J)</f>
        <v>22</v>
      </c>
      <c r="L38" s="65">
        <f>ROUND(SUMIFS(险种!Q:Q,险种!U:U,"有效",险种!E:E,E:E),1)</f>
        <v>0</v>
      </c>
      <c r="M38" s="68">
        <f>RANK(L38,L:L,)</f>
        <v>14</v>
      </c>
      <c r="N38" s="68">
        <f>SUMIF(险种!E:E,E:E,险种!W:W)</f>
        <v>0</v>
      </c>
      <c r="O38" s="68">
        <f>IF(N:N&gt;=1,1,0)</f>
        <v>0</v>
      </c>
      <c r="P38" s="65">
        <f>ROUND(SUMIFS(险种!Q:Q,险种!V:V,$P$1,险种!E:E,E:E),1)</f>
        <v>0</v>
      </c>
      <c r="Q38" s="68">
        <f>RANK(P38,$P:$P,0)-1</f>
        <v>5</v>
      </c>
      <c r="R38" s="68" t="str">
        <f>A:A&amp;D:D&amp;G:G&amp;"在"&amp;$P$1&amp;"预收"&amp;P:P&amp;"排名中支第"&amp;Q:Q&amp;"位"</f>
        <v>凤台缪国龙伙伴在20210509预收0排名中支第5位</v>
      </c>
      <c r="S38" s="65">
        <f>ROUND(SUMIFS(险种!Q:Q,险种!E:E,E:E,险种!V:V,"&lt;=20210506")-SUMIFS(险种!Q:Q,险种!U:U,"终止",险种!E:E,E:E,险种!V:V,"&lt;=20210506"),1)</f>
        <v>0</v>
      </c>
      <c r="T38" s="65">
        <f>ROUND(SUMIFS(险种!Q:Q,险种!U:U,"有效",险种!E:E,E:E,险种!V:V,"&lt;=20210506"),1)</f>
        <v>0</v>
      </c>
      <c r="U38" s="65">
        <f>ROUND(SUMIFS(险种!Q:Q,险种!E:E,E:E,险种!V:V,"&lt;=20210510")-SUMIFS(险种!Q:Q,险种!U:U,"终止",险种!E:E,E:E,险种!V:V,"&lt;=20210510"),1)</f>
        <v>0</v>
      </c>
      <c r="V38" s="65">
        <f>ROUND(SUMIFS(险种!Q:Q,险种!U:U,"有效",险种!E:E,E:E,险种!V:V,"&lt;=20210510"),1)</f>
        <v>0</v>
      </c>
      <c r="W38" s="65">
        <f t="shared" si="0"/>
        <v>0</v>
      </c>
      <c r="X38" s="68">
        <f>SUMIF(险种!E:E,E:E,险种!Y:Y)</f>
        <v>0</v>
      </c>
      <c r="Y38" s="65">
        <f>MAX(_xlfn.IFS(OR(X:X=1,X:X=2),J:J*0.1,X:X&gt;=3,J:J*0.2,X:X=0,0),IF(J:J&gt;=20000,J:J*0.2,0))</f>
        <v>0</v>
      </c>
      <c r="Z38" s="65" t="str">
        <f>A38&amp;D38&amp;G38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凤台缪国龙伙伴5.1-5.10预收价值保费0，首周预收3000P件数0件，预收拟加佣0元。温馨提示，保单需10日（含）前承保，目前还有0价值保费未承保,开单一件即可获得10%加佣</v>
      </c>
      <c r="AA38" s="68">
        <f>SUMIF(险种!E:E,E:E,险种!Z:Z)</f>
        <v>0</v>
      </c>
      <c r="AB38" s="65"/>
      <c r="AC38" s="68">
        <f>SUMIF(险种!E:E,E:E,险种!AA:AA)</f>
        <v>0</v>
      </c>
      <c r="AD38" s="68">
        <f>SUMIFS(险种!AA:AA,险种!U:U,"有效",险种!E:E,E:E)</f>
        <v>0</v>
      </c>
      <c r="AE38" s="68" t="str">
        <f>A38&amp;D38&amp;G38&amp;"目前获得"&amp;$AC$1&amp;AC:AC&amp;"名，获得"&amp;$AD$1&amp;AD:AD&amp;"名"</f>
        <v>凤台缪国龙伙伴目前获得龙虾节预收名额0名，获得龙虾节承保名额0名</v>
      </c>
      <c r="AF38" s="68">
        <f>SUMIF(认购返还案!D:D,E:E,认购返还案!E:E)</f>
        <v>0</v>
      </c>
      <c r="AG38" s="68">
        <f>_xlfn.IFS(AND(U:U&gt;=3000,U:U&lt;5000),AF:AF*0.5,U:U&gt;=5000,AF:AF*1,U:U&lt;3000,0)</f>
        <v>0</v>
      </c>
      <c r="AH38" s="68">
        <f>_xlfn.IFS(AND(V:V&gt;=3000,V:V&lt;5000),AF:AF*0.5,V:V&gt;=5000,AF:AF*1,V:V&lt;3000,0)</f>
        <v>0</v>
      </c>
      <c r="AI38" s="68" t="str">
        <f>A:A&amp;D:D&amp;G:G&amp;$AF$1&amp;AF:AF&amp;"元，目前预收价值"&amp;U:U&amp;"，"&amp;$AG$1&amp;AG:AG&amp;"元，"&amp;$AH$1&amp;AH:AH&amp;"元"</f>
        <v>凤台缪国龙伙伴冲锋队缴费金额0元，目前预收价值0，预收拟返还0元，承保拟返还0元</v>
      </c>
      <c r="AJ38" s="68">
        <f>SUMIF(保单!R:R,E:E,保单!BE:BE)*IF(AF:AF&gt;1,1,0)</f>
        <v>0</v>
      </c>
      <c r="AK38" s="68">
        <f>SUMIFS(保单!BE:BE,保单!R:R,E:E,保单!BB:BB,"有效")*IF(AF:AF&gt;1,1,0)</f>
        <v>0</v>
      </c>
      <c r="AL38" s="72" t="str">
        <f>A:A&amp;D:D&amp;G:G&amp;"只要在1-10日承保全部保单，即可获得"&amp;$AJ$1&amp;AJ:AJ&amp;"个"</f>
        <v>凤台缪国龙伙伴只要在1-10日承保全部保单，即可获得冲锋队按摩仪0个</v>
      </c>
    </row>
    <row r="39" spans="1:38">
      <c r="A39" s="64" t="s">
        <v>27</v>
      </c>
      <c r="B39" s="64" t="s">
        <v>100</v>
      </c>
      <c r="C39" s="64" t="s">
        <v>101</v>
      </c>
      <c r="D39" s="64" t="s">
        <v>280</v>
      </c>
      <c r="E39" s="64">
        <v>6560025732</v>
      </c>
      <c r="F39" s="64" t="s">
        <v>158</v>
      </c>
      <c r="G39" s="64" t="str">
        <f>IF(OR(F:F="高级经理一级",F:F="业务经理一级"),"主管","伙伴")</f>
        <v>伙伴</v>
      </c>
      <c r="H39" s="65">
        <f>SUMIF(险种!E:E,E:E,险种!R:R)-SUMIFS(险种!R:R,险种!U:U,"终止",险种!E:E,E:E)</f>
        <v>0</v>
      </c>
      <c r="I39" s="65">
        <f>SUMIFS(险种!R:R,险种!U:U,"有效",险种!E:E,E:E)</f>
        <v>0</v>
      </c>
      <c r="J39" s="65">
        <f>ROUND(SUMIF(险种!E:E,E:E,险种!Q:Q)-SUMIFS(险种!Q:Q,险种!U:U,"终止",险种!E:E,E:E),1)</f>
        <v>0</v>
      </c>
      <c r="K39" s="68">
        <f>RANK(J39,J:J)</f>
        <v>22</v>
      </c>
      <c r="L39" s="65">
        <f>ROUND(SUMIFS(险种!Q:Q,险种!U:U,"有效",险种!E:E,E:E),1)</f>
        <v>0</v>
      </c>
      <c r="M39" s="68">
        <f>RANK(L39,L:L,)</f>
        <v>14</v>
      </c>
      <c r="N39" s="68">
        <f>SUMIF(险种!E:E,E:E,险种!W:W)</f>
        <v>0</v>
      </c>
      <c r="O39" s="68">
        <f>IF(N:N&gt;=1,1,0)</f>
        <v>0</v>
      </c>
      <c r="P39" s="65">
        <f>ROUND(SUMIFS(险种!Q:Q,险种!V:V,$P$1,险种!E:E,E:E),1)</f>
        <v>0</v>
      </c>
      <c r="Q39" s="68">
        <f>RANK(P39,$P:$P,0)-1</f>
        <v>5</v>
      </c>
      <c r="R39" s="68" t="str">
        <f>A:A&amp;D:D&amp;G:G&amp;"在"&amp;$P$1&amp;"预收"&amp;P:P&amp;"排名中支第"&amp;Q:Q&amp;"位"</f>
        <v>凤台王平伙伴在20210509预收0排名中支第5位</v>
      </c>
      <c r="S39" s="65">
        <f>ROUND(SUMIFS(险种!Q:Q,险种!E:E,E:E,险种!V:V,"&lt;=20210506")-SUMIFS(险种!Q:Q,险种!U:U,"终止",险种!E:E,E:E,险种!V:V,"&lt;=20210506"),1)</f>
        <v>0</v>
      </c>
      <c r="T39" s="65">
        <f>ROUND(SUMIFS(险种!Q:Q,险种!U:U,"有效",险种!E:E,E:E,险种!V:V,"&lt;=20210506"),1)</f>
        <v>0</v>
      </c>
      <c r="U39" s="65">
        <f>ROUND(SUMIFS(险种!Q:Q,险种!E:E,E:E,险种!V:V,"&lt;=20210510")-SUMIFS(险种!Q:Q,险种!U:U,"终止",险种!E:E,E:E,险种!V:V,"&lt;=20210510"),1)</f>
        <v>0</v>
      </c>
      <c r="V39" s="65">
        <f>ROUND(SUMIFS(险种!Q:Q,险种!U:U,"有效",险种!E:E,E:E,险种!V:V,"&lt;=20210510"),1)</f>
        <v>0</v>
      </c>
      <c r="W39" s="65">
        <f t="shared" si="0"/>
        <v>0</v>
      </c>
      <c r="X39" s="68">
        <f>SUMIF(险种!E:E,E:E,险种!Y:Y)</f>
        <v>0</v>
      </c>
      <c r="Y39" s="65">
        <f>MAX(_xlfn.IFS(OR(X:X=1,X:X=2),J:J*0.1,X:X&gt;=3,J:J*0.2,X:X=0,0),IF(J:J&gt;=20000,J:J*0.2,0))</f>
        <v>0</v>
      </c>
      <c r="Z39" s="65" t="str">
        <f>A39&amp;D39&amp;G39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凤台王平伙伴5.1-5.10预收价值保费0，首周预收3000P件数0件，预收拟加佣0元。温馨提示，保单需10日（含）前承保，目前还有0价值保费未承保,开单一件即可获得10%加佣</v>
      </c>
      <c r="AA39" s="68">
        <f>SUMIF(险种!E:E,E:E,险种!Z:Z)</f>
        <v>0</v>
      </c>
      <c r="AB39" s="65"/>
      <c r="AC39" s="68">
        <f>SUMIF(险种!E:E,E:E,险种!AA:AA)</f>
        <v>0</v>
      </c>
      <c r="AD39" s="68">
        <f>SUMIFS(险种!AA:AA,险种!U:U,"有效",险种!E:E,E:E)</f>
        <v>0</v>
      </c>
      <c r="AE39" s="68" t="str">
        <f>A39&amp;D39&amp;G39&amp;"目前获得"&amp;$AC$1&amp;AC:AC&amp;"名，获得"&amp;$AD$1&amp;AD:AD&amp;"名"</f>
        <v>凤台王平伙伴目前获得龙虾节预收名额0名，获得龙虾节承保名额0名</v>
      </c>
      <c r="AF39" s="68">
        <f>SUMIF(认购返还案!D:D,E:E,认购返还案!E:E)</f>
        <v>0</v>
      </c>
      <c r="AG39" s="68">
        <f>_xlfn.IFS(AND(U:U&gt;=3000,U:U&lt;5000),AF:AF*0.5,U:U&gt;=5000,AF:AF*1,U:U&lt;3000,0)</f>
        <v>0</v>
      </c>
      <c r="AH39" s="68">
        <f>_xlfn.IFS(AND(V:V&gt;=3000,V:V&lt;5000),AF:AF*0.5,V:V&gt;=5000,AF:AF*1,V:V&lt;3000,0)</f>
        <v>0</v>
      </c>
      <c r="AI39" s="68" t="str">
        <f>A:A&amp;D:D&amp;G:G&amp;$AF$1&amp;AF:AF&amp;"元，目前预收价值"&amp;U:U&amp;"，"&amp;$AG$1&amp;AG:AG&amp;"元，"&amp;$AH$1&amp;AH:AH&amp;"元"</f>
        <v>凤台王平伙伴冲锋队缴费金额0元，目前预收价值0，预收拟返还0元，承保拟返还0元</v>
      </c>
      <c r="AJ39" s="68">
        <f>SUMIF(保单!R:R,E:E,保单!BE:BE)*IF(AF:AF&gt;1,1,0)</f>
        <v>0</v>
      </c>
      <c r="AK39" s="68">
        <f>SUMIFS(保单!BE:BE,保单!R:R,E:E,保单!BB:BB,"有效")*IF(AF:AF&gt;1,1,0)</f>
        <v>0</v>
      </c>
      <c r="AL39" s="72" t="str">
        <f>A:A&amp;D:D&amp;G:G&amp;"只要在1-10日承保全部保单，即可获得"&amp;$AJ$1&amp;AJ:AJ&amp;"个"</f>
        <v>凤台王平伙伴只要在1-10日承保全部保单，即可获得冲锋队按摩仪0个</v>
      </c>
    </row>
    <row r="40" spans="1:38">
      <c r="A40" s="64" t="s">
        <v>48</v>
      </c>
      <c r="B40" s="64" t="s">
        <v>49</v>
      </c>
      <c r="C40" s="64" t="s">
        <v>98</v>
      </c>
      <c r="D40" s="64" t="s">
        <v>281</v>
      </c>
      <c r="E40" s="64">
        <v>6559333092</v>
      </c>
      <c r="F40" s="64" t="s">
        <v>158</v>
      </c>
      <c r="G40" s="64" t="str">
        <f>IF(OR(F:F="高级经理一级",F:F="业务经理一级"),"主管","伙伴")</f>
        <v>伙伴</v>
      </c>
      <c r="H40" s="65">
        <f>SUMIF(险种!E:E,E:E,险种!R:R)-SUMIFS(险种!R:R,险种!U:U,"终止",险种!E:E,E:E)</f>
        <v>0</v>
      </c>
      <c r="I40" s="65">
        <f>SUMIFS(险种!R:R,险种!U:U,"有效",险种!E:E,E:E)</f>
        <v>0</v>
      </c>
      <c r="J40" s="65">
        <f>ROUND(SUMIF(险种!E:E,E:E,险种!Q:Q)-SUMIFS(险种!Q:Q,险种!U:U,"终止",险种!E:E,E:E),1)</f>
        <v>0</v>
      </c>
      <c r="K40" s="68">
        <f>RANK(J40,J:J)</f>
        <v>22</v>
      </c>
      <c r="L40" s="65">
        <f>ROUND(SUMIFS(险种!Q:Q,险种!U:U,"有效",险种!E:E,E:E),1)</f>
        <v>0</v>
      </c>
      <c r="M40" s="68">
        <f>RANK(L40,L:L,)</f>
        <v>14</v>
      </c>
      <c r="N40" s="68">
        <f>SUMIF(险种!E:E,E:E,险种!W:W)</f>
        <v>0</v>
      </c>
      <c r="O40" s="68">
        <f>IF(N:N&gt;=1,1,0)</f>
        <v>0</v>
      </c>
      <c r="P40" s="65">
        <f>ROUND(SUMIFS(险种!Q:Q,险种!V:V,$P$1,险种!E:E,E:E),1)</f>
        <v>0</v>
      </c>
      <c r="Q40" s="68">
        <f>RANK(P40,$P:$P,0)-1</f>
        <v>5</v>
      </c>
      <c r="R40" s="68" t="str">
        <f>A:A&amp;D:D&amp;G:G&amp;"在"&amp;$P$1&amp;"预收"&amp;P:P&amp;"排名中支第"&amp;Q:Q&amp;"位"</f>
        <v>谢家集王花花伙伴在20210509预收0排名中支第5位</v>
      </c>
      <c r="S40" s="65">
        <f>ROUND(SUMIFS(险种!Q:Q,险种!E:E,E:E,险种!V:V,"&lt;=20210506")-SUMIFS(险种!Q:Q,险种!U:U,"终止",险种!E:E,E:E,险种!V:V,"&lt;=20210506"),1)</f>
        <v>0</v>
      </c>
      <c r="T40" s="65">
        <f>ROUND(SUMIFS(险种!Q:Q,险种!U:U,"有效",险种!E:E,E:E,险种!V:V,"&lt;=20210506"),1)</f>
        <v>0</v>
      </c>
      <c r="U40" s="65">
        <f>ROUND(SUMIFS(险种!Q:Q,险种!E:E,E:E,险种!V:V,"&lt;=20210510")-SUMIFS(险种!Q:Q,险种!U:U,"终止",险种!E:E,E:E,险种!V:V,"&lt;=20210510"),1)</f>
        <v>0</v>
      </c>
      <c r="V40" s="65">
        <f>ROUND(SUMIFS(险种!Q:Q,险种!U:U,"有效",险种!E:E,E:E,险种!V:V,"&lt;=20210510"),1)</f>
        <v>0</v>
      </c>
      <c r="W40" s="65">
        <f t="shared" si="0"/>
        <v>0</v>
      </c>
      <c r="X40" s="68">
        <f>SUMIF(险种!E:E,E:E,险种!Y:Y)</f>
        <v>0</v>
      </c>
      <c r="Y40" s="65">
        <f>MAX(_xlfn.IFS(OR(X:X=1,X:X=2),J:J*0.1,X:X&gt;=3,J:J*0.2,X:X=0,0),IF(J:J&gt;=20000,J:J*0.2,0))</f>
        <v>0</v>
      </c>
      <c r="Z40" s="65" t="str">
        <f>A40&amp;D40&amp;G40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谢家集王花花伙伴5.1-5.10预收价值保费0，首周预收3000P件数0件，预收拟加佣0元。温馨提示，保单需10日（含）前承保，目前还有0价值保费未承保,开单一件即可获得10%加佣</v>
      </c>
      <c r="AA40" s="68">
        <f>SUMIF(险种!E:E,E:E,险种!Z:Z)</f>
        <v>0</v>
      </c>
      <c r="AB40" s="65"/>
      <c r="AC40" s="68">
        <f>SUMIF(险种!E:E,E:E,险种!AA:AA)</f>
        <v>0</v>
      </c>
      <c r="AD40" s="68">
        <f>SUMIFS(险种!AA:AA,险种!U:U,"有效",险种!E:E,E:E)</f>
        <v>0</v>
      </c>
      <c r="AE40" s="68" t="str">
        <f>A40&amp;D40&amp;G40&amp;"目前获得"&amp;$AC$1&amp;AC:AC&amp;"名，获得"&amp;$AD$1&amp;AD:AD&amp;"名"</f>
        <v>谢家集王花花伙伴目前获得龙虾节预收名额0名，获得龙虾节承保名额0名</v>
      </c>
      <c r="AF40" s="68">
        <f>SUMIF(认购返还案!D:D,E:E,认购返还案!E:E)</f>
        <v>0</v>
      </c>
      <c r="AG40" s="68">
        <f>_xlfn.IFS(AND(U:U&gt;=3000,U:U&lt;5000),AF:AF*0.5,U:U&gt;=5000,AF:AF*1,U:U&lt;3000,0)</f>
        <v>0</v>
      </c>
      <c r="AH40" s="68">
        <f>_xlfn.IFS(AND(V:V&gt;=3000,V:V&lt;5000),AF:AF*0.5,V:V&gt;=5000,AF:AF*1,V:V&lt;3000,0)</f>
        <v>0</v>
      </c>
      <c r="AI40" s="68" t="str">
        <f>A:A&amp;D:D&amp;G:G&amp;$AF$1&amp;AF:AF&amp;"元，目前预收价值"&amp;U:U&amp;"，"&amp;$AG$1&amp;AG:AG&amp;"元，"&amp;$AH$1&amp;AH:AH&amp;"元"</f>
        <v>谢家集王花花伙伴冲锋队缴费金额0元，目前预收价值0，预收拟返还0元，承保拟返还0元</v>
      </c>
      <c r="AJ40" s="68">
        <f>SUMIF(保单!R:R,E:E,保单!BE:BE)*IF(AF:AF&gt;1,1,0)</f>
        <v>0</v>
      </c>
      <c r="AK40" s="68">
        <f>SUMIFS(保单!BE:BE,保单!R:R,E:E,保单!BB:BB,"有效")*IF(AF:AF&gt;1,1,0)</f>
        <v>0</v>
      </c>
      <c r="AL40" s="72" t="str">
        <f>A:A&amp;D:D&amp;G:G&amp;"只要在1-10日承保全部保单，即可获得"&amp;$AJ$1&amp;AJ:AJ&amp;"个"</f>
        <v>谢家集王花花伙伴只要在1-10日承保全部保单，即可获得冲锋队按摩仪0个</v>
      </c>
    </row>
    <row r="41" spans="1:38">
      <c r="A41" s="64" t="s">
        <v>48</v>
      </c>
      <c r="B41" s="64" t="s">
        <v>49</v>
      </c>
      <c r="C41" s="64" t="s">
        <v>50</v>
      </c>
      <c r="D41" s="64" t="s">
        <v>282</v>
      </c>
      <c r="E41" s="64">
        <v>6556490182</v>
      </c>
      <c r="F41" s="64" t="s">
        <v>158</v>
      </c>
      <c r="G41" s="64" t="str">
        <f>IF(OR(F:F="高级经理一级",F:F="业务经理一级"),"主管","伙伴")</f>
        <v>伙伴</v>
      </c>
      <c r="H41" s="65">
        <f>SUMIF(险种!E:E,E:E,险种!R:R)-SUMIFS(险种!R:R,险种!U:U,"终止",险种!E:E,E:E)</f>
        <v>0</v>
      </c>
      <c r="I41" s="65">
        <f>SUMIFS(险种!R:R,险种!U:U,"有效",险种!E:E,E:E)</f>
        <v>0</v>
      </c>
      <c r="J41" s="65">
        <f>ROUND(SUMIF(险种!E:E,E:E,险种!Q:Q)-SUMIFS(险种!Q:Q,险种!U:U,"终止",险种!E:E,E:E),1)</f>
        <v>0</v>
      </c>
      <c r="K41" s="68">
        <f>RANK(J41,J:J)</f>
        <v>22</v>
      </c>
      <c r="L41" s="65">
        <f>ROUND(SUMIFS(险种!Q:Q,险种!U:U,"有效",险种!E:E,E:E),1)</f>
        <v>0</v>
      </c>
      <c r="M41" s="68">
        <f>RANK(L41,L:L,)</f>
        <v>14</v>
      </c>
      <c r="N41" s="68">
        <f>SUMIF(险种!E:E,E:E,险种!W:W)</f>
        <v>0</v>
      </c>
      <c r="O41" s="68">
        <f>IF(N:N&gt;=1,1,0)</f>
        <v>0</v>
      </c>
      <c r="P41" s="65">
        <f>ROUND(SUMIFS(险种!Q:Q,险种!V:V,$P$1,险种!E:E,E:E),1)</f>
        <v>0</v>
      </c>
      <c r="Q41" s="68">
        <f>RANK(P41,$P:$P,0)-1</f>
        <v>5</v>
      </c>
      <c r="R41" s="68" t="str">
        <f>A:A&amp;D:D&amp;G:G&amp;"在"&amp;$P$1&amp;"预收"&amp;P:P&amp;"排名中支第"&amp;Q:Q&amp;"位"</f>
        <v>谢家集杨晶晶伙伴在20210509预收0排名中支第5位</v>
      </c>
      <c r="S41" s="65">
        <f>ROUND(SUMIFS(险种!Q:Q,险种!E:E,E:E,险种!V:V,"&lt;=20210506")-SUMIFS(险种!Q:Q,险种!U:U,"终止",险种!E:E,E:E,险种!V:V,"&lt;=20210506"),1)</f>
        <v>0</v>
      </c>
      <c r="T41" s="65">
        <f>ROUND(SUMIFS(险种!Q:Q,险种!U:U,"有效",险种!E:E,E:E,险种!V:V,"&lt;=20210506"),1)</f>
        <v>0</v>
      </c>
      <c r="U41" s="65">
        <f>ROUND(SUMIFS(险种!Q:Q,险种!E:E,E:E,险种!V:V,"&lt;=20210510")-SUMIFS(险种!Q:Q,险种!U:U,"终止",险种!E:E,E:E,险种!V:V,"&lt;=20210510"),1)</f>
        <v>0</v>
      </c>
      <c r="V41" s="65">
        <f>ROUND(SUMIFS(险种!Q:Q,险种!U:U,"有效",险种!E:E,E:E,险种!V:V,"&lt;=20210510"),1)</f>
        <v>0</v>
      </c>
      <c r="W41" s="65">
        <f t="shared" si="0"/>
        <v>0</v>
      </c>
      <c r="X41" s="68">
        <f>SUMIF(险种!E:E,E:E,险种!Y:Y)</f>
        <v>0</v>
      </c>
      <c r="Y41" s="65">
        <f>MAX(_xlfn.IFS(OR(X:X=1,X:X=2),J:J*0.1,X:X&gt;=3,J:J*0.2,X:X=0,0),IF(J:J&gt;=20000,J:J*0.2,0))</f>
        <v>0</v>
      </c>
      <c r="Z41" s="65" t="str">
        <f>A41&amp;D41&amp;G41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谢家集杨晶晶伙伴5.1-5.10预收价值保费0，首周预收3000P件数0件，预收拟加佣0元。温馨提示，保单需10日（含）前承保，目前还有0价值保费未承保,开单一件即可获得10%加佣</v>
      </c>
      <c r="AA41" s="68">
        <f>SUMIF(险种!E:E,E:E,险种!Z:Z)</f>
        <v>0</v>
      </c>
      <c r="AB41" s="65"/>
      <c r="AC41" s="68">
        <f>SUMIF(险种!E:E,E:E,险种!AA:AA)</f>
        <v>0</v>
      </c>
      <c r="AD41" s="68">
        <f>SUMIFS(险种!AA:AA,险种!U:U,"有效",险种!E:E,E:E)</f>
        <v>0</v>
      </c>
      <c r="AE41" s="68" t="str">
        <f>A41&amp;D41&amp;G41&amp;"目前获得"&amp;$AC$1&amp;AC:AC&amp;"名，获得"&amp;$AD$1&amp;AD:AD&amp;"名"</f>
        <v>谢家集杨晶晶伙伴目前获得龙虾节预收名额0名，获得龙虾节承保名额0名</v>
      </c>
      <c r="AF41" s="68">
        <f>SUMIF(认购返还案!D:D,E:E,认购返还案!E:E)</f>
        <v>200</v>
      </c>
      <c r="AG41" s="68">
        <f>_xlfn.IFS(AND(U:U&gt;=3000,U:U&lt;5000),AF:AF*0.5,U:U&gt;=5000,AF:AF*1,U:U&lt;3000,0)</f>
        <v>0</v>
      </c>
      <c r="AH41" s="68">
        <f>_xlfn.IFS(AND(V:V&gt;=3000,V:V&lt;5000),AF:AF*0.5,V:V&gt;=5000,AF:AF*1,V:V&lt;3000,0)</f>
        <v>0</v>
      </c>
      <c r="AI41" s="68" t="str">
        <f>A:A&amp;D:D&amp;G:G&amp;$AF$1&amp;AF:AF&amp;"元，目前预收价值"&amp;U:U&amp;"，"&amp;$AG$1&amp;AG:AG&amp;"元，"&amp;$AH$1&amp;AH:AH&amp;"元"</f>
        <v>谢家集杨晶晶伙伴冲锋队缴费金额200元，目前预收价值0，预收拟返还0元，承保拟返还0元</v>
      </c>
      <c r="AJ41" s="68">
        <f>SUMIF(保单!R:R,E:E,保单!BE:BE)*IF(AF:AF&gt;1,1,0)</f>
        <v>0</v>
      </c>
      <c r="AK41" s="68">
        <f>SUMIFS(保单!BE:BE,保单!R:R,E:E,保单!BB:BB,"有效")*IF(AF:AF&gt;1,1,0)</f>
        <v>0</v>
      </c>
      <c r="AL41" s="72" t="str">
        <f>A:A&amp;D:D&amp;G:G&amp;"只要在1-10日承保全部保单，即可获得"&amp;$AJ$1&amp;AJ:AJ&amp;"个"</f>
        <v>谢家集杨晶晶伙伴只要在1-10日承保全部保单，即可获得冲锋队按摩仪0个</v>
      </c>
    </row>
    <row r="42" spans="1:38">
      <c r="A42" s="64" t="s">
        <v>48</v>
      </c>
      <c r="B42" s="64" t="s">
        <v>49</v>
      </c>
      <c r="C42" s="64" t="s">
        <v>98</v>
      </c>
      <c r="D42" s="64" t="s">
        <v>283</v>
      </c>
      <c r="E42" s="64">
        <v>6556481112</v>
      </c>
      <c r="F42" s="64" t="s">
        <v>158</v>
      </c>
      <c r="G42" s="64" t="str">
        <f>IF(OR(F:F="高级经理一级",F:F="业务经理一级"),"主管","伙伴")</f>
        <v>伙伴</v>
      </c>
      <c r="H42" s="65">
        <f>SUMIF(险种!E:E,E:E,险种!R:R)-SUMIFS(险种!R:R,险种!U:U,"终止",险种!E:E,E:E)</f>
        <v>0</v>
      </c>
      <c r="I42" s="65">
        <f>SUMIFS(险种!R:R,险种!U:U,"有效",险种!E:E,E:E)</f>
        <v>0</v>
      </c>
      <c r="J42" s="65">
        <f>ROUND(SUMIF(险种!E:E,E:E,险种!Q:Q)-SUMIFS(险种!Q:Q,险种!U:U,"终止",险种!E:E,E:E),1)</f>
        <v>0</v>
      </c>
      <c r="K42" s="68">
        <f>RANK(J42,J:J)</f>
        <v>22</v>
      </c>
      <c r="L42" s="65">
        <f>ROUND(SUMIFS(险种!Q:Q,险种!U:U,"有效",险种!E:E,E:E),1)</f>
        <v>0</v>
      </c>
      <c r="M42" s="68">
        <f>RANK(L42,L:L,)</f>
        <v>14</v>
      </c>
      <c r="N42" s="68">
        <f>SUMIF(险种!E:E,E:E,险种!W:W)</f>
        <v>0</v>
      </c>
      <c r="O42" s="68">
        <f>IF(N:N&gt;=1,1,0)</f>
        <v>0</v>
      </c>
      <c r="P42" s="65">
        <f>ROUND(SUMIFS(险种!Q:Q,险种!V:V,$P$1,险种!E:E,E:E),1)</f>
        <v>0</v>
      </c>
      <c r="Q42" s="68">
        <f>RANK(P42,$P:$P,0)-1</f>
        <v>5</v>
      </c>
      <c r="R42" s="68" t="str">
        <f>A:A&amp;D:D&amp;G:G&amp;"在"&amp;$P$1&amp;"预收"&amp;P:P&amp;"排名中支第"&amp;Q:Q&amp;"位"</f>
        <v>谢家集郁银芳伙伴在20210509预收0排名中支第5位</v>
      </c>
      <c r="S42" s="65">
        <f>ROUND(SUMIFS(险种!Q:Q,险种!E:E,E:E,险种!V:V,"&lt;=20210506")-SUMIFS(险种!Q:Q,险种!U:U,"终止",险种!E:E,E:E,险种!V:V,"&lt;=20210506"),1)</f>
        <v>0</v>
      </c>
      <c r="T42" s="65">
        <f>ROUND(SUMIFS(险种!Q:Q,险种!U:U,"有效",险种!E:E,E:E,险种!V:V,"&lt;=20210506"),1)</f>
        <v>0</v>
      </c>
      <c r="U42" s="65">
        <f>ROUND(SUMIFS(险种!Q:Q,险种!E:E,E:E,险种!V:V,"&lt;=20210510")-SUMIFS(险种!Q:Q,险种!U:U,"终止",险种!E:E,E:E,险种!V:V,"&lt;=20210510"),1)</f>
        <v>0</v>
      </c>
      <c r="V42" s="65">
        <f>ROUND(SUMIFS(险种!Q:Q,险种!U:U,"有效",险种!E:E,E:E,险种!V:V,"&lt;=20210510"),1)</f>
        <v>0</v>
      </c>
      <c r="W42" s="65">
        <f t="shared" si="0"/>
        <v>0</v>
      </c>
      <c r="X42" s="68">
        <f>SUMIF(险种!E:E,E:E,险种!Y:Y)</f>
        <v>0</v>
      </c>
      <c r="Y42" s="65">
        <f>MAX(_xlfn.IFS(OR(X:X=1,X:X=2),J:J*0.1,X:X&gt;=3,J:J*0.2,X:X=0,0),IF(J:J&gt;=20000,J:J*0.2,0))</f>
        <v>0</v>
      </c>
      <c r="Z42" s="65" t="str">
        <f>A42&amp;D42&amp;G42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谢家集郁银芳伙伴5.1-5.10预收价值保费0，首周预收3000P件数0件，预收拟加佣0元。温馨提示，保单需10日（含）前承保，目前还有0价值保费未承保,开单一件即可获得10%加佣</v>
      </c>
      <c r="AA42" s="68">
        <f>SUMIF(险种!E:E,E:E,险种!Z:Z)</f>
        <v>0</v>
      </c>
      <c r="AB42" s="65"/>
      <c r="AC42" s="68">
        <f>SUMIF(险种!E:E,E:E,险种!AA:AA)</f>
        <v>0</v>
      </c>
      <c r="AD42" s="68">
        <f>SUMIFS(险种!AA:AA,险种!U:U,"有效",险种!E:E,E:E)</f>
        <v>0</v>
      </c>
      <c r="AE42" s="68" t="str">
        <f>A42&amp;D42&amp;G42&amp;"目前获得"&amp;$AC$1&amp;AC:AC&amp;"名，获得"&amp;$AD$1&amp;AD:AD&amp;"名"</f>
        <v>谢家集郁银芳伙伴目前获得龙虾节预收名额0名，获得龙虾节承保名额0名</v>
      </c>
      <c r="AF42" s="68">
        <f>SUMIF(认购返还案!D:D,E:E,认购返还案!E:E)</f>
        <v>0</v>
      </c>
      <c r="AG42" s="68">
        <f>_xlfn.IFS(AND(U:U&gt;=3000,U:U&lt;5000),AF:AF*0.5,U:U&gt;=5000,AF:AF*1,U:U&lt;3000,0)</f>
        <v>0</v>
      </c>
      <c r="AH42" s="68">
        <f>_xlfn.IFS(AND(V:V&gt;=3000,V:V&lt;5000),AF:AF*0.5,V:V&gt;=5000,AF:AF*1,V:V&lt;3000,0)</f>
        <v>0</v>
      </c>
      <c r="AI42" s="68" t="str">
        <f>A:A&amp;D:D&amp;G:G&amp;$AF$1&amp;AF:AF&amp;"元，目前预收价值"&amp;U:U&amp;"，"&amp;$AG$1&amp;AG:AG&amp;"元，"&amp;$AH$1&amp;AH:AH&amp;"元"</f>
        <v>谢家集郁银芳伙伴冲锋队缴费金额0元，目前预收价值0，预收拟返还0元，承保拟返还0元</v>
      </c>
      <c r="AJ42" s="68">
        <f>SUMIF(保单!R:R,E:E,保单!BE:BE)*IF(AF:AF&gt;1,1,0)</f>
        <v>0</v>
      </c>
      <c r="AK42" s="68">
        <f>SUMIFS(保单!BE:BE,保单!R:R,E:E,保单!BB:BB,"有效")*IF(AF:AF&gt;1,1,0)</f>
        <v>0</v>
      </c>
      <c r="AL42" s="72" t="str">
        <f>A:A&amp;D:D&amp;G:G&amp;"只要在1-10日承保全部保单，即可获得"&amp;$AJ$1&amp;AJ:AJ&amp;"个"</f>
        <v>谢家集郁银芳伙伴只要在1-10日承保全部保单，即可获得冲锋队按摩仪0个</v>
      </c>
    </row>
    <row r="43" spans="1:38">
      <c r="A43" s="64" t="s">
        <v>42</v>
      </c>
      <c r="B43" s="64" t="s">
        <v>62</v>
      </c>
      <c r="C43" s="64" t="s">
        <v>86</v>
      </c>
      <c r="D43" s="64" t="s">
        <v>284</v>
      </c>
      <c r="E43" s="64">
        <v>6555905482</v>
      </c>
      <c r="F43" s="64" t="s">
        <v>158</v>
      </c>
      <c r="G43" s="64" t="str">
        <f>IF(OR(F:F="高级经理一级",F:F="业务经理一级"),"主管","伙伴")</f>
        <v>伙伴</v>
      </c>
      <c r="H43" s="65">
        <f>SUMIF(险种!E:E,E:E,险种!R:R)-SUMIFS(险种!R:R,险种!U:U,"终止",险种!E:E,E:E)</f>
        <v>0</v>
      </c>
      <c r="I43" s="65">
        <f>SUMIFS(险种!R:R,险种!U:U,"有效",险种!E:E,E:E)</f>
        <v>0</v>
      </c>
      <c r="J43" s="65">
        <f>ROUND(SUMIF(险种!E:E,E:E,险种!Q:Q)-SUMIFS(险种!Q:Q,险种!U:U,"终止",险种!E:E,E:E),1)</f>
        <v>0</v>
      </c>
      <c r="K43" s="68">
        <f>RANK(J43,J:J)</f>
        <v>22</v>
      </c>
      <c r="L43" s="65">
        <f>ROUND(SUMIFS(险种!Q:Q,险种!U:U,"有效",险种!E:E,E:E),1)</f>
        <v>0</v>
      </c>
      <c r="M43" s="68">
        <f>RANK(L43,L:L,)</f>
        <v>14</v>
      </c>
      <c r="N43" s="68">
        <f>SUMIF(险种!E:E,E:E,险种!W:W)</f>
        <v>0</v>
      </c>
      <c r="O43" s="68">
        <f>IF(N:N&gt;=1,1,0)</f>
        <v>0</v>
      </c>
      <c r="P43" s="65">
        <f>ROUND(SUMIFS(险种!Q:Q,险种!V:V,$P$1,险种!E:E,E:E),1)</f>
        <v>0</v>
      </c>
      <c r="Q43" s="68">
        <f>RANK(P43,$P:$P,0)-1</f>
        <v>5</v>
      </c>
      <c r="R43" s="68" t="str">
        <f>A:A&amp;D:D&amp;G:G&amp;"在"&amp;$P$1&amp;"预收"&amp;P:P&amp;"排名中支第"&amp;Q:Q&amp;"位"</f>
        <v>淮南本部陈雯雯伙伴在20210509预收0排名中支第5位</v>
      </c>
      <c r="S43" s="65">
        <f>ROUND(SUMIFS(险种!Q:Q,险种!E:E,E:E,险种!V:V,"&lt;=20210506")-SUMIFS(险种!Q:Q,险种!U:U,"终止",险种!E:E,E:E,险种!V:V,"&lt;=20210506"),1)</f>
        <v>0</v>
      </c>
      <c r="T43" s="65">
        <f>ROUND(SUMIFS(险种!Q:Q,险种!U:U,"有效",险种!E:E,E:E,险种!V:V,"&lt;=20210506"),1)</f>
        <v>0</v>
      </c>
      <c r="U43" s="65">
        <f>ROUND(SUMIFS(险种!Q:Q,险种!E:E,E:E,险种!V:V,"&lt;=20210510")-SUMIFS(险种!Q:Q,险种!U:U,"终止",险种!E:E,E:E,险种!V:V,"&lt;=20210510"),1)</f>
        <v>0</v>
      </c>
      <c r="V43" s="65">
        <f>ROUND(SUMIFS(险种!Q:Q,险种!U:U,"有效",险种!E:E,E:E,险种!V:V,"&lt;=20210510"),1)</f>
        <v>0</v>
      </c>
      <c r="W43" s="65">
        <f t="shared" si="0"/>
        <v>0</v>
      </c>
      <c r="X43" s="68">
        <f>SUMIF(险种!E:E,E:E,险种!Y:Y)</f>
        <v>0</v>
      </c>
      <c r="Y43" s="65">
        <f>MAX(_xlfn.IFS(OR(X:X=1,X:X=2),J:J*0.1,X:X&gt;=3,J:J*0.2,X:X=0,0),IF(J:J&gt;=20000,J:J*0.2,0))</f>
        <v>0</v>
      </c>
      <c r="Z43" s="65" t="str">
        <f>A43&amp;D43&amp;G43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淮南本部陈雯雯伙伴5.1-5.10预收价值保费0，首周预收3000P件数0件，预收拟加佣0元。温馨提示，保单需10日（含）前承保，目前还有0价值保费未承保,开单一件即可获得10%加佣</v>
      </c>
      <c r="AA43" s="68">
        <f>SUMIF(险种!E:E,E:E,险种!Z:Z)</f>
        <v>0</v>
      </c>
      <c r="AB43" s="65"/>
      <c r="AC43" s="68">
        <f>SUMIF(险种!E:E,E:E,险种!AA:AA)</f>
        <v>0</v>
      </c>
      <c r="AD43" s="68">
        <f>SUMIFS(险种!AA:AA,险种!U:U,"有效",险种!E:E,E:E)</f>
        <v>0</v>
      </c>
      <c r="AE43" s="68" t="str">
        <f>A43&amp;D43&amp;G43&amp;"目前获得"&amp;$AC$1&amp;AC:AC&amp;"名，获得"&amp;$AD$1&amp;AD:AD&amp;"名"</f>
        <v>淮南本部陈雯雯伙伴目前获得龙虾节预收名额0名，获得龙虾节承保名额0名</v>
      </c>
      <c r="AF43" s="68">
        <f>SUMIF(认购返还案!D:D,E:E,认购返还案!E:E)</f>
        <v>0</v>
      </c>
      <c r="AG43" s="68">
        <f>_xlfn.IFS(AND(U:U&gt;=3000,U:U&lt;5000),AF:AF*0.5,U:U&gt;=5000,AF:AF*1,U:U&lt;3000,0)</f>
        <v>0</v>
      </c>
      <c r="AH43" s="68">
        <f>_xlfn.IFS(AND(V:V&gt;=3000,V:V&lt;5000),AF:AF*0.5,V:V&gt;=5000,AF:AF*1,V:V&lt;3000,0)</f>
        <v>0</v>
      </c>
      <c r="AI43" s="68" t="str">
        <f>A:A&amp;D:D&amp;G:G&amp;$AF$1&amp;AF:AF&amp;"元，目前预收价值"&amp;U:U&amp;"，"&amp;$AG$1&amp;AG:AG&amp;"元，"&amp;$AH$1&amp;AH:AH&amp;"元"</f>
        <v>淮南本部陈雯雯伙伴冲锋队缴费金额0元，目前预收价值0，预收拟返还0元，承保拟返还0元</v>
      </c>
      <c r="AJ43" s="68">
        <f>SUMIF(保单!R:R,E:E,保单!BE:BE)*IF(AF:AF&gt;1,1,0)</f>
        <v>0</v>
      </c>
      <c r="AK43" s="68">
        <f>SUMIFS(保单!BE:BE,保单!R:R,E:E,保单!BB:BB,"有效")*IF(AF:AF&gt;1,1,0)</f>
        <v>0</v>
      </c>
      <c r="AL43" s="72" t="str">
        <f>A:A&amp;D:D&amp;G:G&amp;"只要在1-10日承保全部保单，即可获得"&amp;$AJ$1&amp;AJ:AJ&amp;"个"</f>
        <v>淮南本部陈雯雯伙伴只要在1-10日承保全部保单，即可获得冲锋队按摩仪0个</v>
      </c>
    </row>
    <row r="44" spans="1:38">
      <c r="A44" s="64" t="s">
        <v>42</v>
      </c>
      <c r="B44" s="64" t="s">
        <v>62</v>
      </c>
      <c r="C44" s="64" t="s">
        <v>63</v>
      </c>
      <c r="D44" s="64" t="s">
        <v>285</v>
      </c>
      <c r="E44" s="64">
        <v>6554680762</v>
      </c>
      <c r="F44" s="64" t="s">
        <v>158</v>
      </c>
      <c r="G44" s="64" t="str">
        <f>IF(OR(F:F="高级经理一级",F:F="业务经理一级"),"主管","伙伴")</f>
        <v>伙伴</v>
      </c>
      <c r="H44" s="65">
        <f>SUMIF(险种!E:E,E:E,险种!R:R)-SUMIFS(险种!R:R,险种!U:U,"终止",险种!E:E,E:E)</f>
        <v>0</v>
      </c>
      <c r="I44" s="65">
        <f>SUMIFS(险种!R:R,险种!U:U,"有效",险种!E:E,E:E)</f>
        <v>0</v>
      </c>
      <c r="J44" s="65">
        <f>ROUND(SUMIF(险种!E:E,E:E,险种!Q:Q)-SUMIFS(险种!Q:Q,险种!U:U,"终止",险种!E:E,E:E),1)</f>
        <v>0</v>
      </c>
      <c r="K44" s="68">
        <f>RANK(J44,J:J)</f>
        <v>22</v>
      </c>
      <c r="L44" s="65">
        <f>ROUND(SUMIFS(险种!Q:Q,险种!U:U,"有效",险种!E:E,E:E),1)</f>
        <v>0</v>
      </c>
      <c r="M44" s="68">
        <f>RANK(L44,L:L,)</f>
        <v>14</v>
      </c>
      <c r="N44" s="68">
        <f>SUMIF(险种!E:E,E:E,险种!W:W)</f>
        <v>0</v>
      </c>
      <c r="O44" s="68">
        <f>IF(N:N&gt;=1,1,0)</f>
        <v>0</v>
      </c>
      <c r="P44" s="65">
        <f>ROUND(SUMIFS(险种!Q:Q,险种!V:V,$P$1,险种!E:E,E:E),1)</f>
        <v>0</v>
      </c>
      <c r="Q44" s="68">
        <f>RANK(P44,$P:$P,0)-1</f>
        <v>5</v>
      </c>
      <c r="R44" s="68" t="str">
        <f>A:A&amp;D:D&amp;G:G&amp;"在"&amp;$P$1&amp;"预收"&amp;P:P&amp;"排名中支第"&amp;Q:Q&amp;"位"</f>
        <v>淮南本部褚恋恋伙伴在20210509预收0排名中支第5位</v>
      </c>
      <c r="S44" s="65">
        <f>ROUND(SUMIFS(险种!Q:Q,险种!E:E,E:E,险种!V:V,"&lt;=20210506")-SUMIFS(险种!Q:Q,险种!U:U,"终止",险种!E:E,E:E,险种!V:V,"&lt;=20210506"),1)</f>
        <v>0</v>
      </c>
      <c r="T44" s="65">
        <f>ROUND(SUMIFS(险种!Q:Q,险种!U:U,"有效",险种!E:E,E:E,险种!V:V,"&lt;=20210506"),1)</f>
        <v>0</v>
      </c>
      <c r="U44" s="65">
        <f>ROUND(SUMIFS(险种!Q:Q,险种!E:E,E:E,险种!V:V,"&lt;=20210510")-SUMIFS(险种!Q:Q,险种!U:U,"终止",险种!E:E,E:E,险种!V:V,"&lt;=20210510"),1)</f>
        <v>0</v>
      </c>
      <c r="V44" s="65">
        <f>ROUND(SUMIFS(险种!Q:Q,险种!U:U,"有效",险种!E:E,E:E,险种!V:V,"&lt;=20210510"),1)</f>
        <v>0</v>
      </c>
      <c r="W44" s="65">
        <f t="shared" si="0"/>
        <v>0</v>
      </c>
      <c r="X44" s="68">
        <f>SUMIF(险种!E:E,E:E,险种!Y:Y)</f>
        <v>0</v>
      </c>
      <c r="Y44" s="65">
        <f>MAX(_xlfn.IFS(OR(X:X=1,X:X=2),J:J*0.1,X:X&gt;=3,J:J*0.2,X:X=0,0),IF(J:J&gt;=20000,J:J*0.2,0))</f>
        <v>0</v>
      </c>
      <c r="Z44" s="65" t="str">
        <f>A44&amp;D44&amp;G44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淮南本部褚恋恋伙伴5.1-5.10预收价值保费0，首周预收3000P件数0件，预收拟加佣0元。温馨提示，保单需10日（含）前承保，目前还有0价值保费未承保,开单一件即可获得10%加佣</v>
      </c>
      <c r="AA44" s="68">
        <f>SUMIF(险种!E:E,E:E,险种!Z:Z)</f>
        <v>0</v>
      </c>
      <c r="AB44" s="65"/>
      <c r="AC44" s="68">
        <f>SUMIF(险种!E:E,E:E,险种!AA:AA)</f>
        <v>0</v>
      </c>
      <c r="AD44" s="68">
        <f>SUMIFS(险种!AA:AA,险种!U:U,"有效",险种!E:E,E:E)</f>
        <v>0</v>
      </c>
      <c r="AE44" s="68" t="str">
        <f>A44&amp;D44&amp;G44&amp;"目前获得"&amp;$AC$1&amp;AC:AC&amp;"名，获得"&amp;$AD$1&amp;AD:AD&amp;"名"</f>
        <v>淮南本部褚恋恋伙伴目前获得龙虾节预收名额0名，获得龙虾节承保名额0名</v>
      </c>
      <c r="AF44" s="68">
        <f>SUMIF(认购返还案!D:D,E:E,认购返还案!E:E)</f>
        <v>200</v>
      </c>
      <c r="AG44" s="68">
        <f>_xlfn.IFS(AND(U:U&gt;=3000,U:U&lt;5000),AF:AF*0.5,U:U&gt;=5000,AF:AF*1,U:U&lt;3000,0)</f>
        <v>0</v>
      </c>
      <c r="AH44" s="68">
        <f>_xlfn.IFS(AND(V:V&gt;=3000,V:V&lt;5000),AF:AF*0.5,V:V&gt;=5000,AF:AF*1,V:V&lt;3000,0)</f>
        <v>0</v>
      </c>
      <c r="AI44" s="68" t="str">
        <f>A:A&amp;D:D&amp;G:G&amp;$AF$1&amp;AF:AF&amp;"元，目前预收价值"&amp;U:U&amp;"，"&amp;$AG$1&amp;AG:AG&amp;"元，"&amp;$AH$1&amp;AH:AH&amp;"元"</f>
        <v>淮南本部褚恋恋伙伴冲锋队缴费金额200元，目前预收价值0，预收拟返还0元，承保拟返还0元</v>
      </c>
      <c r="AJ44" s="68">
        <f>SUMIF(保单!R:R,E:E,保单!BE:BE)*IF(AF:AF&gt;1,1,0)</f>
        <v>0</v>
      </c>
      <c r="AK44" s="68">
        <f>SUMIFS(保单!BE:BE,保单!R:R,E:E,保单!BB:BB,"有效")*IF(AF:AF&gt;1,1,0)</f>
        <v>0</v>
      </c>
      <c r="AL44" s="72" t="str">
        <f>A:A&amp;D:D&amp;G:G&amp;"只要在1-10日承保全部保单，即可获得"&amp;$AJ$1&amp;AJ:AJ&amp;"个"</f>
        <v>淮南本部褚恋恋伙伴只要在1-10日承保全部保单，即可获得冲锋队按摩仪0个</v>
      </c>
    </row>
    <row r="45" spans="1:38">
      <c r="A45" s="64" t="s">
        <v>27</v>
      </c>
      <c r="B45" s="64" t="s">
        <v>28</v>
      </c>
      <c r="C45" s="64" t="s">
        <v>29</v>
      </c>
      <c r="D45" s="64" t="s">
        <v>79</v>
      </c>
      <c r="E45" s="64">
        <v>6554611872</v>
      </c>
      <c r="F45" s="64" t="s">
        <v>158</v>
      </c>
      <c r="G45" s="64" t="str">
        <f>IF(OR(F:F="高级经理一级",F:F="业务经理一级"),"主管","伙伴")</f>
        <v>伙伴</v>
      </c>
      <c r="H45" s="65">
        <f>SUMIF(险种!E:E,E:E,险种!R:R)-SUMIFS(险种!R:R,险种!U:U,"终止",险种!E:E,E:E)</f>
        <v>0</v>
      </c>
      <c r="I45" s="65">
        <f>SUMIFS(险种!R:R,险种!U:U,"有效",险种!E:E,E:E)</f>
        <v>0</v>
      </c>
      <c r="J45" s="65">
        <f>ROUND(SUMIF(险种!E:E,E:E,险种!Q:Q)-SUMIFS(险种!Q:Q,险种!U:U,"终止",险种!E:E,E:E),1)</f>
        <v>0</v>
      </c>
      <c r="K45" s="68">
        <f>RANK(J45,J:J)</f>
        <v>22</v>
      </c>
      <c r="L45" s="65">
        <f>ROUND(SUMIFS(险种!Q:Q,险种!U:U,"有效",险种!E:E,E:E),1)</f>
        <v>0</v>
      </c>
      <c r="M45" s="68">
        <f>RANK(L45,L:L,)</f>
        <v>14</v>
      </c>
      <c r="N45" s="68">
        <f>SUMIF(险种!E:E,E:E,险种!W:W)</f>
        <v>0</v>
      </c>
      <c r="O45" s="68">
        <f>IF(N:N&gt;=1,1,0)</f>
        <v>0</v>
      </c>
      <c r="P45" s="65">
        <f>ROUND(SUMIFS(险种!Q:Q,险种!V:V,$P$1,险种!E:E,E:E),1)</f>
        <v>0</v>
      </c>
      <c r="Q45" s="68">
        <f>RANK(P45,$P:$P,0)-1</f>
        <v>5</v>
      </c>
      <c r="R45" s="68" t="str">
        <f>A:A&amp;D:D&amp;G:G&amp;"在"&amp;$P$1&amp;"预收"&amp;P:P&amp;"排名中支第"&amp;Q:Q&amp;"位"</f>
        <v>凤台柏祖林伙伴在20210509预收0排名中支第5位</v>
      </c>
      <c r="S45" s="65">
        <f>ROUND(SUMIFS(险种!Q:Q,险种!E:E,E:E,险种!V:V,"&lt;=20210506")-SUMIFS(险种!Q:Q,险种!U:U,"终止",险种!E:E,E:E,险种!V:V,"&lt;=20210506"),1)</f>
        <v>0</v>
      </c>
      <c r="T45" s="65">
        <f>ROUND(SUMIFS(险种!Q:Q,险种!U:U,"有效",险种!E:E,E:E,险种!V:V,"&lt;=20210506"),1)</f>
        <v>0</v>
      </c>
      <c r="U45" s="65">
        <f>ROUND(SUMIFS(险种!Q:Q,险种!E:E,E:E,险种!V:V,"&lt;=20210510")-SUMIFS(险种!Q:Q,险种!U:U,"终止",险种!E:E,E:E,险种!V:V,"&lt;=20210510"),1)</f>
        <v>0</v>
      </c>
      <c r="V45" s="65">
        <f>ROUND(SUMIFS(险种!Q:Q,险种!U:U,"有效",险种!E:E,E:E,险种!V:V,"&lt;=20210510"),1)</f>
        <v>0</v>
      </c>
      <c r="W45" s="65">
        <f t="shared" si="0"/>
        <v>0</v>
      </c>
      <c r="X45" s="68">
        <f>SUMIF(险种!E:E,E:E,险种!Y:Y)</f>
        <v>0</v>
      </c>
      <c r="Y45" s="65">
        <f>MAX(_xlfn.IFS(OR(X:X=1,X:X=2),J:J*0.1,X:X&gt;=3,J:J*0.2,X:X=0,0),IF(J:J&gt;=20000,J:J*0.2,0))</f>
        <v>0</v>
      </c>
      <c r="Z45" s="65" t="str">
        <f>A45&amp;D45&amp;G45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凤台柏祖林伙伴5.1-5.10预收价值保费0，首周预收3000P件数0件，预收拟加佣0元。温馨提示，保单需10日（含）前承保，目前还有0价值保费未承保,开单一件即可获得10%加佣</v>
      </c>
      <c r="AA45" s="68">
        <f>SUMIF(险种!E:E,E:E,险种!Z:Z)</f>
        <v>0</v>
      </c>
      <c r="AB45" s="65"/>
      <c r="AC45" s="68">
        <f>SUMIF(险种!E:E,E:E,险种!AA:AA)</f>
        <v>0</v>
      </c>
      <c r="AD45" s="68">
        <f>SUMIFS(险种!AA:AA,险种!U:U,"有效",险种!E:E,E:E)</f>
        <v>0</v>
      </c>
      <c r="AE45" s="68" t="str">
        <f>A45&amp;D45&amp;G45&amp;"目前获得"&amp;$AC$1&amp;AC:AC&amp;"名，获得"&amp;$AD$1&amp;AD:AD&amp;"名"</f>
        <v>凤台柏祖林伙伴目前获得龙虾节预收名额0名，获得龙虾节承保名额0名</v>
      </c>
      <c r="AF45" s="68">
        <f>SUMIF(认购返还案!D:D,E:E,认购返还案!E:E)</f>
        <v>200</v>
      </c>
      <c r="AG45" s="68">
        <f>_xlfn.IFS(AND(U:U&gt;=3000,U:U&lt;5000),AF:AF*0.5,U:U&gt;=5000,AF:AF*1,U:U&lt;3000,0)</f>
        <v>0</v>
      </c>
      <c r="AH45" s="68">
        <f>_xlfn.IFS(AND(V:V&gt;=3000,V:V&lt;5000),AF:AF*0.5,V:V&gt;=5000,AF:AF*1,V:V&lt;3000,0)</f>
        <v>0</v>
      </c>
      <c r="AI45" s="68" t="str">
        <f>A:A&amp;D:D&amp;G:G&amp;$AF$1&amp;AF:AF&amp;"元，目前预收价值"&amp;U:U&amp;"，"&amp;$AG$1&amp;AG:AG&amp;"元，"&amp;$AH$1&amp;AH:AH&amp;"元"</f>
        <v>凤台柏祖林伙伴冲锋队缴费金额200元，目前预收价值0，预收拟返还0元，承保拟返还0元</v>
      </c>
      <c r="AJ45" s="68">
        <f>SUMIF(保单!R:R,E:E,保单!BE:BE)*IF(AF:AF&gt;1,1,0)</f>
        <v>0</v>
      </c>
      <c r="AK45" s="68">
        <f>SUMIFS(保单!BE:BE,保单!R:R,E:E,保单!BB:BB,"有效")*IF(AF:AF&gt;1,1,0)</f>
        <v>0</v>
      </c>
      <c r="AL45" s="72" t="str">
        <f>A:A&amp;D:D&amp;G:G&amp;"只要在1-10日承保全部保单，即可获得"&amp;$AJ$1&amp;AJ:AJ&amp;"个"</f>
        <v>凤台柏祖林伙伴只要在1-10日承保全部保单，即可获得冲锋队按摩仪0个</v>
      </c>
    </row>
    <row r="46" spans="1:38">
      <c r="A46" s="64" t="s">
        <v>27</v>
      </c>
      <c r="B46" s="64" t="s">
        <v>37</v>
      </c>
      <c r="C46" s="64" t="s">
        <v>226</v>
      </c>
      <c r="D46" s="64" t="s">
        <v>286</v>
      </c>
      <c r="E46" s="64">
        <v>6554598232</v>
      </c>
      <c r="F46" s="64" t="s">
        <v>158</v>
      </c>
      <c r="G46" s="64" t="str">
        <f>IF(OR(F:F="高级经理一级",F:F="业务经理一级"),"主管","伙伴")</f>
        <v>伙伴</v>
      </c>
      <c r="H46" s="65">
        <f>SUMIF(险种!E:E,E:E,险种!R:R)-SUMIFS(险种!R:R,险种!U:U,"终止",险种!E:E,E:E)</f>
        <v>0</v>
      </c>
      <c r="I46" s="65">
        <f>SUMIFS(险种!R:R,险种!U:U,"有效",险种!E:E,E:E)</f>
        <v>0</v>
      </c>
      <c r="J46" s="65">
        <f>ROUND(SUMIF(险种!E:E,E:E,险种!Q:Q)-SUMIFS(险种!Q:Q,险种!U:U,"终止",险种!E:E,E:E),1)</f>
        <v>0</v>
      </c>
      <c r="K46" s="68">
        <f>RANK(J46,J:J)</f>
        <v>22</v>
      </c>
      <c r="L46" s="65">
        <f>ROUND(SUMIFS(险种!Q:Q,险种!U:U,"有效",险种!E:E,E:E),1)</f>
        <v>0</v>
      </c>
      <c r="M46" s="68">
        <f>RANK(L46,L:L,)</f>
        <v>14</v>
      </c>
      <c r="N46" s="68">
        <f>SUMIF(险种!E:E,E:E,险种!W:W)</f>
        <v>0</v>
      </c>
      <c r="O46" s="68">
        <f>IF(N:N&gt;=1,1,0)</f>
        <v>0</v>
      </c>
      <c r="P46" s="65">
        <f>ROUND(SUMIFS(险种!Q:Q,险种!V:V,$P$1,险种!E:E,E:E),1)</f>
        <v>0</v>
      </c>
      <c r="Q46" s="68">
        <f>RANK(P46,$P:$P,0)-1</f>
        <v>5</v>
      </c>
      <c r="R46" s="68" t="str">
        <f>A:A&amp;D:D&amp;G:G&amp;"在"&amp;$P$1&amp;"预收"&amp;P:P&amp;"排名中支第"&amp;Q:Q&amp;"位"</f>
        <v>凤台刘艳伙伴在20210509预收0排名中支第5位</v>
      </c>
      <c r="S46" s="65">
        <f>ROUND(SUMIFS(险种!Q:Q,险种!E:E,E:E,险种!V:V,"&lt;=20210506")-SUMIFS(险种!Q:Q,险种!U:U,"终止",险种!E:E,E:E,险种!V:V,"&lt;=20210506"),1)</f>
        <v>0</v>
      </c>
      <c r="T46" s="65">
        <f>ROUND(SUMIFS(险种!Q:Q,险种!U:U,"有效",险种!E:E,E:E,险种!V:V,"&lt;=20210506"),1)</f>
        <v>0</v>
      </c>
      <c r="U46" s="65">
        <f>ROUND(SUMIFS(险种!Q:Q,险种!E:E,E:E,险种!V:V,"&lt;=20210510")-SUMIFS(险种!Q:Q,险种!U:U,"终止",险种!E:E,E:E,险种!V:V,"&lt;=20210510"),1)</f>
        <v>0</v>
      </c>
      <c r="V46" s="65">
        <f>ROUND(SUMIFS(险种!Q:Q,险种!U:U,"有效",险种!E:E,E:E,险种!V:V,"&lt;=20210510"),1)</f>
        <v>0</v>
      </c>
      <c r="W46" s="65">
        <f t="shared" si="0"/>
        <v>0</v>
      </c>
      <c r="X46" s="68">
        <f>SUMIF(险种!E:E,E:E,险种!Y:Y)</f>
        <v>0</v>
      </c>
      <c r="Y46" s="65">
        <f>MAX(_xlfn.IFS(OR(X:X=1,X:X=2),J:J*0.1,X:X&gt;=3,J:J*0.2,X:X=0,0),IF(J:J&gt;=20000,J:J*0.2,0))</f>
        <v>0</v>
      </c>
      <c r="Z46" s="65" t="str">
        <f>A46&amp;D46&amp;G46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凤台刘艳伙伴5.1-5.10预收价值保费0，首周预收3000P件数0件，预收拟加佣0元。温馨提示，保单需10日（含）前承保，目前还有0价值保费未承保,开单一件即可获得10%加佣</v>
      </c>
      <c r="AA46" s="68">
        <f>SUMIF(险种!E:E,E:E,险种!Z:Z)</f>
        <v>0</v>
      </c>
      <c r="AB46" s="65"/>
      <c r="AC46" s="68">
        <f>SUMIF(险种!E:E,E:E,险种!AA:AA)</f>
        <v>0</v>
      </c>
      <c r="AD46" s="68">
        <f>SUMIFS(险种!AA:AA,险种!U:U,"有效",险种!E:E,E:E)</f>
        <v>0</v>
      </c>
      <c r="AE46" s="68" t="str">
        <f>A46&amp;D46&amp;G46&amp;"目前获得"&amp;$AC$1&amp;AC:AC&amp;"名，获得"&amp;$AD$1&amp;AD:AD&amp;"名"</f>
        <v>凤台刘艳伙伴目前获得龙虾节预收名额0名，获得龙虾节承保名额0名</v>
      </c>
      <c r="AF46" s="68">
        <f>SUMIF(认购返还案!D:D,E:E,认购返还案!E:E)</f>
        <v>0</v>
      </c>
      <c r="AG46" s="68">
        <f>_xlfn.IFS(AND(U:U&gt;=3000,U:U&lt;5000),AF:AF*0.5,U:U&gt;=5000,AF:AF*1,U:U&lt;3000,0)</f>
        <v>0</v>
      </c>
      <c r="AH46" s="68">
        <f>_xlfn.IFS(AND(V:V&gt;=3000,V:V&lt;5000),AF:AF*0.5,V:V&gt;=5000,AF:AF*1,V:V&lt;3000,0)</f>
        <v>0</v>
      </c>
      <c r="AI46" s="68" t="str">
        <f>A:A&amp;D:D&amp;G:G&amp;$AF$1&amp;AF:AF&amp;"元，目前预收价值"&amp;U:U&amp;"，"&amp;$AG$1&amp;AG:AG&amp;"元，"&amp;$AH$1&amp;AH:AH&amp;"元"</f>
        <v>凤台刘艳伙伴冲锋队缴费金额0元，目前预收价值0，预收拟返还0元，承保拟返还0元</v>
      </c>
      <c r="AJ46" s="68">
        <f>SUMIF(保单!R:R,E:E,保单!BE:BE)*IF(AF:AF&gt;1,1,0)</f>
        <v>0</v>
      </c>
      <c r="AK46" s="68">
        <f>SUMIFS(保单!BE:BE,保单!R:R,E:E,保单!BB:BB,"有效")*IF(AF:AF&gt;1,1,0)</f>
        <v>0</v>
      </c>
      <c r="AL46" s="72" t="str">
        <f>A:A&amp;D:D&amp;G:G&amp;"只要在1-10日承保全部保单，即可获得"&amp;$AJ$1&amp;AJ:AJ&amp;"个"</f>
        <v>凤台刘艳伙伴只要在1-10日承保全部保单，即可获得冲锋队按摩仪0个</v>
      </c>
    </row>
    <row r="47" spans="1:38">
      <c r="A47" s="64" t="s">
        <v>48</v>
      </c>
      <c r="B47" s="64" t="s">
        <v>49</v>
      </c>
      <c r="C47" s="64" t="s">
        <v>50</v>
      </c>
      <c r="D47" s="64" t="s">
        <v>287</v>
      </c>
      <c r="E47" s="64">
        <v>6554581962</v>
      </c>
      <c r="F47" s="64" t="s">
        <v>158</v>
      </c>
      <c r="G47" s="64" t="str">
        <f>IF(OR(F:F="高级经理一级",F:F="业务经理一级"),"主管","伙伴")</f>
        <v>伙伴</v>
      </c>
      <c r="H47" s="65">
        <f>SUMIF(险种!E:E,E:E,险种!R:R)-SUMIFS(险种!R:R,险种!U:U,"终止",险种!E:E,E:E)</f>
        <v>0</v>
      </c>
      <c r="I47" s="65">
        <f>SUMIFS(险种!R:R,险种!U:U,"有效",险种!E:E,E:E)</f>
        <v>0</v>
      </c>
      <c r="J47" s="65">
        <f>ROUND(SUMIF(险种!E:E,E:E,险种!Q:Q)-SUMIFS(险种!Q:Q,险种!U:U,"终止",险种!E:E,E:E),1)</f>
        <v>0</v>
      </c>
      <c r="K47" s="68">
        <f>RANK(J47,J:J)</f>
        <v>22</v>
      </c>
      <c r="L47" s="65">
        <f>ROUND(SUMIFS(险种!Q:Q,险种!U:U,"有效",险种!E:E,E:E),1)</f>
        <v>0</v>
      </c>
      <c r="M47" s="68">
        <f>RANK(L47,L:L,)</f>
        <v>14</v>
      </c>
      <c r="N47" s="68">
        <f>SUMIF(险种!E:E,E:E,险种!W:W)</f>
        <v>0</v>
      </c>
      <c r="O47" s="68">
        <f>IF(N:N&gt;=1,1,0)</f>
        <v>0</v>
      </c>
      <c r="P47" s="65">
        <f>ROUND(SUMIFS(险种!Q:Q,险种!V:V,$P$1,险种!E:E,E:E),1)</f>
        <v>0</v>
      </c>
      <c r="Q47" s="68">
        <f>RANK(P47,$P:$P,0)-1</f>
        <v>5</v>
      </c>
      <c r="R47" s="68" t="str">
        <f>A:A&amp;D:D&amp;G:G&amp;"在"&amp;$P$1&amp;"预收"&amp;P:P&amp;"排名中支第"&amp;Q:Q&amp;"位"</f>
        <v>谢家集张君志伙伴在20210509预收0排名中支第5位</v>
      </c>
      <c r="S47" s="65">
        <f>ROUND(SUMIFS(险种!Q:Q,险种!E:E,E:E,险种!V:V,"&lt;=20210506")-SUMIFS(险种!Q:Q,险种!U:U,"终止",险种!E:E,E:E,险种!V:V,"&lt;=20210506"),1)</f>
        <v>0</v>
      </c>
      <c r="T47" s="65">
        <f>ROUND(SUMIFS(险种!Q:Q,险种!U:U,"有效",险种!E:E,E:E,险种!V:V,"&lt;=20210506"),1)</f>
        <v>0</v>
      </c>
      <c r="U47" s="65">
        <f>ROUND(SUMIFS(险种!Q:Q,险种!E:E,E:E,险种!V:V,"&lt;=20210510")-SUMIFS(险种!Q:Q,险种!U:U,"终止",险种!E:E,E:E,险种!V:V,"&lt;=20210510"),1)</f>
        <v>0</v>
      </c>
      <c r="V47" s="65">
        <f>ROUND(SUMIFS(险种!Q:Q,险种!U:U,"有效",险种!E:E,E:E,险种!V:V,"&lt;=20210510"),1)</f>
        <v>0</v>
      </c>
      <c r="W47" s="65">
        <f t="shared" si="0"/>
        <v>0</v>
      </c>
      <c r="X47" s="68">
        <f>SUMIF(险种!E:E,E:E,险种!Y:Y)</f>
        <v>0</v>
      </c>
      <c r="Y47" s="65">
        <f>MAX(_xlfn.IFS(OR(X:X=1,X:X=2),J:J*0.1,X:X&gt;=3,J:J*0.2,X:X=0,0),IF(J:J&gt;=20000,J:J*0.2,0))</f>
        <v>0</v>
      </c>
      <c r="Z47" s="65" t="str">
        <f>A47&amp;D47&amp;G47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谢家集张君志伙伴5.1-5.10预收价值保费0，首周预收3000P件数0件，预收拟加佣0元。温馨提示，保单需10日（含）前承保，目前还有0价值保费未承保,开单一件即可获得10%加佣</v>
      </c>
      <c r="AA47" s="68">
        <f>SUMIF(险种!E:E,E:E,险种!Z:Z)</f>
        <v>0</v>
      </c>
      <c r="AB47" s="65"/>
      <c r="AC47" s="68">
        <f>SUMIF(险种!E:E,E:E,险种!AA:AA)</f>
        <v>0</v>
      </c>
      <c r="AD47" s="68">
        <f>SUMIFS(险种!AA:AA,险种!U:U,"有效",险种!E:E,E:E)</f>
        <v>0</v>
      </c>
      <c r="AE47" s="68" t="str">
        <f>A47&amp;D47&amp;G47&amp;"目前获得"&amp;$AC$1&amp;AC:AC&amp;"名，获得"&amp;$AD$1&amp;AD:AD&amp;"名"</f>
        <v>谢家集张君志伙伴目前获得龙虾节预收名额0名，获得龙虾节承保名额0名</v>
      </c>
      <c r="AF47" s="68">
        <f>SUMIF(认购返还案!D:D,E:E,认购返还案!E:E)</f>
        <v>0</v>
      </c>
      <c r="AG47" s="68">
        <f>_xlfn.IFS(AND(U:U&gt;=3000,U:U&lt;5000),AF:AF*0.5,U:U&gt;=5000,AF:AF*1,U:U&lt;3000,0)</f>
        <v>0</v>
      </c>
      <c r="AH47" s="68">
        <f>_xlfn.IFS(AND(V:V&gt;=3000,V:V&lt;5000),AF:AF*0.5,V:V&gt;=5000,AF:AF*1,V:V&lt;3000,0)</f>
        <v>0</v>
      </c>
      <c r="AI47" s="68" t="str">
        <f>A:A&amp;D:D&amp;G:G&amp;$AF$1&amp;AF:AF&amp;"元，目前预收价值"&amp;U:U&amp;"，"&amp;$AG$1&amp;AG:AG&amp;"元，"&amp;$AH$1&amp;AH:AH&amp;"元"</f>
        <v>谢家集张君志伙伴冲锋队缴费金额0元，目前预收价值0，预收拟返还0元，承保拟返还0元</v>
      </c>
      <c r="AJ47" s="68">
        <f>SUMIF(保单!R:R,E:E,保单!BE:BE)*IF(AF:AF&gt;1,1,0)</f>
        <v>0</v>
      </c>
      <c r="AK47" s="68">
        <f>SUMIFS(保单!BE:BE,保单!R:R,E:E,保单!BB:BB,"有效")*IF(AF:AF&gt;1,1,0)</f>
        <v>0</v>
      </c>
      <c r="AL47" s="72" t="str">
        <f>A:A&amp;D:D&amp;G:G&amp;"只要在1-10日承保全部保单，即可获得"&amp;$AJ$1&amp;AJ:AJ&amp;"个"</f>
        <v>谢家集张君志伙伴只要在1-10日承保全部保单，即可获得冲锋队按摩仪0个</v>
      </c>
    </row>
    <row r="48" spans="1:38">
      <c r="A48" s="64" t="s">
        <v>48</v>
      </c>
      <c r="B48" s="64" t="s">
        <v>49</v>
      </c>
      <c r="C48" s="64" t="s">
        <v>98</v>
      </c>
      <c r="D48" s="64" t="s">
        <v>288</v>
      </c>
      <c r="E48" s="64">
        <v>6552982812</v>
      </c>
      <c r="F48" s="64" t="s">
        <v>158</v>
      </c>
      <c r="G48" s="64" t="str">
        <f>IF(OR(F:F="高级经理一级",F:F="业务经理一级"),"主管","伙伴")</f>
        <v>伙伴</v>
      </c>
      <c r="H48" s="65">
        <f>SUMIF(险种!E:E,E:E,险种!R:R)-SUMIFS(险种!R:R,险种!U:U,"终止",险种!E:E,E:E)</f>
        <v>0</v>
      </c>
      <c r="I48" s="65">
        <f>SUMIFS(险种!R:R,险种!U:U,"有效",险种!E:E,E:E)</f>
        <v>0</v>
      </c>
      <c r="J48" s="65">
        <f>ROUND(SUMIF(险种!E:E,E:E,险种!Q:Q)-SUMIFS(险种!Q:Q,险种!U:U,"终止",险种!E:E,E:E),1)</f>
        <v>0</v>
      </c>
      <c r="K48" s="68">
        <f>RANK(J48,J:J)</f>
        <v>22</v>
      </c>
      <c r="L48" s="65">
        <f>ROUND(SUMIFS(险种!Q:Q,险种!U:U,"有效",险种!E:E,E:E),1)</f>
        <v>0</v>
      </c>
      <c r="M48" s="68">
        <f>RANK(L48,L:L,)</f>
        <v>14</v>
      </c>
      <c r="N48" s="68">
        <f>SUMIF(险种!E:E,E:E,险种!W:W)</f>
        <v>0</v>
      </c>
      <c r="O48" s="68">
        <f>IF(N:N&gt;=1,1,0)</f>
        <v>0</v>
      </c>
      <c r="P48" s="65">
        <f>ROUND(SUMIFS(险种!Q:Q,险种!V:V,$P$1,险种!E:E,E:E),1)</f>
        <v>0</v>
      </c>
      <c r="Q48" s="68">
        <f>RANK(P48,$P:$P,0)-1</f>
        <v>5</v>
      </c>
      <c r="R48" s="68" t="str">
        <f>A:A&amp;D:D&amp;G:G&amp;"在"&amp;$P$1&amp;"预收"&amp;P:P&amp;"排名中支第"&amp;Q:Q&amp;"位"</f>
        <v>谢家集王梅芝伙伴在20210509预收0排名中支第5位</v>
      </c>
      <c r="S48" s="65">
        <f>ROUND(SUMIFS(险种!Q:Q,险种!E:E,E:E,险种!V:V,"&lt;=20210506")-SUMIFS(险种!Q:Q,险种!U:U,"终止",险种!E:E,E:E,险种!V:V,"&lt;=20210506"),1)</f>
        <v>0</v>
      </c>
      <c r="T48" s="65">
        <f>ROUND(SUMIFS(险种!Q:Q,险种!U:U,"有效",险种!E:E,E:E,险种!V:V,"&lt;=20210506"),1)</f>
        <v>0</v>
      </c>
      <c r="U48" s="65">
        <f>ROUND(SUMIFS(险种!Q:Q,险种!E:E,E:E,险种!V:V,"&lt;=20210510")-SUMIFS(险种!Q:Q,险种!U:U,"终止",险种!E:E,E:E,险种!V:V,"&lt;=20210510"),1)</f>
        <v>0</v>
      </c>
      <c r="V48" s="65">
        <f>ROUND(SUMIFS(险种!Q:Q,险种!U:U,"有效",险种!E:E,E:E,险种!V:V,"&lt;=20210510"),1)</f>
        <v>0</v>
      </c>
      <c r="W48" s="65">
        <f t="shared" si="0"/>
        <v>0</v>
      </c>
      <c r="X48" s="68">
        <f>SUMIF(险种!E:E,E:E,险种!Y:Y)</f>
        <v>0</v>
      </c>
      <c r="Y48" s="65">
        <f>MAX(_xlfn.IFS(OR(X:X=1,X:X=2),J:J*0.1,X:X&gt;=3,J:J*0.2,X:X=0,0),IF(J:J&gt;=20000,J:J*0.2,0))</f>
        <v>0</v>
      </c>
      <c r="Z48" s="65" t="str">
        <f>A48&amp;D48&amp;G48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谢家集王梅芝伙伴5.1-5.10预收价值保费0，首周预收3000P件数0件，预收拟加佣0元。温馨提示，保单需10日（含）前承保，目前还有0价值保费未承保,开单一件即可获得10%加佣</v>
      </c>
      <c r="AA48" s="68">
        <f>SUMIF(险种!E:E,E:E,险种!Z:Z)</f>
        <v>0</v>
      </c>
      <c r="AB48" s="65"/>
      <c r="AC48" s="68">
        <f>SUMIF(险种!E:E,E:E,险种!AA:AA)</f>
        <v>0</v>
      </c>
      <c r="AD48" s="68">
        <f>SUMIFS(险种!AA:AA,险种!U:U,"有效",险种!E:E,E:E)</f>
        <v>0</v>
      </c>
      <c r="AE48" s="68" t="str">
        <f>A48&amp;D48&amp;G48&amp;"目前获得"&amp;$AC$1&amp;AC:AC&amp;"名，获得"&amp;$AD$1&amp;AD:AD&amp;"名"</f>
        <v>谢家集王梅芝伙伴目前获得龙虾节预收名额0名，获得龙虾节承保名额0名</v>
      </c>
      <c r="AF48" s="68">
        <f>SUMIF(认购返还案!D:D,E:E,认购返还案!E:E)</f>
        <v>0</v>
      </c>
      <c r="AG48" s="68">
        <f>_xlfn.IFS(AND(U:U&gt;=3000,U:U&lt;5000),AF:AF*0.5,U:U&gt;=5000,AF:AF*1,U:U&lt;3000,0)</f>
        <v>0</v>
      </c>
      <c r="AH48" s="68">
        <f>_xlfn.IFS(AND(V:V&gt;=3000,V:V&lt;5000),AF:AF*0.5,V:V&gt;=5000,AF:AF*1,V:V&lt;3000,0)</f>
        <v>0</v>
      </c>
      <c r="AI48" s="68" t="str">
        <f>A:A&amp;D:D&amp;G:G&amp;$AF$1&amp;AF:AF&amp;"元，目前预收价值"&amp;U:U&amp;"，"&amp;$AG$1&amp;AG:AG&amp;"元，"&amp;$AH$1&amp;AH:AH&amp;"元"</f>
        <v>谢家集王梅芝伙伴冲锋队缴费金额0元，目前预收价值0，预收拟返还0元，承保拟返还0元</v>
      </c>
      <c r="AJ48" s="68">
        <f>SUMIF(保单!R:R,E:E,保单!BE:BE)*IF(AF:AF&gt;1,1,0)</f>
        <v>0</v>
      </c>
      <c r="AK48" s="68">
        <f>SUMIFS(保单!BE:BE,保单!R:R,E:E,保单!BB:BB,"有效")*IF(AF:AF&gt;1,1,0)</f>
        <v>0</v>
      </c>
      <c r="AL48" s="72" t="str">
        <f>A:A&amp;D:D&amp;G:G&amp;"只要在1-10日承保全部保单，即可获得"&amp;$AJ$1&amp;AJ:AJ&amp;"个"</f>
        <v>谢家集王梅芝伙伴只要在1-10日承保全部保单，即可获得冲锋队按摩仪0个</v>
      </c>
    </row>
    <row r="49" spans="1:38">
      <c r="A49" s="64" t="s">
        <v>27</v>
      </c>
      <c r="B49" s="64" t="s">
        <v>28</v>
      </c>
      <c r="C49" s="64" t="s">
        <v>29</v>
      </c>
      <c r="D49" s="64" t="s">
        <v>289</v>
      </c>
      <c r="E49" s="64">
        <v>6551184192</v>
      </c>
      <c r="F49" s="64" t="s">
        <v>158</v>
      </c>
      <c r="G49" s="64" t="str">
        <f>IF(OR(F:F="高级经理一级",F:F="业务经理一级"),"主管","伙伴")</f>
        <v>伙伴</v>
      </c>
      <c r="H49" s="65">
        <f>SUMIF(险种!E:E,E:E,险种!R:R)-SUMIFS(险种!R:R,险种!U:U,"终止",险种!E:E,E:E)</f>
        <v>0</v>
      </c>
      <c r="I49" s="65">
        <f>SUMIFS(险种!R:R,险种!U:U,"有效",险种!E:E,E:E)</f>
        <v>0</v>
      </c>
      <c r="J49" s="65">
        <f>ROUND(SUMIF(险种!E:E,E:E,险种!Q:Q)-SUMIFS(险种!Q:Q,险种!U:U,"终止",险种!E:E,E:E),1)</f>
        <v>0</v>
      </c>
      <c r="K49" s="68">
        <f>RANK(J49,J:J)</f>
        <v>22</v>
      </c>
      <c r="L49" s="65">
        <f>ROUND(SUMIFS(险种!Q:Q,险种!U:U,"有效",险种!E:E,E:E),1)</f>
        <v>0</v>
      </c>
      <c r="M49" s="68">
        <f>RANK(L49,L:L,)</f>
        <v>14</v>
      </c>
      <c r="N49" s="68">
        <f>SUMIF(险种!E:E,E:E,险种!W:W)</f>
        <v>0</v>
      </c>
      <c r="O49" s="68">
        <f>IF(N:N&gt;=1,1,0)</f>
        <v>0</v>
      </c>
      <c r="P49" s="65">
        <f>ROUND(SUMIFS(险种!Q:Q,险种!V:V,$P$1,险种!E:E,E:E),1)</f>
        <v>0</v>
      </c>
      <c r="Q49" s="68">
        <f>RANK(P49,$P:$P,0)-1</f>
        <v>5</v>
      </c>
      <c r="R49" s="68" t="str">
        <f>A:A&amp;D:D&amp;G:G&amp;"在"&amp;$P$1&amp;"预收"&amp;P:P&amp;"排名中支第"&amp;Q:Q&amp;"位"</f>
        <v>凤台王朋伙伴在20210509预收0排名中支第5位</v>
      </c>
      <c r="S49" s="65">
        <f>ROUND(SUMIFS(险种!Q:Q,险种!E:E,E:E,险种!V:V,"&lt;=20210506")-SUMIFS(险种!Q:Q,险种!U:U,"终止",险种!E:E,E:E,险种!V:V,"&lt;=20210506"),1)</f>
        <v>0</v>
      </c>
      <c r="T49" s="65">
        <f>ROUND(SUMIFS(险种!Q:Q,险种!U:U,"有效",险种!E:E,E:E,险种!V:V,"&lt;=20210506"),1)</f>
        <v>0</v>
      </c>
      <c r="U49" s="65">
        <f>ROUND(SUMIFS(险种!Q:Q,险种!E:E,E:E,险种!V:V,"&lt;=20210510")-SUMIFS(险种!Q:Q,险种!U:U,"终止",险种!E:E,E:E,险种!V:V,"&lt;=20210510"),1)</f>
        <v>0</v>
      </c>
      <c r="V49" s="65">
        <f>ROUND(SUMIFS(险种!Q:Q,险种!U:U,"有效",险种!E:E,E:E,险种!V:V,"&lt;=20210510"),1)</f>
        <v>0</v>
      </c>
      <c r="W49" s="65">
        <f t="shared" si="0"/>
        <v>0</v>
      </c>
      <c r="X49" s="68">
        <f>SUMIF(险种!E:E,E:E,险种!Y:Y)</f>
        <v>0</v>
      </c>
      <c r="Y49" s="65">
        <f>MAX(_xlfn.IFS(OR(X:X=1,X:X=2),J:J*0.1,X:X&gt;=3,J:J*0.2,X:X=0,0),IF(J:J&gt;=20000,J:J*0.2,0))</f>
        <v>0</v>
      </c>
      <c r="Z49" s="65" t="str">
        <f>A49&amp;D49&amp;G49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凤台王朋伙伴5.1-5.10预收价值保费0，首周预收3000P件数0件，预收拟加佣0元。温馨提示，保单需10日（含）前承保，目前还有0价值保费未承保,开单一件即可获得10%加佣</v>
      </c>
      <c r="AA49" s="68">
        <f>SUMIF(险种!E:E,E:E,险种!Z:Z)</f>
        <v>0</v>
      </c>
      <c r="AB49" s="65"/>
      <c r="AC49" s="68">
        <f>SUMIF(险种!E:E,E:E,险种!AA:AA)</f>
        <v>0</v>
      </c>
      <c r="AD49" s="68">
        <f>SUMIFS(险种!AA:AA,险种!U:U,"有效",险种!E:E,E:E)</f>
        <v>0</v>
      </c>
      <c r="AE49" s="68" t="str">
        <f>A49&amp;D49&amp;G49&amp;"目前获得"&amp;$AC$1&amp;AC:AC&amp;"名，获得"&amp;$AD$1&amp;AD:AD&amp;"名"</f>
        <v>凤台王朋伙伴目前获得龙虾节预收名额0名，获得龙虾节承保名额0名</v>
      </c>
      <c r="AF49" s="68">
        <f>SUMIF(认购返还案!D:D,E:E,认购返还案!E:E)</f>
        <v>200</v>
      </c>
      <c r="AG49" s="68">
        <f>_xlfn.IFS(AND(U:U&gt;=3000,U:U&lt;5000),AF:AF*0.5,U:U&gt;=5000,AF:AF*1,U:U&lt;3000,0)</f>
        <v>0</v>
      </c>
      <c r="AH49" s="68">
        <f>_xlfn.IFS(AND(V:V&gt;=3000,V:V&lt;5000),AF:AF*0.5,V:V&gt;=5000,AF:AF*1,V:V&lt;3000,0)</f>
        <v>0</v>
      </c>
      <c r="AI49" s="68" t="str">
        <f>A:A&amp;D:D&amp;G:G&amp;$AF$1&amp;AF:AF&amp;"元，目前预收价值"&amp;U:U&amp;"，"&amp;$AG$1&amp;AG:AG&amp;"元，"&amp;$AH$1&amp;AH:AH&amp;"元"</f>
        <v>凤台王朋伙伴冲锋队缴费金额200元，目前预收价值0，预收拟返还0元，承保拟返还0元</v>
      </c>
      <c r="AJ49" s="68">
        <f>SUMIF(保单!R:R,E:E,保单!BE:BE)*IF(AF:AF&gt;1,1,0)</f>
        <v>0</v>
      </c>
      <c r="AK49" s="68">
        <f>SUMIFS(保单!BE:BE,保单!R:R,E:E,保单!BB:BB,"有效")*IF(AF:AF&gt;1,1,0)</f>
        <v>0</v>
      </c>
      <c r="AL49" s="72" t="str">
        <f>A:A&amp;D:D&amp;G:G&amp;"只要在1-10日承保全部保单，即可获得"&amp;$AJ$1&amp;AJ:AJ&amp;"个"</f>
        <v>凤台王朋伙伴只要在1-10日承保全部保单，即可获得冲锋队按摩仪0个</v>
      </c>
    </row>
    <row r="50" spans="1:38">
      <c r="A50" s="64" t="s">
        <v>27</v>
      </c>
      <c r="B50" s="64" t="s">
        <v>94</v>
      </c>
      <c r="C50" s="64" t="s">
        <v>95</v>
      </c>
      <c r="D50" s="64" t="s">
        <v>290</v>
      </c>
      <c r="E50" s="64">
        <v>6551176022</v>
      </c>
      <c r="F50" s="64" t="s">
        <v>158</v>
      </c>
      <c r="G50" s="64" t="str">
        <f>IF(OR(F:F="高级经理一级",F:F="业务经理一级"),"主管","伙伴")</f>
        <v>伙伴</v>
      </c>
      <c r="H50" s="65">
        <f>SUMIF(险种!E:E,E:E,险种!R:R)-SUMIFS(险种!R:R,险种!U:U,"终止",险种!E:E,E:E)</f>
        <v>0</v>
      </c>
      <c r="I50" s="65">
        <f>SUMIFS(险种!R:R,险种!U:U,"有效",险种!E:E,E:E)</f>
        <v>0</v>
      </c>
      <c r="J50" s="65">
        <f>ROUND(SUMIF(险种!E:E,E:E,险种!Q:Q)-SUMIFS(险种!Q:Q,险种!U:U,"终止",险种!E:E,E:E),1)</f>
        <v>0</v>
      </c>
      <c r="K50" s="68">
        <f>RANK(J50,J:J)</f>
        <v>22</v>
      </c>
      <c r="L50" s="65">
        <f>ROUND(SUMIFS(险种!Q:Q,险种!U:U,"有效",险种!E:E,E:E),1)</f>
        <v>0</v>
      </c>
      <c r="M50" s="68">
        <f>RANK(L50,L:L,)</f>
        <v>14</v>
      </c>
      <c r="N50" s="68">
        <f>SUMIF(险种!E:E,E:E,险种!W:W)</f>
        <v>0</v>
      </c>
      <c r="O50" s="68">
        <f>IF(N:N&gt;=1,1,0)</f>
        <v>0</v>
      </c>
      <c r="P50" s="65">
        <f>ROUND(SUMIFS(险种!Q:Q,险种!V:V,$P$1,险种!E:E,E:E),1)</f>
        <v>0</v>
      </c>
      <c r="Q50" s="68">
        <f>RANK(P50,$P:$P,0)-1</f>
        <v>5</v>
      </c>
      <c r="R50" s="68" t="str">
        <f>A:A&amp;D:D&amp;G:G&amp;"在"&amp;$P$1&amp;"预收"&amp;P:P&amp;"排名中支第"&amp;Q:Q&amp;"位"</f>
        <v>凤台李芳芳伙伴在20210509预收0排名中支第5位</v>
      </c>
      <c r="S50" s="65">
        <f>ROUND(SUMIFS(险种!Q:Q,险种!E:E,E:E,险种!V:V,"&lt;=20210506")-SUMIFS(险种!Q:Q,险种!U:U,"终止",险种!E:E,E:E,险种!V:V,"&lt;=20210506"),1)</f>
        <v>0</v>
      </c>
      <c r="T50" s="65">
        <f>ROUND(SUMIFS(险种!Q:Q,险种!U:U,"有效",险种!E:E,E:E,险种!V:V,"&lt;=20210506"),1)</f>
        <v>0</v>
      </c>
      <c r="U50" s="65">
        <f>ROUND(SUMIFS(险种!Q:Q,险种!E:E,E:E,险种!V:V,"&lt;=20210510")-SUMIFS(险种!Q:Q,险种!U:U,"终止",险种!E:E,E:E,险种!V:V,"&lt;=20210510"),1)</f>
        <v>0</v>
      </c>
      <c r="V50" s="65">
        <f>ROUND(SUMIFS(险种!Q:Q,险种!U:U,"有效",险种!E:E,E:E,险种!V:V,"&lt;=20210510"),1)</f>
        <v>0</v>
      </c>
      <c r="W50" s="65">
        <f t="shared" si="0"/>
        <v>0</v>
      </c>
      <c r="X50" s="68">
        <f>SUMIF(险种!E:E,E:E,险种!Y:Y)</f>
        <v>0</v>
      </c>
      <c r="Y50" s="65">
        <f>MAX(_xlfn.IFS(OR(X:X=1,X:X=2),J:J*0.1,X:X&gt;=3,J:J*0.2,X:X=0,0),IF(J:J&gt;=20000,J:J*0.2,0))</f>
        <v>0</v>
      </c>
      <c r="Z50" s="65" t="str">
        <f>A50&amp;D50&amp;G50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凤台李芳芳伙伴5.1-5.10预收价值保费0，首周预收3000P件数0件，预收拟加佣0元。温馨提示，保单需10日（含）前承保，目前还有0价值保费未承保,开单一件即可获得10%加佣</v>
      </c>
      <c r="AA50" s="68">
        <f>SUMIF(险种!E:E,E:E,险种!Z:Z)</f>
        <v>0</v>
      </c>
      <c r="AB50" s="65"/>
      <c r="AC50" s="68">
        <f>SUMIF(险种!E:E,E:E,险种!AA:AA)</f>
        <v>0</v>
      </c>
      <c r="AD50" s="68">
        <f>SUMIFS(险种!AA:AA,险种!U:U,"有效",险种!E:E,E:E)</f>
        <v>0</v>
      </c>
      <c r="AE50" s="68" t="str">
        <f>A50&amp;D50&amp;G50&amp;"目前获得"&amp;$AC$1&amp;AC:AC&amp;"名，获得"&amp;$AD$1&amp;AD:AD&amp;"名"</f>
        <v>凤台李芳芳伙伴目前获得龙虾节预收名额0名，获得龙虾节承保名额0名</v>
      </c>
      <c r="AF50" s="68">
        <f>SUMIF(认购返还案!D:D,E:E,认购返还案!E:E)</f>
        <v>0</v>
      </c>
      <c r="AG50" s="68">
        <f>_xlfn.IFS(AND(U:U&gt;=3000,U:U&lt;5000),AF:AF*0.5,U:U&gt;=5000,AF:AF*1,U:U&lt;3000,0)</f>
        <v>0</v>
      </c>
      <c r="AH50" s="68">
        <f>_xlfn.IFS(AND(V:V&gt;=3000,V:V&lt;5000),AF:AF*0.5,V:V&gt;=5000,AF:AF*1,V:V&lt;3000,0)</f>
        <v>0</v>
      </c>
      <c r="AI50" s="68" t="str">
        <f>A:A&amp;D:D&amp;G:G&amp;$AF$1&amp;AF:AF&amp;"元，目前预收价值"&amp;U:U&amp;"，"&amp;$AG$1&amp;AG:AG&amp;"元，"&amp;$AH$1&amp;AH:AH&amp;"元"</f>
        <v>凤台李芳芳伙伴冲锋队缴费金额0元，目前预收价值0，预收拟返还0元，承保拟返还0元</v>
      </c>
      <c r="AJ50" s="68">
        <f>SUMIF(保单!R:R,E:E,保单!BE:BE)*IF(AF:AF&gt;1,1,0)</f>
        <v>0</v>
      </c>
      <c r="AK50" s="68">
        <f>SUMIFS(保单!BE:BE,保单!R:R,E:E,保单!BB:BB,"有效")*IF(AF:AF&gt;1,1,0)</f>
        <v>0</v>
      </c>
      <c r="AL50" s="72" t="str">
        <f>A:A&amp;D:D&amp;G:G&amp;"只要在1-10日承保全部保单，即可获得"&amp;$AJ$1&amp;AJ:AJ&amp;"个"</f>
        <v>凤台李芳芳伙伴只要在1-10日承保全部保单，即可获得冲锋队按摩仪0个</v>
      </c>
    </row>
    <row r="51" spans="1:38">
      <c r="A51" s="64" t="s">
        <v>42</v>
      </c>
      <c r="B51" s="64" t="s">
        <v>43</v>
      </c>
      <c r="C51" s="64" t="s">
        <v>75</v>
      </c>
      <c r="D51" s="64" t="s">
        <v>291</v>
      </c>
      <c r="E51" s="64">
        <v>6551158852</v>
      </c>
      <c r="F51" s="64" t="s">
        <v>158</v>
      </c>
      <c r="G51" s="64" t="str">
        <f>IF(OR(F:F="高级经理一级",F:F="业务经理一级"),"主管","伙伴")</f>
        <v>伙伴</v>
      </c>
      <c r="H51" s="65">
        <f>SUMIF(险种!E:E,E:E,险种!R:R)-SUMIFS(险种!R:R,险种!U:U,"终止",险种!E:E,E:E)</f>
        <v>0</v>
      </c>
      <c r="I51" s="65">
        <f>SUMIFS(险种!R:R,险种!U:U,"有效",险种!E:E,E:E)</f>
        <v>0</v>
      </c>
      <c r="J51" s="65">
        <f>ROUND(SUMIF(险种!E:E,E:E,险种!Q:Q)-SUMIFS(险种!Q:Q,险种!U:U,"终止",险种!E:E,E:E),1)</f>
        <v>0</v>
      </c>
      <c r="K51" s="68">
        <f>RANK(J51,J:J)</f>
        <v>22</v>
      </c>
      <c r="L51" s="65">
        <f>ROUND(SUMIFS(险种!Q:Q,险种!U:U,"有效",险种!E:E,E:E),1)</f>
        <v>0</v>
      </c>
      <c r="M51" s="68">
        <f>RANK(L51,L:L,)</f>
        <v>14</v>
      </c>
      <c r="N51" s="68">
        <f>SUMIF(险种!E:E,E:E,险种!W:W)</f>
        <v>0</v>
      </c>
      <c r="O51" s="68">
        <f>IF(N:N&gt;=1,1,0)</f>
        <v>0</v>
      </c>
      <c r="P51" s="65">
        <f>ROUND(SUMIFS(险种!Q:Q,险种!V:V,$P$1,险种!E:E,E:E),1)</f>
        <v>0</v>
      </c>
      <c r="Q51" s="68">
        <f>RANK(P51,$P:$P,0)-1</f>
        <v>5</v>
      </c>
      <c r="R51" s="68" t="str">
        <f>A:A&amp;D:D&amp;G:G&amp;"在"&amp;$P$1&amp;"预收"&amp;P:P&amp;"排名中支第"&amp;Q:Q&amp;"位"</f>
        <v>淮南本部程娇娇伙伴在20210509预收0排名中支第5位</v>
      </c>
      <c r="S51" s="65">
        <f>ROUND(SUMIFS(险种!Q:Q,险种!E:E,E:E,险种!V:V,"&lt;=20210506")-SUMIFS(险种!Q:Q,险种!U:U,"终止",险种!E:E,E:E,险种!V:V,"&lt;=20210506"),1)</f>
        <v>0</v>
      </c>
      <c r="T51" s="65">
        <f>ROUND(SUMIFS(险种!Q:Q,险种!U:U,"有效",险种!E:E,E:E,险种!V:V,"&lt;=20210506"),1)</f>
        <v>0</v>
      </c>
      <c r="U51" s="65">
        <f>ROUND(SUMIFS(险种!Q:Q,险种!E:E,E:E,险种!V:V,"&lt;=20210510")-SUMIFS(险种!Q:Q,险种!U:U,"终止",险种!E:E,E:E,险种!V:V,"&lt;=20210510"),1)</f>
        <v>0</v>
      </c>
      <c r="V51" s="65">
        <f>ROUND(SUMIFS(险种!Q:Q,险种!U:U,"有效",险种!E:E,E:E,险种!V:V,"&lt;=20210510"),1)</f>
        <v>0</v>
      </c>
      <c r="W51" s="65">
        <f t="shared" si="0"/>
        <v>0</v>
      </c>
      <c r="X51" s="68">
        <f>SUMIF(险种!E:E,E:E,险种!Y:Y)</f>
        <v>0</v>
      </c>
      <c r="Y51" s="65">
        <f>MAX(_xlfn.IFS(OR(X:X=1,X:X=2),J:J*0.1,X:X&gt;=3,J:J*0.2,X:X=0,0),IF(J:J&gt;=20000,J:J*0.2,0))</f>
        <v>0</v>
      </c>
      <c r="Z51" s="65" t="str">
        <f>A51&amp;D51&amp;G51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淮南本部程娇娇伙伴5.1-5.10预收价值保费0，首周预收3000P件数0件，预收拟加佣0元。温馨提示，保单需10日（含）前承保，目前还有0价值保费未承保,开单一件即可获得10%加佣</v>
      </c>
      <c r="AA51" s="68">
        <f>SUMIF(险种!E:E,E:E,险种!Z:Z)</f>
        <v>0</v>
      </c>
      <c r="AB51" s="65"/>
      <c r="AC51" s="68">
        <f>SUMIF(险种!E:E,E:E,险种!AA:AA)</f>
        <v>0</v>
      </c>
      <c r="AD51" s="68">
        <f>SUMIFS(险种!AA:AA,险种!U:U,"有效",险种!E:E,E:E)</f>
        <v>0</v>
      </c>
      <c r="AE51" s="68" t="str">
        <f>A51&amp;D51&amp;G51&amp;"目前获得"&amp;$AC$1&amp;AC:AC&amp;"名，获得"&amp;$AD$1&amp;AD:AD&amp;"名"</f>
        <v>淮南本部程娇娇伙伴目前获得龙虾节预收名额0名，获得龙虾节承保名额0名</v>
      </c>
      <c r="AF51" s="68">
        <f>SUMIF(认购返还案!D:D,E:E,认购返还案!E:E)</f>
        <v>0</v>
      </c>
      <c r="AG51" s="68">
        <f>_xlfn.IFS(AND(U:U&gt;=3000,U:U&lt;5000),AF:AF*0.5,U:U&gt;=5000,AF:AF*1,U:U&lt;3000,0)</f>
        <v>0</v>
      </c>
      <c r="AH51" s="68">
        <f>_xlfn.IFS(AND(V:V&gt;=3000,V:V&lt;5000),AF:AF*0.5,V:V&gt;=5000,AF:AF*1,V:V&lt;3000,0)</f>
        <v>0</v>
      </c>
      <c r="AI51" s="68" t="str">
        <f>A:A&amp;D:D&amp;G:G&amp;$AF$1&amp;AF:AF&amp;"元，目前预收价值"&amp;U:U&amp;"，"&amp;$AG$1&amp;AG:AG&amp;"元，"&amp;$AH$1&amp;AH:AH&amp;"元"</f>
        <v>淮南本部程娇娇伙伴冲锋队缴费金额0元，目前预收价值0，预收拟返还0元，承保拟返还0元</v>
      </c>
      <c r="AJ51" s="68">
        <f>SUMIF(保单!R:R,E:E,保单!BE:BE)*IF(AF:AF&gt;1,1,0)</f>
        <v>0</v>
      </c>
      <c r="AK51" s="68">
        <f>SUMIFS(保单!BE:BE,保单!R:R,E:E,保单!BB:BB,"有效")*IF(AF:AF&gt;1,1,0)</f>
        <v>0</v>
      </c>
      <c r="AL51" s="72" t="str">
        <f>A:A&amp;D:D&amp;G:G&amp;"只要在1-10日承保全部保单，即可获得"&amp;$AJ$1&amp;AJ:AJ&amp;"个"</f>
        <v>淮南本部程娇娇伙伴只要在1-10日承保全部保单，即可获得冲锋队按摩仪0个</v>
      </c>
    </row>
    <row r="52" spans="1:38">
      <c r="A52" s="64" t="s">
        <v>48</v>
      </c>
      <c r="B52" s="64" t="s">
        <v>49</v>
      </c>
      <c r="C52" s="64" t="s">
        <v>50</v>
      </c>
      <c r="D52" s="64" t="s">
        <v>292</v>
      </c>
      <c r="E52" s="64">
        <v>6550477082</v>
      </c>
      <c r="F52" s="64" t="s">
        <v>158</v>
      </c>
      <c r="G52" s="64" t="str">
        <f>IF(OR(F:F="高级经理一级",F:F="业务经理一级"),"主管","伙伴")</f>
        <v>伙伴</v>
      </c>
      <c r="H52" s="65">
        <f>SUMIF(险种!E:E,E:E,险种!R:R)-SUMIFS(险种!R:R,险种!U:U,"终止",险种!E:E,E:E)</f>
        <v>0</v>
      </c>
      <c r="I52" s="65">
        <f>SUMIFS(险种!R:R,险种!U:U,"有效",险种!E:E,E:E)</f>
        <v>0</v>
      </c>
      <c r="J52" s="65">
        <f>ROUND(SUMIF(险种!E:E,E:E,险种!Q:Q)-SUMIFS(险种!Q:Q,险种!U:U,"终止",险种!E:E,E:E),1)</f>
        <v>0</v>
      </c>
      <c r="K52" s="68">
        <f>RANK(J52,J:J)</f>
        <v>22</v>
      </c>
      <c r="L52" s="65">
        <f>ROUND(SUMIFS(险种!Q:Q,险种!U:U,"有效",险种!E:E,E:E),1)</f>
        <v>0</v>
      </c>
      <c r="M52" s="68">
        <f>RANK(L52,L:L,)</f>
        <v>14</v>
      </c>
      <c r="N52" s="68">
        <f>SUMIF(险种!E:E,E:E,险种!W:W)</f>
        <v>0</v>
      </c>
      <c r="O52" s="68">
        <f>IF(N:N&gt;=1,1,0)</f>
        <v>0</v>
      </c>
      <c r="P52" s="65">
        <f>ROUND(SUMIFS(险种!Q:Q,险种!V:V,$P$1,险种!E:E,E:E),1)</f>
        <v>0</v>
      </c>
      <c r="Q52" s="68">
        <f>RANK(P52,$P:$P,0)-1</f>
        <v>5</v>
      </c>
      <c r="R52" s="68" t="str">
        <f>A:A&amp;D:D&amp;G:G&amp;"在"&amp;$P$1&amp;"预收"&amp;P:P&amp;"排名中支第"&amp;Q:Q&amp;"位"</f>
        <v>谢家集陈晓艳伙伴在20210509预收0排名中支第5位</v>
      </c>
      <c r="S52" s="65">
        <f>ROUND(SUMIFS(险种!Q:Q,险种!E:E,E:E,险种!V:V,"&lt;=20210506")-SUMIFS(险种!Q:Q,险种!U:U,"终止",险种!E:E,E:E,险种!V:V,"&lt;=20210506"),1)</f>
        <v>0</v>
      </c>
      <c r="T52" s="65">
        <f>ROUND(SUMIFS(险种!Q:Q,险种!U:U,"有效",险种!E:E,E:E,险种!V:V,"&lt;=20210506"),1)</f>
        <v>0</v>
      </c>
      <c r="U52" s="65">
        <f>ROUND(SUMIFS(险种!Q:Q,险种!E:E,E:E,险种!V:V,"&lt;=20210510")-SUMIFS(险种!Q:Q,险种!U:U,"终止",险种!E:E,E:E,险种!V:V,"&lt;=20210510"),1)</f>
        <v>0</v>
      </c>
      <c r="V52" s="65">
        <f>ROUND(SUMIFS(险种!Q:Q,险种!U:U,"有效",险种!E:E,E:E,险种!V:V,"&lt;=20210510"),1)</f>
        <v>0</v>
      </c>
      <c r="W52" s="65">
        <f t="shared" si="0"/>
        <v>0</v>
      </c>
      <c r="X52" s="68">
        <f>SUMIF(险种!E:E,E:E,险种!Y:Y)</f>
        <v>0</v>
      </c>
      <c r="Y52" s="65">
        <f>MAX(_xlfn.IFS(OR(X:X=1,X:X=2),J:J*0.1,X:X&gt;=3,J:J*0.2,X:X=0,0),IF(J:J&gt;=20000,J:J*0.2,0))</f>
        <v>0</v>
      </c>
      <c r="Z52" s="65" t="str">
        <f>A52&amp;D52&amp;G52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谢家集陈晓艳伙伴5.1-5.10预收价值保费0，首周预收3000P件数0件，预收拟加佣0元。温馨提示，保单需10日（含）前承保，目前还有0价值保费未承保,开单一件即可获得10%加佣</v>
      </c>
      <c r="AA52" s="68">
        <f>SUMIF(险种!E:E,E:E,险种!Z:Z)</f>
        <v>0</v>
      </c>
      <c r="AB52" s="65"/>
      <c r="AC52" s="68">
        <f>SUMIF(险种!E:E,E:E,险种!AA:AA)</f>
        <v>0</v>
      </c>
      <c r="AD52" s="68">
        <f>SUMIFS(险种!AA:AA,险种!U:U,"有效",险种!E:E,E:E)</f>
        <v>0</v>
      </c>
      <c r="AE52" s="68" t="str">
        <f>A52&amp;D52&amp;G52&amp;"目前获得"&amp;$AC$1&amp;AC:AC&amp;"名，获得"&amp;$AD$1&amp;AD:AD&amp;"名"</f>
        <v>谢家集陈晓艳伙伴目前获得龙虾节预收名额0名，获得龙虾节承保名额0名</v>
      </c>
      <c r="AF52" s="68">
        <f>SUMIF(认购返还案!D:D,E:E,认购返还案!E:E)</f>
        <v>0</v>
      </c>
      <c r="AG52" s="68">
        <f>_xlfn.IFS(AND(U:U&gt;=3000,U:U&lt;5000),AF:AF*0.5,U:U&gt;=5000,AF:AF*1,U:U&lt;3000,0)</f>
        <v>0</v>
      </c>
      <c r="AH52" s="68">
        <f>_xlfn.IFS(AND(V:V&gt;=3000,V:V&lt;5000),AF:AF*0.5,V:V&gt;=5000,AF:AF*1,V:V&lt;3000,0)</f>
        <v>0</v>
      </c>
      <c r="AI52" s="68" t="str">
        <f>A:A&amp;D:D&amp;G:G&amp;$AF$1&amp;AF:AF&amp;"元，目前预收价值"&amp;U:U&amp;"，"&amp;$AG$1&amp;AG:AG&amp;"元，"&amp;$AH$1&amp;AH:AH&amp;"元"</f>
        <v>谢家集陈晓艳伙伴冲锋队缴费金额0元，目前预收价值0，预收拟返还0元，承保拟返还0元</v>
      </c>
      <c r="AJ52" s="68">
        <f>SUMIF(保单!R:R,E:E,保单!BE:BE)*IF(AF:AF&gt;1,1,0)</f>
        <v>0</v>
      </c>
      <c r="AK52" s="68">
        <f>SUMIFS(保单!BE:BE,保单!R:R,E:E,保单!BB:BB,"有效")*IF(AF:AF&gt;1,1,0)</f>
        <v>0</v>
      </c>
      <c r="AL52" s="72" t="str">
        <f>A:A&amp;D:D&amp;G:G&amp;"只要在1-10日承保全部保单，即可获得"&amp;$AJ$1&amp;AJ:AJ&amp;"个"</f>
        <v>谢家集陈晓艳伙伴只要在1-10日承保全部保单，即可获得冲锋队按摩仪0个</v>
      </c>
    </row>
    <row r="53" spans="1:38">
      <c r="A53" s="64" t="s">
        <v>27</v>
      </c>
      <c r="B53" s="64" t="s">
        <v>100</v>
      </c>
      <c r="C53" s="64" t="s">
        <v>101</v>
      </c>
      <c r="D53" s="64" t="s">
        <v>106</v>
      </c>
      <c r="E53" s="64">
        <v>6550456242</v>
      </c>
      <c r="F53" s="64" t="s">
        <v>158</v>
      </c>
      <c r="G53" s="64" t="str">
        <f>IF(OR(F:F="高级经理一级",F:F="业务经理一级"),"主管","伙伴")</f>
        <v>伙伴</v>
      </c>
      <c r="H53" s="65">
        <f>SUMIF(险种!E:E,E:E,险种!R:R)-SUMIFS(险种!R:R,险种!U:U,"终止",险种!E:E,E:E)</f>
        <v>0</v>
      </c>
      <c r="I53" s="65">
        <f>SUMIFS(险种!R:R,险种!U:U,"有效",险种!E:E,E:E)</f>
        <v>0</v>
      </c>
      <c r="J53" s="65">
        <f>ROUND(SUMIF(险种!E:E,E:E,险种!Q:Q)-SUMIFS(险种!Q:Q,险种!U:U,"终止",险种!E:E,E:E),1)</f>
        <v>0</v>
      </c>
      <c r="K53" s="68">
        <f>RANK(J53,J:J)</f>
        <v>22</v>
      </c>
      <c r="L53" s="65">
        <f>ROUND(SUMIFS(险种!Q:Q,险种!U:U,"有效",险种!E:E,E:E),1)</f>
        <v>0</v>
      </c>
      <c r="M53" s="68">
        <f>RANK(L53,L:L,)</f>
        <v>14</v>
      </c>
      <c r="N53" s="68">
        <f>SUMIF(险种!E:E,E:E,险种!W:W)</f>
        <v>0</v>
      </c>
      <c r="O53" s="68">
        <f>IF(N:N&gt;=1,1,0)</f>
        <v>0</v>
      </c>
      <c r="P53" s="65">
        <f>ROUND(SUMIFS(险种!Q:Q,险种!V:V,$P$1,险种!E:E,E:E),1)</f>
        <v>0</v>
      </c>
      <c r="Q53" s="68">
        <f>RANK(P53,$P:$P,0)-1</f>
        <v>5</v>
      </c>
      <c r="R53" s="68" t="str">
        <f>A:A&amp;D:D&amp;G:G&amp;"在"&amp;$P$1&amp;"预收"&amp;P:P&amp;"排名中支第"&amp;Q:Q&amp;"位"</f>
        <v>凤台郑皓月伙伴在20210509预收0排名中支第5位</v>
      </c>
      <c r="S53" s="65">
        <f>ROUND(SUMIFS(险种!Q:Q,险种!E:E,E:E,险种!V:V,"&lt;=20210506")-SUMIFS(险种!Q:Q,险种!U:U,"终止",险种!E:E,E:E,险种!V:V,"&lt;=20210506"),1)</f>
        <v>0</v>
      </c>
      <c r="T53" s="65">
        <f>ROUND(SUMIFS(险种!Q:Q,险种!U:U,"有效",险种!E:E,E:E,险种!V:V,"&lt;=20210506"),1)</f>
        <v>0</v>
      </c>
      <c r="U53" s="65">
        <f>ROUND(SUMIFS(险种!Q:Q,险种!E:E,E:E,险种!V:V,"&lt;=20210510")-SUMIFS(险种!Q:Q,险种!U:U,"终止",险种!E:E,E:E,险种!V:V,"&lt;=20210510"),1)</f>
        <v>0</v>
      </c>
      <c r="V53" s="65">
        <f>ROUND(SUMIFS(险种!Q:Q,险种!U:U,"有效",险种!E:E,E:E,险种!V:V,"&lt;=20210510"),1)</f>
        <v>0</v>
      </c>
      <c r="W53" s="65">
        <f t="shared" si="0"/>
        <v>0</v>
      </c>
      <c r="X53" s="68">
        <f>SUMIF(险种!E:E,E:E,险种!Y:Y)</f>
        <v>0</v>
      </c>
      <c r="Y53" s="65">
        <f>MAX(_xlfn.IFS(OR(X:X=1,X:X=2),J:J*0.1,X:X&gt;=3,J:J*0.2,X:X=0,0),IF(J:J&gt;=20000,J:J*0.2,0))</f>
        <v>0</v>
      </c>
      <c r="Z53" s="65" t="str">
        <f>A53&amp;D53&amp;G53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凤台郑皓月伙伴5.1-5.10预收价值保费0，首周预收3000P件数0件，预收拟加佣0元。温馨提示，保单需10日（含）前承保，目前还有0价值保费未承保,开单一件即可获得10%加佣</v>
      </c>
      <c r="AA53" s="68">
        <f>SUMIF(险种!E:E,E:E,险种!Z:Z)</f>
        <v>0</v>
      </c>
      <c r="AB53" s="65"/>
      <c r="AC53" s="68">
        <f>SUMIF(险种!E:E,E:E,险种!AA:AA)</f>
        <v>0</v>
      </c>
      <c r="AD53" s="68">
        <f>SUMIFS(险种!AA:AA,险种!U:U,"有效",险种!E:E,E:E)</f>
        <v>0</v>
      </c>
      <c r="AE53" s="68" t="str">
        <f>A53&amp;D53&amp;G53&amp;"目前获得"&amp;$AC$1&amp;AC:AC&amp;"名，获得"&amp;$AD$1&amp;AD:AD&amp;"名"</f>
        <v>凤台郑皓月伙伴目前获得龙虾节预收名额0名，获得龙虾节承保名额0名</v>
      </c>
      <c r="AF53" s="68">
        <f>SUMIF(认购返还案!D:D,E:E,认购返还案!E:E)</f>
        <v>200</v>
      </c>
      <c r="AG53" s="68">
        <f>_xlfn.IFS(AND(U:U&gt;=3000,U:U&lt;5000),AF:AF*0.5,U:U&gt;=5000,AF:AF*1,U:U&lt;3000,0)</f>
        <v>0</v>
      </c>
      <c r="AH53" s="68">
        <f>_xlfn.IFS(AND(V:V&gt;=3000,V:V&lt;5000),AF:AF*0.5,V:V&gt;=5000,AF:AF*1,V:V&lt;3000,0)</f>
        <v>0</v>
      </c>
      <c r="AI53" s="68" t="str">
        <f>A:A&amp;D:D&amp;G:G&amp;$AF$1&amp;AF:AF&amp;"元，目前预收价值"&amp;U:U&amp;"，"&amp;$AG$1&amp;AG:AG&amp;"元，"&amp;$AH$1&amp;AH:AH&amp;"元"</f>
        <v>凤台郑皓月伙伴冲锋队缴费金额200元，目前预收价值0，预收拟返还0元，承保拟返还0元</v>
      </c>
      <c r="AJ53" s="68">
        <f>SUMIF(保单!R:R,E:E,保单!BE:BE)*IF(AF:AF&gt;1,1,0)</f>
        <v>0</v>
      </c>
      <c r="AK53" s="68">
        <f>SUMIFS(保单!BE:BE,保单!R:R,E:E,保单!BB:BB,"有效")*IF(AF:AF&gt;1,1,0)</f>
        <v>0</v>
      </c>
      <c r="AL53" s="72" t="str">
        <f>A:A&amp;D:D&amp;G:G&amp;"只要在1-10日承保全部保单，即可获得"&amp;$AJ$1&amp;AJ:AJ&amp;"个"</f>
        <v>凤台郑皓月伙伴只要在1-10日承保全部保单，即可获得冲锋队按摩仪0个</v>
      </c>
    </row>
    <row r="54" spans="1:38">
      <c r="A54" s="64" t="s">
        <v>48</v>
      </c>
      <c r="B54" s="64" t="s">
        <v>49</v>
      </c>
      <c r="C54" s="64" t="s">
        <v>50</v>
      </c>
      <c r="D54" s="64" t="s">
        <v>293</v>
      </c>
      <c r="E54" s="64">
        <v>6549661202</v>
      </c>
      <c r="F54" s="64" t="s">
        <v>158</v>
      </c>
      <c r="G54" s="64" t="str">
        <f>IF(OR(F:F="高级经理一级",F:F="业务经理一级"),"主管","伙伴")</f>
        <v>伙伴</v>
      </c>
      <c r="H54" s="65">
        <f>SUMIF(险种!E:E,E:E,险种!R:R)-SUMIFS(险种!R:R,险种!U:U,"终止",险种!E:E,E:E)</f>
        <v>0</v>
      </c>
      <c r="I54" s="65">
        <f>SUMIFS(险种!R:R,险种!U:U,"有效",险种!E:E,E:E)</f>
        <v>0</v>
      </c>
      <c r="J54" s="65">
        <f>ROUND(SUMIF(险种!E:E,E:E,险种!Q:Q)-SUMIFS(险种!Q:Q,险种!U:U,"终止",险种!E:E,E:E),1)</f>
        <v>0</v>
      </c>
      <c r="K54" s="68">
        <f>RANK(J54,J:J)</f>
        <v>22</v>
      </c>
      <c r="L54" s="65">
        <f>ROUND(SUMIFS(险种!Q:Q,险种!U:U,"有效",险种!E:E,E:E),1)</f>
        <v>0</v>
      </c>
      <c r="M54" s="68">
        <f>RANK(L54,L:L,)</f>
        <v>14</v>
      </c>
      <c r="N54" s="68">
        <f>SUMIF(险种!E:E,E:E,险种!W:W)</f>
        <v>0</v>
      </c>
      <c r="O54" s="68">
        <f>IF(N:N&gt;=1,1,0)</f>
        <v>0</v>
      </c>
      <c r="P54" s="65">
        <f>ROUND(SUMIFS(险种!Q:Q,险种!V:V,$P$1,险种!E:E,E:E),1)</f>
        <v>0</v>
      </c>
      <c r="Q54" s="68">
        <f>RANK(P54,$P:$P,0)-1</f>
        <v>5</v>
      </c>
      <c r="R54" s="68" t="str">
        <f>A:A&amp;D:D&amp;G:G&amp;"在"&amp;$P$1&amp;"预收"&amp;P:P&amp;"排名中支第"&amp;Q:Q&amp;"位"</f>
        <v>谢家集陶松梅伙伴在20210509预收0排名中支第5位</v>
      </c>
      <c r="S54" s="65">
        <f>ROUND(SUMIFS(险种!Q:Q,险种!E:E,E:E,险种!V:V,"&lt;=20210506")-SUMIFS(险种!Q:Q,险种!U:U,"终止",险种!E:E,E:E,险种!V:V,"&lt;=20210506"),1)</f>
        <v>0</v>
      </c>
      <c r="T54" s="65">
        <f>ROUND(SUMIFS(险种!Q:Q,险种!U:U,"有效",险种!E:E,E:E,险种!V:V,"&lt;=20210506"),1)</f>
        <v>0</v>
      </c>
      <c r="U54" s="65">
        <f>ROUND(SUMIFS(险种!Q:Q,险种!E:E,E:E,险种!V:V,"&lt;=20210510")-SUMIFS(险种!Q:Q,险种!U:U,"终止",险种!E:E,E:E,险种!V:V,"&lt;=20210510"),1)</f>
        <v>0</v>
      </c>
      <c r="V54" s="65">
        <f>ROUND(SUMIFS(险种!Q:Q,险种!U:U,"有效",险种!E:E,E:E,险种!V:V,"&lt;=20210510"),1)</f>
        <v>0</v>
      </c>
      <c r="W54" s="65">
        <f t="shared" si="0"/>
        <v>0</v>
      </c>
      <c r="X54" s="68">
        <f>SUMIF(险种!E:E,E:E,险种!Y:Y)</f>
        <v>0</v>
      </c>
      <c r="Y54" s="65">
        <f>MAX(_xlfn.IFS(OR(X:X=1,X:X=2),J:J*0.1,X:X&gt;=3,J:J*0.2,X:X=0,0),IF(J:J&gt;=20000,J:J*0.2,0))</f>
        <v>0</v>
      </c>
      <c r="Z54" s="65" t="str">
        <f>A54&amp;D54&amp;G54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谢家集陶松梅伙伴5.1-5.10预收价值保费0，首周预收3000P件数0件，预收拟加佣0元。温馨提示，保单需10日（含）前承保，目前还有0价值保费未承保,开单一件即可获得10%加佣</v>
      </c>
      <c r="AA54" s="68">
        <f>SUMIF(险种!E:E,E:E,险种!Z:Z)</f>
        <v>0</v>
      </c>
      <c r="AB54" s="65"/>
      <c r="AC54" s="68">
        <f>SUMIF(险种!E:E,E:E,险种!AA:AA)</f>
        <v>0</v>
      </c>
      <c r="AD54" s="68">
        <f>SUMIFS(险种!AA:AA,险种!U:U,"有效",险种!E:E,E:E)</f>
        <v>0</v>
      </c>
      <c r="AE54" s="68" t="str">
        <f>A54&amp;D54&amp;G54&amp;"目前获得"&amp;$AC$1&amp;AC:AC&amp;"名，获得"&amp;$AD$1&amp;AD:AD&amp;"名"</f>
        <v>谢家集陶松梅伙伴目前获得龙虾节预收名额0名，获得龙虾节承保名额0名</v>
      </c>
      <c r="AF54" s="68">
        <f>SUMIF(认购返还案!D:D,E:E,认购返还案!E:E)</f>
        <v>0</v>
      </c>
      <c r="AG54" s="68">
        <f>_xlfn.IFS(AND(U:U&gt;=3000,U:U&lt;5000),AF:AF*0.5,U:U&gt;=5000,AF:AF*1,U:U&lt;3000,0)</f>
        <v>0</v>
      </c>
      <c r="AH54" s="68">
        <f>_xlfn.IFS(AND(V:V&gt;=3000,V:V&lt;5000),AF:AF*0.5,V:V&gt;=5000,AF:AF*1,V:V&lt;3000,0)</f>
        <v>0</v>
      </c>
      <c r="AI54" s="68" t="str">
        <f>A:A&amp;D:D&amp;G:G&amp;$AF$1&amp;AF:AF&amp;"元，目前预收价值"&amp;U:U&amp;"，"&amp;$AG$1&amp;AG:AG&amp;"元，"&amp;$AH$1&amp;AH:AH&amp;"元"</f>
        <v>谢家集陶松梅伙伴冲锋队缴费金额0元，目前预收价值0，预收拟返还0元，承保拟返还0元</v>
      </c>
      <c r="AJ54" s="68">
        <f>SUMIF(保单!R:R,E:E,保单!BE:BE)*IF(AF:AF&gt;1,1,0)</f>
        <v>0</v>
      </c>
      <c r="AK54" s="68">
        <f>SUMIFS(保单!BE:BE,保单!R:R,E:E,保单!BB:BB,"有效")*IF(AF:AF&gt;1,1,0)</f>
        <v>0</v>
      </c>
      <c r="AL54" s="72" t="str">
        <f>A:A&amp;D:D&amp;G:G&amp;"只要在1-10日承保全部保单，即可获得"&amp;$AJ$1&amp;AJ:AJ&amp;"个"</f>
        <v>谢家集陶松梅伙伴只要在1-10日承保全部保单，即可获得冲锋队按摩仪0个</v>
      </c>
    </row>
    <row r="55" spans="1:38">
      <c r="A55" s="64" t="s">
        <v>27</v>
      </c>
      <c r="B55" s="64" t="s">
        <v>294</v>
      </c>
      <c r="C55" s="64" t="s">
        <v>295</v>
      </c>
      <c r="D55" s="64" t="s">
        <v>296</v>
      </c>
      <c r="E55" s="64">
        <v>6549233322</v>
      </c>
      <c r="F55" s="64" t="s">
        <v>158</v>
      </c>
      <c r="G55" s="64" t="str">
        <f>IF(OR(F:F="高级经理一级",F:F="业务经理一级"),"主管","伙伴")</f>
        <v>伙伴</v>
      </c>
      <c r="H55" s="65">
        <f>SUMIF(险种!E:E,E:E,险种!R:R)-SUMIFS(险种!R:R,险种!U:U,"终止",险种!E:E,E:E)</f>
        <v>0</v>
      </c>
      <c r="I55" s="65">
        <f>SUMIFS(险种!R:R,险种!U:U,"有效",险种!E:E,E:E)</f>
        <v>0</v>
      </c>
      <c r="J55" s="65">
        <f>ROUND(SUMIF(险种!E:E,E:E,险种!Q:Q)-SUMIFS(险种!Q:Q,险种!U:U,"终止",险种!E:E,E:E),1)</f>
        <v>0</v>
      </c>
      <c r="K55" s="68">
        <f>RANK(J55,J:J)</f>
        <v>22</v>
      </c>
      <c r="L55" s="65">
        <f>ROUND(SUMIFS(险种!Q:Q,险种!U:U,"有效",险种!E:E,E:E),1)</f>
        <v>0</v>
      </c>
      <c r="M55" s="68">
        <f>RANK(L55,L:L,)</f>
        <v>14</v>
      </c>
      <c r="N55" s="68">
        <f>SUMIF(险种!E:E,E:E,险种!W:W)</f>
        <v>0</v>
      </c>
      <c r="O55" s="68">
        <f>IF(N:N&gt;=1,1,0)</f>
        <v>0</v>
      </c>
      <c r="P55" s="65">
        <f>ROUND(SUMIFS(险种!Q:Q,险种!V:V,$P$1,险种!E:E,E:E),1)</f>
        <v>0</v>
      </c>
      <c r="Q55" s="68">
        <f>RANK(P55,$P:$P,0)-1</f>
        <v>5</v>
      </c>
      <c r="R55" s="68" t="str">
        <f>A:A&amp;D:D&amp;G:G&amp;"在"&amp;$P$1&amp;"预收"&amp;P:P&amp;"排名中支第"&amp;Q:Q&amp;"位"</f>
        <v>凤台刘杰伙伴在20210509预收0排名中支第5位</v>
      </c>
      <c r="S55" s="65">
        <f>ROUND(SUMIFS(险种!Q:Q,险种!E:E,E:E,险种!V:V,"&lt;=20210506")-SUMIFS(险种!Q:Q,险种!U:U,"终止",险种!E:E,E:E,险种!V:V,"&lt;=20210506"),1)</f>
        <v>0</v>
      </c>
      <c r="T55" s="65">
        <f>ROUND(SUMIFS(险种!Q:Q,险种!U:U,"有效",险种!E:E,E:E,险种!V:V,"&lt;=20210506"),1)</f>
        <v>0</v>
      </c>
      <c r="U55" s="65">
        <f>ROUND(SUMIFS(险种!Q:Q,险种!E:E,E:E,险种!V:V,"&lt;=20210510")-SUMIFS(险种!Q:Q,险种!U:U,"终止",险种!E:E,E:E,险种!V:V,"&lt;=20210510"),1)</f>
        <v>0</v>
      </c>
      <c r="V55" s="65">
        <f>ROUND(SUMIFS(险种!Q:Q,险种!U:U,"有效",险种!E:E,E:E,险种!V:V,"&lt;=20210510"),1)</f>
        <v>0</v>
      </c>
      <c r="W55" s="65">
        <f t="shared" si="0"/>
        <v>0</v>
      </c>
      <c r="X55" s="68">
        <f>SUMIF(险种!E:E,E:E,险种!Y:Y)</f>
        <v>0</v>
      </c>
      <c r="Y55" s="65">
        <f>MAX(_xlfn.IFS(OR(X:X=1,X:X=2),J:J*0.1,X:X&gt;=3,J:J*0.2,X:X=0,0),IF(J:J&gt;=20000,J:J*0.2,0))</f>
        <v>0</v>
      </c>
      <c r="Z55" s="65" t="str">
        <f>A55&amp;D55&amp;G55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凤台刘杰伙伴5.1-5.10预收价值保费0，首周预收3000P件数0件，预收拟加佣0元。温馨提示，保单需10日（含）前承保，目前还有0价值保费未承保,开单一件即可获得10%加佣</v>
      </c>
      <c r="AA55" s="68">
        <f>SUMIF(险种!E:E,E:E,险种!Z:Z)</f>
        <v>0</v>
      </c>
      <c r="AB55" s="65"/>
      <c r="AC55" s="68">
        <f>SUMIF(险种!E:E,E:E,险种!AA:AA)</f>
        <v>0</v>
      </c>
      <c r="AD55" s="68">
        <f>SUMIFS(险种!AA:AA,险种!U:U,"有效",险种!E:E,E:E)</f>
        <v>0</v>
      </c>
      <c r="AE55" s="68" t="str">
        <f>A55&amp;D55&amp;G55&amp;"目前获得"&amp;$AC$1&amp;AC:AC&amp;"名，获得"&amp;$AD$1&amp;AD:AD&amp;"名"</f>
        <v>凤台刘杰伙伴目前获得龙虾节预收名额0名，获得龙虾节承保名额0名</v>
      </c>
      <c r="AF55" s="68">
        <f>SUMIF(认购返还案!D:D,E:E,认购返还案!E:E)</f>
        <v>0</v>
      </c>
      <c r="AG55" s="68">
        <f>_xlfn.IFS(AND(U:U&gt;=3000,U:U&lt;5000),AF:AF*0.5,U:U&gt;=5000,AF:AF*1,U:U&lt;3000,0)</f>
        <v>0</v>
      </c>
      <c r="AH55" s="68">
        <f>_xlfn.IFS(AND(V:V&gt;=3000,V:V&lt;5000),AF:AF*0.5,V:V&gt;=5000,AF:AF*1,V:V&lt;3000,0)</f>
        <v>0</v>
      </c>
      <c r="AI55" s="68" t="str">
        <f>A:A&amp;D:D&amp;G:G&amp;$AF$1&amp;AF:AF&amp;"元，目前预收价值"&amp;U:U&amp;"，"&amp;$AG$1&amp;AG:AG&amp;"元，"&amp;$AH$1&amp;AH:AH&amp;"元"</f>
        <v>凤台刘杰伙伴冲锋队缴费金额0元，目前预收价值0，预收拟返还0元，承保拟返还0元</v>
      </c>
      <c r="AJ55" s="68">
        <f>SUMIF(保单!R:R,E:E,保单!BE:BE)*IF(AF:AF&gt;1,1,0)</f>
        <v>0</v>
      </c>
      <c r="AK55" s="68">
        <f>SUMIFS(保单!BE:BE,保单!R:R,E:E,保单!BB:BB,"有效")*IF(AF:AF&gt;1,1,0)</f>
        <v>0</v>
      </c>
      <c r="AL55" s="72" t="str">
        <f>A:A&amp;D:D&amp;G:G&amp;"只要在1-10日承保全部保单，即可获得"&amp;$AJ$1&amp;AJ:AJ&amp;"个"</f>
        <v>凤台刘杰伙伴只要在1-10日承保全部保单，即可获得冲锋队按摩仪0个</v>
      </c>
    </row>
    <row r="56" spans="1:38">
      <c r="A56" s="64" t="s">
        <v>27</v>
      </c>
      <c r="B56" s="64" t="s">
        <v>100</v>
      </c>
      <c r="C56" s="64" t="s">
        <v>101</v>
      </c>
      <c r="D56" s="64" t="s">
        <v>297</v>
      </c>
      <c r="E56" s="64">
        <v>6549227922</v>
      </c>
      <c r="F56" s="64" t="s">
        <v>158</v>
      </c>
      <c r="G56" s="64" t="str">
        <f>IF(OR(F:F="高级经理一级",F:F="业务经理一级"),"主管","伙伴")</f>
        <v>伙伴</v>
      </c>
      <c r="H56" s="65">
        <f>SUMIF(险种!E:E,E:E,险种!R:R)-SUMIFS(险种!R:R,险种!U:U,"终止",险种!E:E,E:E)</f>
        <v>0</v>
      </c>
      <c r="I56" s="65">
        <f>SUMIFS(险种!R:R,险种!U:U,"有效",险种!E:E,E:E)</f>
        <v>0</v>
      </c>
      <c r="J56" s="65">
        <f>ROUND(SUMIF(险种!E:E,E:E,险种!Q:Q)-SUMIFS(险种!Q:Q,险种!U:U,"终止",险种!E:E,E:E),1)</f>
        <v>0</v>
      </c>
      <c r="K56" s="68">
        <f>RANK(J56,J:J)</f>
        <v>22</v>
      </c>
      <c r="L56" s="65">
        <f>ROUND(SUMIFS(险种!Q:Q,险种!U:U,"有效",险种!E:E,E:E),1)</f>
        <v>0</v>
      </c>
      <c r="M56" s="68">
        <f>RANK(L56,L:L,)</f>
        <v>14</v>
      </c>
      <c r="N56" s="68">
        <f>SUMIF(险种!E:E,E:E,险种!W:W)</f>
        <v>0</v>
      </c>
      <c r="O56" s="68">
        <f>IF(N:N&gt;=1,1,0)</f>
        <v>0</v>
      </c>
      <c r="P56" s="65">
        <f>ROUND(SUMIFS(险种!Q:Q,险种!V:V,$P$1,险种!E:E,E:E),1)</f>
        <v>0</v>
      </c>
      <c r="Q56" s="68">
        <f>RANK(P56,$P:$P,0)-1</f>
        <v>5</v>
      </c>
      <c r="R56" s="68" t="str">
        <f>A:A&amp;D:D&amp;G:G&amp;"在"&amp;$P$1&amp;"预收"&amp;P:P&amp;"排名中支第"&amp;Q:Q&amp;"位"</f>
        <v>凤台黄玲伙伴在20210509预收0排名中支第5位</v>
      </c>
      <c r="S56" s="65">
        <f>ROUND(SUMIFS(险种!Q:Q,险种!E:E,E:E,险种!V:V,"&lt;=20210506")-SUMIFS(险种!Q:Q,险种!U:U,"终止",险种!E:E,E:E,险种!V:V,"&lt;=20210506"),1)</f>
        <v>0</v>
      </c>
      <c r="T56" s="65">
        <f>ROUND(SUMIFS(险种!Q:Q,险种!U:U,"有效",险种!E:E,E:E,险种!V:V,"&lt;=20210506"),1)</f>
        <v>0</v>
      </c>
      <c r="U56" s="65">
        <f>ROUND(SUMIFS(险种!Q:Q,险种!E:E,E:E,险种!V:V,"&lt;=20210510")-SUMIFS(险种!Q:Q,险种!U:U,"终止",险种!E:E,E:E,险种!V:V,"&lt;=20210510"),1)</f>
        <v>0</v>
      </c>
      <c r="V56" s="65">
        <f>ROUND(SUMIFS(险种!Q:Q,险种!U:U,"有效",险种!E:E,E:E,险种!V:V,"&lt;=20210510"),1)</f>
        <v>0</v>
      </c>
      <c r="W56" s="65">
        <f t="shared" si="0"/>
        <v>0</v>
      </c>
      <c r="X56" s="68">
        <f>SUMIF(险种!E:E,E:E,险种!Y:Y)</f>
        <v>0</v>
      </c>
      <c r="Y56" s="65">
        <f>MAX(_xlfn.IFS(OR(X:X=1,X:X=2),J:J*0.1,X:X&gt;=3,J:J*0.2,X:X=0,0),IF(J:J&gt;=20000,J:J*0.2,0))</f>
        <v>0</v>
      </c>
      <c r="Z56" s="65" t="str">
        <f>A56&amp;D56&amp;G56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凤台黄玲伙伴5.1-5.10预收价值保费0，首周预收3000P件数0件，预收拟加佣0元。温馨提示，保单需10日（含）前承保，目前还有0价值保费未承保,开单一件即可获得10%加佣</v>
      </c>
      <c r="AA56" s="68">
        <f>SUMIF(险种!E:E,E:E,险种!Z:Z)</f>
        <v>0</v>
      </c>
      <c r="AB56" s="65"/>
      <c r="AC56" s="68">
        <f>SUMIF(险种!E:E,E:E,险种!AA:AA)</f>
        <v>0</v>
      </c>
      <c r="AD56" s="68">
        <f>SUMIFS(险种!AA:AA,险种!U:U,"有效",险种!E:E,E:E)</f>
        <v>0</v>
      </c>
      <c r="AE56" s="68" t="str">
        <f>A56&amp;D56&amp;G56&amp;"目前获得"&amp;$AC$1&amp;AC:AC&amp;"名，获得"&amp;$AD$1&amp;AD:AD&amp;"名"</f>
        <v>凤台黄玲伙伴目前获得龙虾节预收名额0名，获得龙虾节承保名额0名</v>
      </c>
      <c r="AF56" s="68">
        <f>SUMIF(认购返还案!D:D,E:E,认购返还案!E:E)</f>
        <v>200</v>
      </c>
      <c r="AG56" s="68">
        <f>_xlfn.IFS(AND(U:U&gt;=3000,U:U&lt;5000),AF:AF*0.5,U:U&gt;=5000,AF:AF*1,U:U&lt;3000,0)</f>
        <v>0</v>
      </c>
      <c r="AH56" s="68">
        <f>_xlfn.IFS(AND(V:V&gt;=3000,V:V&lt;5000),AF:AF*0.5,V:V&gt;=5000,AF:AF*1,V:V&lt;3000,0)</f>
        <v>0</v>
      </c>
      <c r="AI56" s="68" t="str">
        <f>A:A&amp;D:D&amp;G:G&amp;$AF$1&amp;AF:AF&amp;"元，目前预收价值"&amp;U:U&amp;"，"&amp;$AG$1&amp;AG:AG&amp;"元，"&amp;$AH$1&amp;AH:AH&amp;"元"</f>
        <v>凤台黄玲伙伴冲锋队缴费金额200元，目前预收价值0，预收拟返还0元，承保拟返还0元</v>
      </c>
      <c r="AJ56" s="68">
        <f>SUMIF(保单!R:R,E:E,保单!BE:BE)*IF(AF:AF&gt;1,1,0)</f>
        <v>0</v>
      </c>
      <c r="AK56" s="68">
        <f>SUMIFS(保单!BE:BE,保单!R:R,E:E,保单!BB:BB,"有效")*IF(AF:AF&gt;1,1,0)</f>
        <v>0</v>
      </c>
      <c r="AL56" s="72" t="str">
        <f>A:A&amp;D:D&amp;G:G&amp;"只要在1-10日承保全部保单，即可获得"&amp;$AJ$1&amp;AJ:AJ&amp;"个"</f>
        <v>凤台黄玲伙伴只要在1-10日承保全部保单，即可获得冲锋队按摩仪0个</v>
      </c>
    </row>
    <row r="57" spans="1:38">
      <c r="A57" s="64" t="s">
        <v>48</v>
      </c>
      <c r="B57" s="64" t="s">
        <v>49</v>
      </c>
      <c r="C57" s="64" t="s">
        <v>82</v>
      </c>
      <c r="D57" s="64" t="s">
        <v>83</v>
      </c>
      <c r="E57" s="64">
        <v>6549480842</v>
      </c>
      <c r="F57" s="64" t="s">
        <v>158</v>
      </c>
      <c r="G57" s="64" t="str">
        <f>IF(OR(F:F="高级经理一级",F:F="业务经理一级"),"主管","伙伴")</f>
        <v>伙伴</v>
      </c>
      <c r="H57" s="65">
        <f>SUMIF(险种!E:E,E:E,险种!R:R)-SUMIFS(险种!R:R,险种!U:U,"终止",险种!E:E,E:E)</f>
        <v>4181</v>
      </c>
      <c r="I57" s="65">
        <f>SUMIFS(险种!R:R,险种!U:U,"有效",险种!E:E,E:E)</f>
        <v>4181</v>
      </c>
      <c r="J57" s="65">
        <f>ROUND(SUMIF(险种!E:E,E:E,险种!Q:Q)-SUMIFS(险种!Q:Q,险种!U:U,"终止",险种!E:E,E:E),1)</f>
        <v>3478.4</v>
      </c>
      <c r="K57" s="68">
        <f>RANK(J57,J:J)</f>
        <v>8</v>
      </c>
      <c r="L57" s="65">
        <f>ROUND(SUMIFS(险种!Q:Q,险种!U:U,"有效",险种!E:E,E:E),1)</f>
        <v>3478.4</v>
      </c>
      <c r="M57" s="68">
        <f>RANK(L57,L:L,)</f>
        <v>4</v>
      </c>
      <c r="N57" s="68">
        <f>SUMIF(险种!E:E,E:E,险种!W:W)</f>
        <v>1</v>
      </c>
      <c r="O57" s="68">
        <f>IF(N:N&gt;=1,1,0)</f>
        <v>1</v>
      </c>
      <c r="P57" s="65">
        <f>ROUND(SUMIFS(险种!Q:Q,险种!V:V,$P$1,险种!E:E,E:E),1)</f>
        <v>0</v>
      </c>
      <c r="Q57" s="68">
        <f>RANK(P57,$P:$P,0)-1</f>
        <v>5</v>
      </c>
      <c r="R57" s="68" t="str">
        <f>A:A&amp;D:D&amp;G:G&amp;"在"&amp;$P$1&amp;"预收"&amp;P:P&amp;"排名中支第"&amp;Q:Q&amp;"位"</f>
        <v>谢家集刘锐伙伴在20210509预收0排名中支第5位</v>
      </c>
      <c r="S57" s="65">
        <f>ROUND(SUMIFS(险种!Q:Q,险种!E:E,E:E,险种!V:V,"&lt;=20210506")-SUMIFS(险种!Q:Q,险种!U:U,"终止",险种!E:E,E:E,险种!V:V,"&lt;=20210506"),1)</f>
        <v>0</v>
      </c>
      <c r="T57" s="65">
        <f>ROUND(SUMIFS(险种!Q:Q,险种!U:U,"有效",险种!E:E,E:E,险种!V:V,"&lt;=20210506"),1)</f>
        <v>0</v>
      </c>
      <c r="U57" s="65">
        <f>ROUND(SUMIFS(险种!Q:Q,险种!E:E,E:E,险种!V:V,"&lt;=20210510")-SUMIFS(险种!Q:Q,险种!U:U,"终止",险种!E:E,E:E,险种!V:V,"&lt;=20210510"),1)</f>
        <v>3478.4</v>
      </c>
      <c r="V57" s="65">
        <f>ROUND(SUMIFS(险种!Q:Q,险种!U:U,"有效",险种!E:E,E:E,险种!V:V,"&lt;=20210510"),1)</f>
        <v>3478.4</v>
      </c>
      <c r="W57" s="65">
        <f t="shared" si="0"/>
        <v>0</v>
      </c>
      <c r="X57" s="68">
        <f>SUMIF(险种!E:E,E:E,险种!Y:Y)</f>
        <v>1</v>
      </c>
      <c r="Y57" s="65">
        <f>MAX(_xlfn.IFS(OR(X:X=1,X:X=2),J:J*0.1,X:X&gt;=3,J:J*0.2,X:X=0,0),IF(J:J&gt;=20000,J:J*0.2,0))</f>
        <v>347.84</v>
      </c>
      <c r="Z57" s="65" t="str">
        <f>A57&amp;D57&amp;G57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谢家集刘锐伙伴5.1-5.10预收价值保费3478，首周预收3000P件数1件，预收拟加佣348元。温馨提示，保单需10日（含）前承保，目前还有0价值保费未承保,距离20%提档差距2件</v>
      </c>
      <c r="AA57" s="68">
        <f>SUMIF(险种!E:E,E:E,险种!Z:Z)</f>
        <v>0</v>
      </c>
      <c r="AB57" s="65"/>
      <c r="AC57" s="68">
        <f>SUMIF(险种!E:E,E:E,险种!AA:AA)</f>
        <v>3</v>
      </c>
      <c r="AD57" s="68">
        <f>SUMIFS(险种!AA:AA,险种!U:U,"有效",险种!E:E,E:E)</f>
        <v>3</v>
      </c>
      <c r="AE57" s="68" t="str">
        <f>A57&amp;D57&amp;G57&amp;"目前获得"&amp;$AC$1&amp;AC:AC&amp;"名，获得"&amp;$AD$1&amp;AD:AD&amp;"名"</f>
        <v>谢家集刘锐伙伴目前获得龙虾节预收名额3名，获得龙虾节承保名额3名</v>
      </c>
      <c r="AF57" s="68">
        <f>SUMIF(认购返还案!D:D,E:E,认购返还案!E:E)</f>
        <v>200</v>
      </c>
      <c r="AG57" s="68">
        <f>_xlfn.IFS(AND(U:U&gt;=3000,U:U&lt;5000),AF:AF*0.5,U:U&gt;=5000,AF:AF*1,U:U&lt;3000,0)</f>
        <v>100</v>
      </c>
      <c r="AH57" s="68">
        <f>_xlfn.IFS(AND(V:V&gt;=3000,V:V&lt;5000),AF:AF*0.5,V:V&gt;=5000,AF:AF*1,V:V&lt;3000,0)</f>
        <v>100</v>
      </c>
      <c r="AI57" s="68" t="str">
        <f>A:A&amp;D:D&amp;G:G&amp;$AF$1&amp;AF:AF&amp;"元，目前预收价值"&amp;U:U&amp;"，"&amp;$AG$1&amp;AG:AG&amp;"元，"&amp;$AH$1&amp;AH:AH&amp;"元"</f>
        <v>谢家集刘锐伙伴冲锋队缴费金额200元，目前预收价值3478.4，预收拟返还100元，承保拟返还100元</v>
      </c>
      <c r="AJ57" s="68">
        <f>SUMIF(保单!R:R,E:E,保单!BE:BE)*IF(AF:AF&gt;1,1,0)</f>
        <v>1</v>
      </c>
      <c r="AK57" s="68">
        <f>SUMIFS(保单!BE:BE,保单!R:R,E:E,保单!BB:BB,"有效")*IF(AF:AF&gt;1,1,0)</f>
        <v>1</v>
      </c>
      <c r="AL57" s="72" t="str">
        <f>A:A&amp;D:D&amp;G:G&amp;"只要在1-10日承保全部保单，即可获得"&amp;$AJ$1&amp;AJ:AJ&amp;"个"</f>
        <v>谢家集刘锐伙伴只要在1-10日承保全部保单，即可获得冲锋队按摩仪1个</v>
      </c>
    </row>
    <row r="58" spans="1:38">
      <c r="A58" s="64" t="s">
        <v>42</v>
      </c>
      <c r="B58" s="64" t="s">
        <v>62</v>
      </c>
      <c r="C58" s="64" t="s">
        <v>228</v>
      </c>
      <c r="D58" s="64" t="s">
        <v>298</v>
      </c>
      <c r="E58" s="64">
        <v>6548957762</v>
      </c>
      <c r="F58" s="64" t="s">
        <v>158</v>
      </c>
      <c r="G58" s="64" t="str">
        <f>IF(OR(F:F="高级经理一级",F:F="业务经理一级"),"主管","伙伴")</f>
        <v>伙伴</v>
      </c>
      <c r="H58" s="65">
        <f>SUMIF(险种!E:E,E:E,险种!R:R)-SUMIFS(险种!R:R,险种!U:U,"终止",险种!E:E,E:E)</f>
        <v>0</v>
      </c>
      <c r="I58" s="65">
        <f>SUMIFS(险种!R:R,险种!U:U,"有效",险种!E:E,E:E)</f>
        <v>0</v>
      </c>
      <c r="J58" s="65">
        <f>ROUND(SUMIF(险种!E:E,E:E,险种!Q:Q)-SUMIFS(险种!Q:Q,险种!U:U,"终止",险种!E:E,E:E),1)</f>
        <v>0</v>
      </c>
      <c r="K58" s="68">
        <f>RANK(J58,J:J)</f>
        <v>22</v>
      </c>
      <c r="L58" s="65">
        <f>ROUND(SUMIFS(险种!Q:Q,险种!U:U,"有效",险种!E:E,E:E),1)</f>
        <v>0</v>
      </c>
      <c r="M58" s="68">
        <f>RANK(L58,L:L,)</f>
        <v>14</v>
      </c>
      <c r="N58" s="68">
        <f>SUMIF(险种!E:E,E:E,险种!W:W)</f>
        <v>0</v>
      </c>
      <c r="O58" s="68">
        <f>IF(N:N&gt;=1,1,0)</f>
        <v>0</v>
      </c>
      <c r="P58" s="65">
        <f>ROUND(SUMIFS(险种!Q:Q,险种!V:V,$P$1,险种!E:E,E:E),1)</f>
        <v>0</v>
      </c>
      <c r="Q58" s="68">
        <f>RANK(P58,$P:$P,0)-1</f>
        <v>5</v>
      </c>
      <c r="R58" s="68" t="str">
        <f>A:A&amp;D:D&amp;G:G&amp;"在"&amp;$P$1&amp;"预收"&amp;P:P&amp;"排名中支第"&amp;Q:Q&amp;"位"</f>
        <v>淮南本部姚守四伙伴在20210509预收0排名中支第5位</v>
      </c>
      <c r="S58" s="65">
        <f>ROUND(SUMIFS(险种!Q:Q,险种!E:E,E:E,险种!V:V,"&lt;=20210506")-SUMIFS(险种!Q:Q,险种!U:U,"终止",险种!E:E,E:E,险种!V:V,"&lt;=20210506"),1)</f>
        <v>0</v>
      </c>
      <c r="T58" s="65">
        <f>ROUND(SUMIFS(险种!Q:Q,险种!U:U,"有效",险种!E:E,E:E,险种!V:V,"&lt;=20210506"),1)</f>
        <v>0</v>
      </c>
      <c r="U58" s="65">
        <f>ROUND(SUMIFS(险种!Q:Q,险种!E:E,E:E,险种!V:V,"&lt;=20210510")-SUMIFS(险种!Q:Q,险种!U:U,"终止",险种!E:E,E:E,险种!V:V,"&lt;=20210510"),1)</f>
        <v>0</v>
      </c>
      <c r="V58" s="65">
        <f>ROUND(SUMIFS(险种!Q:Q,险种!U:U,"有效",险种!E:E,E:E,险种!V:V,"&lt;=20210510"),1)</f>
        <v>0</v>
      </c>
      <c r="W58" s="65">
        <f t="shared" si="0"/>
        <v>0</v>
      </c>
      <c r="X58" s="68">
        <f>SUMIF(险种!E:E,E:E,险种!Y:Y)</f>
        <v>0</v>
      </c>
      <c r="Y58" s="65">
        <f>MAX(_xlfn.IFS(OR(X:X=1,X:X=2),J:J*0.1,X:X&gt;=3,J:J*0.2,X:X=0,0),IF(J:J&gt;=20000,J:J*0.2,0))</f>
        <v>0</v>
      </c>
      <c r="Z58" s="65" t="str">
        <f>A58&amp;D58&amp;G58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淮南本部姚守四伙伴5.1-5.10预收价值保费0，首周预收3000P件数0件，预收拟加佣0元。温馨提示，保单需10日（含）前承保，目前还有0价值保费未承保,开单一件即可获得10%加佣</v>
      </c>
      <c r="AA58" s="68">
        <f>SUMIF(险种!E:E,E:E,险种!Z:Z)</f>
        <v>0</v>
      </c>
      <c r="AB58" s="65"/>
      <c r="AC58" s="68">
        <f>SUMIF(险种!E:E,E:E,险种!AA:AA)</f>
        <v>0</v>
      </c>
      <c r="AD58" s="68">
        <f>SUMIFS(险种!AA:AA,险种!U:U,"有效",险种!E:E,E:E)</f>
        <v>0</v>
      </c>
      <c r="AE58" s="68" t="str">
        <f>A58&amp;D58&amp;G58&amp;"目前获得"&amp;$AC$1&amp;AC:AC&amp;"名，获得"&amp;$AD$1&amp;AD:AD&amp;"名"</f>
        <v>淮南本部姚守四伙伴目前获得龙虾节预收名额0名，获得龙虾节承保名额0名</v>
      </c>
      <c r="AF58" s="68">
        <f>SUMIF(认购返还案!D:D,E:E,认购返还案!E:E)</f>
        <v>0</v>
      </c>
      <c r="AG58" s="68">
        <f>_xlfn.IFS(AND(U:U&gt;=3000,U:U&lt;5000),AF:AF*0.5,U:U&gt;=5000,AF:AF*1,U:U&lt;3000,0)</f>
        <v>0</v>
      </c>
      <c r="AH58" s="68">
        <f>_xlfn.IFS(AND(V:V&gt;=3000,V:V&lt;5000),AF:AF*0.5,V:V&gt;=5000,AF:AF*1,V:V&lt;3000,0)</f>
        <v>0</v>
      </c>
      <c r="AI58" s="68" t="str">
        <f>A:A&amp;D:D&amp;G:G&amp;$AF$1&amp;AF:AF&amp;"元，目前预收价值"&amp;U:U&amp;"，"&amp;$AG$1&amp;AG:AG&amp;"元，"&amp;$AH$1&amp;AH:AH&amp;"元"</f>
        <v>淮南本部姚守四伙伴冲锋队缴费金额0元，目前预收价值0，预收拟返还0元，承保拟返还0元</v>
      </c>
      <c r="AJ58" s="68">
        <f>SUMIF(保单!R:R,E:E,保单!BE:BE)*IF(AF:AF&gt;1,1,0)</f>
        <v>0</v>
      </c>
      <c r="AK58" s="68">
        <f>SUMIFS(保单!BE:BE,保单!R:R,E:E,保单!BB:BB,"有效")*IF(AF:AF&gt;1,1,0)</f>
        <v>0</v>
      </c>
      <c r="AL58" s="72" t="str">
        <f>A:A&amp;D:D&amp;G:G&amp;"只要在1-10日承保全部保单，即可获得"&amp;$AJ$1&amp;AJ:AJ&amp;"个"</f>
        <v>淮南本部姚守四伙伴只要在1-10日承保全部保单，即可获得冲锋队按摩仪0个</v>
      </c>
    </row>
    <row r="59" spans="1:38">
      <c r="A59" s="64" t="s">
        <v>42</v>
      </c>
      <c r="B59" s="64" t="s">
        <v>66</v>
      </c>
      <c r="C59" s="64" t="s">
        <v>67</v>
      </c>
      <c r="D59" s="64" t="s">
        <v>299</v>
      </c>
      <c r="E59" s="64">
        <v>6547564382</v>
      </c>
      <c r="F59" s="64" t="s">
        <v>158</v>
      </c>
      <c r="G59" s="64" t="str">
        <f>IF(OR(F:F="高级经理一级",F:F="业务经理一级"),"主管","伙伴")</f>
        <v>伙伴</v>
      </c>
      <c r="H59" s="65">
        <f>SUMIF(险种!E:E,E:E,险种!R:R)-SUMIFS(险种!R:R,险种!U:U,"终止",险种!E:E,E:E)</f>
        <v>0</v>
      </c>
      <c r="I59" s="65">
        <f>SUMIFS(险种!R:R,险种!U:U,"有效",险种!E:E,E:E)</f>
        <v>0</v>
      </c>
      <c r="J59" s="65">
        <f>ROUND(SUMIF(险种!E:E,E:E,险种!Q:Q)-SUMIFS(险种!Q:Q,险种!U:U,"终止",险种!E:E,E:E),1)</f>
        <v>0</v>
      </c>
      <c r="K59" s="68">
        <f>RANK(J59,J:J)</f>
        <v>22</v>
      </c>
      <c r="L59" s="65">
        <f>ROUND(SUMIFS(险种!Q:Q,险种!U:U,"有效",险种!E:E,E:E),1)</f>
        <v>0</v>
      </c>
      <c r="M59" s="68">
        <f>RANK(L59,L:L,)</f>
        <v>14</v>
      </c>
      <c r="N59" s="68">
        <f>SUMIF(险种!E:E,E:E,险种!W:W)</f>
        <v>0</v>
      </c>
      <c r="O59" s="68">
        <f>IF(N:N&gt;=1,1,0)</f>
        <v>0</v>
      </c>
      <c r="P59" s="65">
        <f>ROUND(SUMIFS(险种!Q:Q,险种!V:V,$P$1,险种!E:E,E:E),1)</f>
        <v>0</v>
      </c>
      <c r="Q59" s="68">
        <f>RANK(P59,$P:$P,0)-1</f>
        <v>5</v>
      </c>
      <c r="R59" s="68" t="str">
        <f>A:A&amp;D:D&amp;G:G&amp;"在"&amp;$P$1&amp;"预收"&amp;P:P&amp;"排名中支第"&amp;Q:Q&amp;"位"</f>
        <v>淮南本部杨积莹伙伴在20210509预收0排名中支第5位</v>
      </c>
      <c r="S59" s="65">
        <f>ROUND(SUMIFS(险种!Q:Q,险种!E:E,E:E,险种!V:V,"&lt;=20210506")-SUMIFS(险种!Q:Q,险种!U:U,"终止",险种!E:E,E:E,险种!V:V,"&lt;=20210506"),1)</f>
        <v>0</v>
      </c>
      <c r="T59" s="65">
        <f>ROUND(SUMIFS(险种!Q:Q,险种!U:U,"有效",险种!E:E,E:E,险种!V:V,"&lt;=20210506"),1)</f>
        <v>0</v>
      </c>
      <c r="U59" s="65">
        <f>ROUND(SUMIFS(险种!Q:Q,险种!E:E,E:E,险种!V:V,"&lt;=20210510")-SUMIFS(险种!Q:Q,险种!U:U,"终止",险种!E:E,E:E,险种!V:V,"&lt;=20210510"),1)</f>
        <v>0</v>
      </c>
      <c r="V59" s="65">
        <f>ROUND(SUMIFS(险种!Q:Q,险种!U:U,"有效",险种!E:E,E:E,险种!V:V,"&lt;=20210510"),1)</f>
        <v>0</v>
      </c>
      <c r="W59" s="65">
        <f t="shared" si="0"/>
        <v>0</v>
      </c>
      <c r="X59" s="68">
        <f>SUMIF(险种!E:E,E:E,险种!Y:Y)</f>
        <v>0</v>
      </c>
      <c r="Y59" s="65">
        <f>MAX(_xlfn.IFS(OR(X:X=1,X:X=2),J:J*0.1,X:X&gt;=3,J:J*0.2,X:X=0,0),IF(J:J&gt;=20000,J:J*0.2,0))</f>
        <v>0</v>
      </c>
      <c r="Z59" s="65" t="str">
        <f>A59&amp;D59&amp;G59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淮南本部杨积莹伙伴5.1-5.10预收价值保费0，首周预收3000P件数0件，预收拟加佣0元。温馨提示，保单需10日（含）前承保，目前还有0价值保费未承保,开单一件即可获得10%加佣</v>
      </c>
      <c r="AA59" s="68">
        <f>SUMIF(险种!E:E,E:E,险种!Z:Z)</f>
        <v>0</v>
      </c>
      <c r="AB59" s="65"/>
      <c r="AC59" s="68">
        <f>SUMIF(险种!E:E,E:E,险种!AA:AA)</f>
        <v>0</v>
      </c>
      <c r="AD59" s="68">
        <f>SUMIFS(险种!AA:AA,险种!U:U,"有效",险种!E:E,E:E)</f>
        <v>0</v>
      </c>
      <c r="AE59" s="68" t="str">
        <f>A59&amp;D59&amp;G59&amp;"目前获得"&amp;$AC$1&amp;AC:AC&amp;"名，获得"&amp;$AD$1&amp;AD:AD&amp;"名"</f>
        <v>淮南本部杨积莹伙伴目前获得龙虾节预收名额0名，获得龙虾节承保名额0名</v>
      </c>
      <c r="AF59" s="68">
        <f>SUMIF(认购返还案!D:D,E:E,认购返还案!E:E)</f>
        <v>0</v>
      </c>
      <c r="AG59" s="68">
        <f>_xlfn.IFS(AND(U:U&gt;=3000,U:U&lt;5000),AF:AF*0.5,U:U&gt;=5000,AF:AF*1,U:U&lt;3000,0)</f>
        <v>0</v>
      </c>
      <c r="AH59" s="68">
        <f>_xlfn.IFS(AND(V:V&gt;=3000,V:V&lt;5000),AF:AF*0.5,V:V&gt;=5000,AF:AF*1,V:V&lt;3000,0)</f>
        <v>0</v>
      </c>
      <c r="AI59" s="68" t="str">
        <f>A:A&amp;D:D&amp;G:G&amp;$AF$1&amp;AF:AF&amp;"元，目前预收价值"&amp;U:U&amp;"，"&amp;$AG$1&amp;AG:AG&amp;"元，"&amp;$AH$1&amp;AH:AH&amp;"元"</f>
        <v>淮南本部杨积莹伙伴冲锋队缴费金额0元，目前预收价值0，预收拟返还0元，承保拟返还0元</v>
      </c>
      <c r="AJ59" s="68">
        <f>SUMIF(保单!R:R,E:E,保单!BE:BE)*IF(AF:AF&gt;1,1,0)</f>
        <v>0</v>
      </c>
      <c r="AK59" s="68">
        <f>SUMIFS(保单!BE:BE,保单!R:R,E:E,保单!BB:BB,"有效")*IF(AF:AF&gt;1,1,0)</f>
        <v>0</v>
      </c>
      <c r="AL59" s="72" t="str">
        <f>A:A&amp;D:D&amp;G:G&amp;"只要在1-10日承保全部保单，即可获得"&amp;$AJ$1&amp;AJ:AJ&amp;"个"</f>
        <v>淮南本部杨积莹伙伴只要在1-10日承保全部保单，即可获得冲锋队按摩仪0个</v>
      </c>
    </row>
    <row r="60" spans="1:38">
      <c r="A60" s="64" t="s">
        <v>42</v>
      </c>
      <c r="B60" s="64" t="s">
        <v>62</v>
      </c>
      <c r="C60" s="64" t="s">
        <v>108</v>
      </c>
      <c r="D60" s="64" t="s">
        <v>300</v>
      </c>
      <c r="E60" s="64">
        <v>6547517232</v>
      </c>
      <c r="F60" s="64" t="s">
        <v>158</v>
      </c>
      <c r="G60" s="64" t="str">
        <f>IF(OR(F:F="高级经理一级",F:F="业务经理一级"),"主管","伙伴")</f>
        <v>伙伴</v>
      </c>
      <c r="H60" s="65">
        <f>SUMIF(险种!E:E,E:E,险种!R:R)-SUMIFS(险种!R:R,险种!U:U,"终止",险种!E:E,E:E)</f>
        <v>0</v>
      </c>
      <c r="I60" s="65">
        <f>SUMIFS(险种!R:R,险种!U:U,"有效",险种!E:E,E:E)</f>
        <v>0</v>
      </c>
      <c r="J60" s="65">
        <f>ROUND(SUMIF(险种!E:E,E:E,险种!Q:Q)-SUMIFS(险种!Q:Q,险种!U:U,"终止",险种!E:E,E:E),1)</f>
        <v>0</v>
      </c>
      <c r="K60" s="68">
        <f>RANK(J60,J:J)</f>
        <v>22</v>
      </c>
      <c r="L60" s="65">
        <f>ROUND(SUMIFS(险种!Q:Q,险种!U:U,"有效",险种!E:E,E:E),1)</f>
        <v>0</v>
      </c>
      <c r="M60" s="68">
        <f>RANK(L60,L:L,)</f>
        <v>14</v>
      </c>
      <c r="N60" s="68">
        <f>SUMIF(险种!E:E,E:E,险种!W:W)</f>
        <v>0</v>
      </c>
      <c r="O60" s="68">
        <f>IF(N:N&gt;=1,1,0)</f>
        <v>0</v>
      </c>
      <c r="P60" s="65">
        <f>ROUND(SUMIFS(险种!Q:Q,险种!V:V,$P$1,险种!E:E,E:E),1)</f>
        <v>0</v>
      </c>
      <c r="Q60" s="68">
        <f>RANK(P60,$P:$P,0)-1</f>
        <v>5</v>
      </c>
      <c r="R60" s="68" t="str">
        <f>A:A&amp;D:D&amp;G:G&amp;"在"&amp;$P$1&amp;"预收"&amp;P:P&amp;"排名中支第"&amp;Q:Q&amp;"位"</f>
        <v>淮南本部程单单伙伴在20210509预收0排名中支第5位</v>
      </c>
      <c r="S60" s="65">
        <f>ROUND(SUMIFS(险种!Q:Q,险种!E:E,E:E,险种!V:V,"&lt;=20210506")-SUMIFS(险种!Q:Q,险种!U:U,"终止",险种!E:E,E:E,险种!V:V,"&lt;=20210506"),1)</f>
        <v>0</v>
      </c>
      <c r="T60" s="65">
        <f>ROUND(SUMIFS(险种!Q:Q,险种!U:U,"有效",险种!E:E,E:E,险种!V:V,"&lt;=20210506"),1)</f>
        <v>0</v>
      </c>
      <c r="U60" s="65">
        <f>ROUND(SUMIFS(险种!Q:Q,险种!E:E,E:E,险种!V:V,"&lt;=20210510")-SUMIFS(险种!Q:Q,险种!U:U,"终止",险种!E:E,E:E,险种!V:V,"&lt;=20210510"),1)</f>
        <v>0</v>
      </c>
      <c r="V60" s="65">
        <f>ROUND(SUMIFS(险种!Q:Q,险种!U:U,"有效",险种!E:E,E:E,险种!V:V,"&lt;=20210510"),1)</f>
        <v>0</v>
      </c>
      <c r="W60" s="65">
        <f t="shared" si="0"/>
        <v>0</v>
      </c>
      <c r="X60" s="68">
        <f>SUMIF(险种!E:E,E:E,险种!Y:Y)</f>
        <v>0</v>
      </c>
      <c r="Y60" s="65">
        <f>MAX(_xlfn.IFS(OR(X:X=1,X:X=2),J:J*0.1,X:X&gt;=3,J:J*0.2,X:X=0,0),IF(J:J&gt;=20000,J:J*0.2,0))</f>
        <v>0</v>
      </c>
      <c r="Z60" s="65" t="str">
        <f>A60&amp;D60&amp;G60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淮南本部程单单伙伴5.1-5.10预收价值保费0，首周预收3000P件数0件，预收拟加佣0元。温馨提示，保单需10日（含）前承保，目前还有0价值保费未承保,开单一件即可获得10%加佣</v>
      </c>
      <c r="AA60" s="68">
        <f>SUMIF(险种!E:E,E:E,险种!Z:Z)</f>
        <v>0</v>
      </c>
      <c r="AB60" s="65"/>
      <c r="AC60" s="68">
        <f>SUMIF(险种!E:E,E:E,险种!AA:AA)</f>
        <v>0</v>
      </c>
      <c r="AD60" s="68">
        <f>SUMIFS(险种!AA:AA,险种!U:U,"有效",险种!E:E,E:E)</f>
        <v>0</v>
      </c>
      <c r="AE60" s="68" t="str">
        <f>A60&amp;D60&amp;G60&amp;"目前获得"&amp;$AC$1&amp;AC:AC&amp;"名，获得"&amp;$AD$1&amp;AD:AD&amp;"名"</f>
        <v>淮南本部程单单伙伴目前获得龙虾节预收名额0名，获得龙虾节承保名额0名</v>
      </c>
      <c r="AF60" s="68">
        <f>SUMIF(认购返还案!D:D,E:E,认购返还案!E:E)</f>
        <v>200</v>
      </c>
      <c r="AG60" s="68">
        <f>_xlfn.IFS(AND(U:U&gt;=3000,U:U&lt;5000),AF:AF*0.5,U:U&gt;=5000,AF:AF*1,U:U&lt;3000,0)</f>
        <v>0</v>
      </c>
      <c r="AH60" s="68">
        <f>_xlfn.IFS(AND(V:V&gt;=3000,V:V&lt;5000),AF:AF*0.5,V:V&gt;=5000,AF:AF*1,V:V&lt;3000,0)</f>
        <v>0</v>
      </c>
      <c r="AI60" s="68" t="str">
        <f>A:A&amp;D:D&amp;G:G&amp;$AF$1&amp;AF:AF&amp;"元，目前预收价值"&amp;U:U&amp;"，"&amp;$AG$1&amp;AG:AG&amp;"元，"&amp;$AH$1&amp;AH:AH&amp;"元"</f>
        <v>淮南本部程单单伙伴冲锋队缴费金额200元，目前预收价值0，预收拟返还0元，承保拟返还0元</v>
      </c>
      <c r="AJ60" s="68">
        <f>SUMIF(保单!R:R,E:E,保单!BE:BE)*IF(AF:AF&gt;1,1,0)</f>
        <v>0</v>
      </c>
      <c r="AK60" s="68">
        <f>SUMIFS(保单!BE:BE,保单!R:R,E:E,保单!BB:BB,"有效")*IF(AF:AF&gt;1,1,0)</f>
        <v>0</v>
      </c>
      <c r="AL60" s="72" t="str">
        <f>A:A&amp;D:D&amp;G:G&amp;"只要在1-10日承保全部保单，即可获得"&amp;$AJ$1&amp;AJ:AJ&amp;"个"</f>
        <v>淮南本部程单单伙伴只要在1-10日承保全部保单，即可获得冲锋队按摩仪0个</v>
      </c>
    </row>
    <row r="61" spans="1:38">
      <c r="A61" s="64" t="s">
        <v>42</v>
      </c>
      <c r="B61" s="64" t="s">
        <v>62</v>
      </c>
      <c r="C61" s="64" t="s">
        <v>108</v>
      </c>
      <c r="D61" s="64" t="s">
        <v>301</v>
      </c>
      <c r="E61" s="64">
        <v>6547493692</v>
      </c>
      <c r="F61" s="64" t="s">
        <v>158</v>
      </c>
      <c r="G61" s="64" t="str">
        <f>IF(OR(F:F="高级经理一级",F:F="业务经理一级"),"主管","伙伴")</f>
        <v>伙伴</v>
      </c>
      <c r="H61" s="65">
        <f>SUMIF(险种!E:E,E:E,险种!R:R)-SUMIFS(险种!R:R,险种!U:U,"终止",险种!E:E,E:E)</f>
        <v>0</v>
      </c>
      <c r="I61" s="65">
        <f>SUMIFS(险种!R:R,险种!U:U,"有效",险种!E:E,E:E)</f>
        <v>0</v>
      </c>
      <c r="J61" s="65">
        <f>ROUND(SUMIF(险种!E:E,E:E,险种!Q:Q)-SUMIFS(险种!Q:Q,险种!U:U,"终止",险种!E:E,E:E),1)</f>
        <v>0</v>
      </c>
      <c r="K61" s="68">
        <f>RANK(J61,J:J)</f>
        <v>22</v>
      </c>
      <c r="L61" s="65">
        <f>ROUND(SUMIFS(险种!Q:Q,险种!U:U,"有效",险种!E:E,E:E),1)</f>
        <v>0</v>
      </c>
      <c r="M61" s="68">
        <f>RANK(L61,L:L,)</f>
        <v>14</v>
      </c>
      <c r="N61" s="68">
        <f>SUMIF(险种!E:E,E:E,险种!W:W)</f>
        <v>0</v>
      </c>
      <c r="O61" s="68">
        <f>IF(N:N&gt;=1,1,0)</f>
        <v>0</v>
      </c>
      <c r="P61" s="65">
        <f>ROUND(SUMIFS(险种!Q:Q,险种!V:V,$P$1,险种!E:E,E:E),1)</f>
        <v>0</v>
      </c>
      <c r="Q61" s="68">
        <f>RANK(P61,$P:$P,0)-1</f>
        <v>5</v>
      </c>
      <c r="R61" s="68" t="str">
        <f>A:A&amp;D:D&amp;G:G&amp;"在"&amp;$P$1&amp;"预收"&amp;P:P&amp;"排名中支第"&amp;Q:Q&amp;"位"</f>
        <v>淮南本部夏海力伙伴在20210509预收0排名中支第5位</v>
      </c>
      <c r="S61" s="65">
        <f>ROUND(SUMIFS(险种!Q:Q,险种!E:E,E:E,险种!V:V,"&lt;=20210506")-SUMIFS(险种!Q:Q,险种!U:U,"终止",险种!E:E,E:E,险种!V:V,"&lt;=20210506"),1)</f>
        <v>0</v>
      </c>
      <c r="T61" s="65">
        <f>ROUND(SUMIFS(险种!Q:Q,险种!U:U,"有效",险种!E:E,E:E,险种!V:V,"&lt;=20210506"),1)</f>
        <v>0</v>
      </c>
      <c r="U61" s="65">
        <f>ROUND(SUMIFS(险种!Q:Q,险种!E:E,E:E,险种!V:V,"&lt;=20210510")-SUMIFS(险种!Q:Q,险种!U:U,"终止",险种!E:E,E:E,险种!V:V,"&lt;=20210510"),1)</f>
        <v>0</v>
      </c>
      <c r="V61" s="65">
        <f>ROUND(SUMIFS(险种!Q:Q,险种!U:U,"有效",险种!E:E,E:E,险种!V:V,"&lt;=20210510"),1)</f>
        <v>0</v>
      </c>
      <c r="W61" s="65">
        <f t="shared" si="0"/>
        <v>0</v>
      </c>
      <c r="X61" s="68">
        <f>SUMIF(险种!E:E,E:E,险种!Y:Y)</f>
        <v>0</v>
      </c>
      <c r="Y61" s="65">
        <f>MAX(_xlfn.IFS(OR(X:X=1,X:X=2),J:J*0.1,X:X&gt;=3,J:J*0.2,X:X=0,0),IF(J:J&gt;=20000,J:J*0.2,0))</f>
        <v>0</v>
      </c>
      <c r="Z61" s="65" t="str">
        <f>A61&amp;D61&amp;G61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淮南本部夏海力伙伴5.1-5.10预收价值保费0，首周预收3000P件数0件，预收拟加佣0元。温馨提示，保单需10日（含）前承保，目前还有0价值保费未承保,开单一件即可获得10%加佣</v>
      </c>
      <c r="AA61" s="68">
        <f>SUMIF(险种!E:E,E:E,险种!Z:Z)</f>
        <v>0</v>
      </c>
      <c r="AB61" s="65"/>
      <c r="AC61" s="68">
        <f>SUMIF(险种!E:E,E:E,险种!AA:AA)</f>
        <v>0</v>
      </c>
      <c r="AD61" s="68">
        <f>SUMIFS(险种!AA:AA,险种!U:U,"有效",险种!E:E,E:E)</f>
        <v>0</v>
      </c>
      <c r="AE61" s="68" t="str">
        <f>A61&amp;D61&amp;G61&amp;"目前获得"&amp;$AC$1&amp;AC:AC&amp;"名，获得"&amp;$AD$1&amp;AD:AD&amp;"名"</f>
        <v>淮南本部夏海力伙伴目前获得龙虾节预收名额0名，获得龙虾节承保名额0名</v>
      </c>
      <c r="AF61" s="68">
        <f>SUMIF(认购返还案!D:D,E:E,认购返还案!E:E)</f>
        <v>200</v>
      </c>
      <c r="AG61" s="68">
        <f>_xlfn.IFS(AND(U:U&gt;=3000,U:U&lt;5000),AF:AF*0.5,U:U&gt;=5000,AF:AF*1,U:U&lt;3000,0)</f>
        <v>0</v>
      </c>
      <c r="AH61" s="68">
        <f>_xlfn.IFS(AND(V:V&gt;=3000,V:V&lt;5000),AF:AF*0.5,V:V&gt;=5000,AF:AF*1,V:V&lt;3000,0)</f>
        <v>0</v>
      </c>
      <c r="AI61" s="68" t="str">
        <f>A:A&amp;D:D&amp;G:G&amp;$AF$1&amp;AF:AF&amp;"元，目前预收价值"&amp;U:U&amp;"，"&amp;$AG$1&amp;AG:AG&amp;"元，"&amp;$AH$1&amp;AH:AH&amp;"元"</f>
        <v>淮南本部夏海力伙伴冲锋队缴费金额200元，目前预收价值0，预收拟返还0元，承保拟返还0元</v>
      </c>
      <c r="AJ61" s="68">
        <f>SUMIF(保单!R:R,E:E,保单!BE:BE)*IF(AF:AF&gt;1,1,0)</f>
        <v>0</v>
      </c>
      <c r="AK61" s="68">
        <f>SUMIFS(保单!BE:BE,保单!R:R,E:E,保单!BB:BB,"有效")*IF(AF:AF&gt;1,1,0)</f>
        <v>0</v>
      </c>
      <c r="AL61" s="72" t="str">
        <f>A:A&amp;D:D&amp;G:G&amp;"只要在1-10日承保全部保单，即可获得"&amp;$AJ$1&amp;AJ:AJ&amp;"个"</f>
        <v>淮南本部夏海力伙伴只要在1-10日承保全部保单，即可获得冲锋队按摩仪0个</v>
      </c>
    </row>
    <row r="62" spans="1:38">
      <c r="A62" s="64" t="s">
        <v>42</v>
      </c>
      <c r="B62" s="64" t="s">
        <v>66</v>
      </c>
      <c r="C62" s="64" t="s">
        <v>67</v>
      </c>
      <c r="D62" s="64" t="s">
        <v>302</v>
      </c>
      <c r="E62" s="64">
        <v>6545451222</v>
      </c>
      <c r="F62" s="64" t="s">
        <v>158</v>
      </c>
      <c r="G62" s="64" t="str">
        <f>IF(OR(F:F="高级经理一级",F:F="业务经理一级"),"主管","伙伴")</f>
        <v>伙伴</v>
      </c>
      <c r="H62" s="65">
        <f>SUMIF(险种!E:E,E:E,险种!R:R)-SUMIFS(险种!R:R,险种!U:U,"终止",险种!E:E,E:E)</f>
        <v>0</v>
      </c>
      <c r="I62" s="65">
        <f>SUMIFS(险种!R:R,险种!U:U,"有效",险种!E:E,E:E)</f>
        <v>0</v>
      </c>
      <c r="J62" s="65">
        <f>ROUND(SUMIF(险种!E:E,E:E,险种!Q:Q)-SUMIFS(险种!Q:Q,险种!U:U,"终止",险种!E:E,E:E),1)</f>
        <v>0</v>
      </c>
      <c r="K62" s="68">
        <f>RANK(J62,J:J)</f>
        <v>22</v>
      </c>
      <c r="L62" s="65">
        <f>ROUND(SUMIFS(险种!Q:Q,险种!U:U,"有效",险种!E:E,E:E),1)</f>
        <v>0</v>
      </c>
      <c r="M62" s="68">
        <f>RANK(L62,L:L,)</f>
        <v>14</v>
      </c>
      <c r="N62" s="68">
        <f>SUMIF(险种!E:E,E:E,险种!W:W)</f>
        <v>0</v>
      </c>
      <c r="O62" s="68">
        <f>IF(N:N&gt;=1,1,0)</f>
        <v>0</v>
      </c>
      <c r="P62" s="65">
        <f>ROUND(SUMIFS(险种!Q:Q,险种!V:V,$P$1,险种!E:E,E:E),1)</f>
        <v>0</v>
      </c>
      <c r="Q62" s="68">
        <f>RANK(P62,$P:$P,0)-1</f>
        <v>5</v>
      </c>
      <c r="R62" s="68" t="str">
        <f>A:A&amp;D:D&amp;G:G&amp;"在"&amp;$P$1&amp;"预收"&amp;P:P&amp;"排名中支第"&amp;Q:Q&amp;"位"</f>
        <v>淮南本部胡美华伙伴在20210509预收0排名中支第5位</v>
      </c>
      <c r="S62" s="65">
        <f>ROUND(SUMIFS(险种!Q:Q,险种!E:E,E:E,险种!V:V,"&lt;=20210506")-SUMIFS(险种!Q:Q,险种!U:U,"终止",险种!E:E,E:E,险种!V:V,"&lt;=20210506"),1)</f>
        <v>0</v>
      </c>
      <c r="T62" s="65">
        <f>ROUND(SUMIFS(险种!Q:Q,险种!U:U,"有效",险种!E:E,E:E,险种!V:V,"&lt;=20210506"),1)</f>
        <v>0</v>
      </c>
      <c r="U62" s="65">
        <f>ROUND(SUMIFS(险种!Q:Q,险种!E:E,E:E,险种!V:V,"&lt;=20210510")-SUMIFS(险种!Q:Q,险种!U:U,"终止",险种!E:E,E:E,险种!V:V,"&lt;=20210510"),1)</f>
        <v>0</v>
      </c>
      <c r="V62" s="65">
        <f>ROUND(SUMIFS(险种!Q:Q,险种!U:U,"有效",险种!E:E,E:E,险种!V:V,"&lt;=20210510"),1)</f>
        <v>0</v>
      </c>
      <c r="W62" s="65">
        <f t="shared" si="0"/>
        <v>0</v>
      </c>
      <c r="X62" s="68">
        <f>SUMIF(险种!E:E,E:E,险种!Y:Y)</f>
        <v>0</v>
      </c>
      <c r="Y62" s="65">
        <f>MAX(_xlfn.IFS(OR(X:X=1,X:X=2),J:J*0.1,X:X&gt;=3,J:J*0.2,X:X=0,0),IF(J:J&gt;=20000,J:J*0.2,0))</f>
        <v>0</v>
      </c>
      <c r="Z62" s="65" t="str">
        <f>A62&amp;D62&amp;G62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淮南本部胡美华伙伴5.1-5.10预收价值保费0，首周预收3000P件数0件，预收拟加佣0元。温馨提示，保单需10日（含）前承保，目前还有0价值保费未承保,开单一件即可获得10%加佣</v>
      </c>
      <c r="AA62" s="68">
        <f>SUMIF(险种!E:E,E:E,险种!Z:Z)</f>
        <v>0</v>
      </c>
      <c r="AB62" s="65"/>
      <c r="AC62" s="68">
        <f>SUMIF(险种!E:E,E:E,险种!AA:AA)</f>
        <v>0</v>
      </c>
      <c r="AD62" s="68">
        <f>SUMIFS(险种!AA:AA,险种!U:U,"有效",险种!E:E,E:E)</f>
        <v>0</v>
      </c>
      <c r="AE62" s="68" t="str">
        <f>A62&amp;D62&amp;G62&amp;"目前获得"&amp;$AC$1&amp;AC:AC&amp;"名，获得"&amp;$AD$1&amp;AD:AD&amp;"名"</f>
        <v>淮南本部胡美华伙伴目前获得龙虾节预收名额0名，获得龙虾节承保名额0名</v>
      </c>
      <c r="AF62" s="68">
        <f>SUMIF(认购返还案!D:D,E:E,认购返还案!E:E)</f>
        <v>0</v>
      </c>
      <c r="AG62" s="68">
        <f>_xlfn.IFS(AND(U:U&gt;=3000,U:U&lt;5000),AF:AF*0.5,U:U&gt;=5000,AF:AF*1,U:U&lt;3000,0)</f>
        <v>0</v>
      </c>
      <c r="AH62" s="68">
        <f>_xlfn.IFS(AND(V:V&gt;=3000,V:V&lt;5000),AF:AF*0.5,V:V&gt;=5000,AF:AF*1,V:V&lt;3000,0)</f>
        <v>0</v>
      </c>
      <c r="AI62" s="68" t="str">
        <f>A:A&amp;D:D&amp;G:G&amp;$AF$1&amp;AF:AF&amp;"元，目前预收价值"&amp;U:U&amp;"，"&amp;$AG$1&amp;AG:AG&amp;"元，"&amp;$AH$1&amp;AH:AH&amp;"元"</f>
        <v>淮南本部胡美华伙伴冲锋队缴费金额0元，目前预收价值0，预收拟返还0元，承保拟返还0元</v>
      </c>
      <c r="AJ62" s="68">
        <f>SUMIF(保单!R:R,E:E,保单!BE:BE)*IF(AF:AF&gt;1,1,0)</f>
        <v>0</v>
      </c>
      <c r="AK62" s="68">
        <f>SUMIFS(保单!BE:BE,保单!R:R,E:E,保单!BB:BB,"有效")*IF(AF:AF&gt;1,1,0)</f>
        <v>0</v>
      </c>
      <c r="AL62" s="72" t="str">
        <f>A:A&amp;D:D&amp;G:G&amp;"只要在1-10日承保全部保单，即可获得"&amp;$AJ$1&amp;AJ:AJ&amp;"个"</f>
        <v>淮南本部胡美华伙伴只要在1-10日承保全部保单，即可获得冲锋队按摩仪0个</v>
      </c>
    </row>
    <row r="63" spans="1:38">
      <c r="A63" s="64" t="s">
        <v>42</v>
      </c>
      <c r="B63" s="64" t="s">
        <v>43</v>
      </c>
      <c r="C63" s="64" t="s">
        <v>70</v>
      </c>
      <c r="D63" s="64" t="s">
        <v>303</v>
      </c>
      <c r="E63" s="64">
        <v>6529280332</v>
      </c>
      <c r="F63" s="64" t="s">
        <v>168</v>
      </c>
      <c r="G63" s="64" t="str">
        <f>IF(OR(F:F="高级经理一级",F:F="业务经理一级"),"主管","伙伴")</f>
        <v>伙伴</v>
      </c>
      <c r="H63" s="65">
        <f>SUMIF(险种!E:E,E:E,险种!R:R)-SUMIFS(险种!R:R,险种!U:U,"终止",险种!E:E,E:E)</f>
        <v>0</v>
      </c>
      <c r="I63" s="65">
        <f>SUMIFS(险种!R:R,险种!U:U,"有效",险种!E:E,E:E)</f>
        <v>0</v>
      </c>
      <c r="J63" s="65">
        <f>ROUND(SUMIF(险种!E:E,E:E,险种!Q:Q)-SUMIFS(险种!Q:Q,险种!U:U,"终止",险种!E:E,E:E),1)</f>
        <v>0</v>
      </c>
      <c r="K63" s="68">
        <f>RANK(J63,J:J)</f>
        <v>22</v>
      </c>
      <c r="L63" s="65">
        <f>ROUND(SUMIFS(险种!Q:Q,险种!U:U,"有效",险种!E:E,E:E),1)</f>
        <v>0</v>
      </c>
      <c r="M63" s="68">
        <f>RANK(L63,L:L,)</f>
        <v>14</v>
      </c>
      <c r="N63" s="68">
        <f>SUMIF(险种!E:E,E:E,险种!W:W)</f>
        <v>0</v>
      </c>
      <c r="O63" s="68">
        <f>IF(N:N&gt;=1,1,0)</f>
        <v>0</v>
      </c>
      <c r="P63" s="65">
        <f>ROUND(SUMIFS(险种!Q:Q,险种!V:V,$P$1,险种!E:E,E:E),1)</f>
        <v>0</v>
      </c>
      <c r="Q63" s="68">
        <f>RANK(P63,$P:$P,0)-1</f>
        <v>5</v>
      </c>
      <c r="R63" s="68" t="str">
        <f>A:A&amp;D:D&amp;G:G&amp;"在"&amp;$P$1&amp;"预收"&amp;P:P&amp;"排名中支第"&amp;Q:Q&amp;"位"</f>
        <v>淮南本部姚昌梅伙伴在20210509预收0排名中支第5位</v>
      </c>
      <c r="S63" s="65">
        <f>ROUND(SUMIFS(险种!Q:Q,险种!E:E,E:E,险种!V:V,"&lt;=20210506")-SUMIFS(险种!Q:Q,险种!U:U,"终止",险种!E:E,E:E,险种!V:V,"&lt;=20210506"),1)</f>
        <v>0</v>
      </c>
      <c r="T63" s="65">
        <f>ROUND(SUMIFS(险种!Q:Q,险种!U:U,"有效",险种!E:E,E:E,险种!V:V,"&lt;=20210506"),1)</f>
        <v>0</v>
      </c>
      <c r="U63" s="65">
        <f>ROUND(SUMIFS(险种!Q:Q,险种!E:E,E:E,险种!V:V,"&lt;=20210510")-SUMIFS(险种!Q:Q,险种!U:U,"终止",险种!E:E,E:E,险种!V:V,"&lt;=20210510"),1)</f>
        <v>0</v>
      </c>
      <c r="V63" s="65">
        <f>ROUND(SUMIFS(险种!Q:Q,险种!U:U,"有效",险种!E:E,E:E,险种!V:V,"&lt;=20210510"),1)</f>
        <v>0</v>
      </c>
      <c r="W63" s="65">
        <f t="shared" si="0"/>
        <v>0</v>
      </c>
      <c r="X63" s="68">
        <f>SUMIF(险种!E:E,E:E,险种!Y:Y)</f>
        <v>0</v>
      </c>
      <c r="Y63" s="65">
        <f>MAX(_xlfn.IFS(OR(X:X=1,X:X=2),J:J*0.1,X:X&gt;=3,J:J*0.2,X:X=0,0),IF(J:J&gt;=20000,J:J*0.2,0))</f>
        <v>0</v>
      </c>
      <c r="Z63" s="65" t="str">
        <f>A63&amp;D63&amp;G63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淮南本部姚昌梅伙伴5.1-5.10预收价值保费0，首周预收3000P件数0件，预收拟加佣0元。温馨提示，保单需10日（含）前承保，目前还有0价值保费未承保,开单一件即可获得10%加佣</v>
      </c>
      <c r="AA63" s="68">
        <f>SUMIF(险种!E:E,E:E,险种!Z:Z)</f>
        <v>0</v>
      </c>
      <c r="AB63" s="65"/>
      <c r="AC63" s="68">
        <f>SUMIF(险种!E:E,E:E,险种!AA:AA)</f>
        <v>0</v>
      </c>
      <c r="AD63" s="68">
        <f>SUMIFS(险种!AA:AA,险种!U:U,"有效",险种!E:E,E:E)</f>
        <v>0</v>
      </c>
      <c r="AE63" s="68" t="str">
        <f>A63&amp;D63&amp;G63&amp;"目前获得"&amp;$AC$1&amp;AC:AC&amp;"名，获得"&amp;$AD$1&amp;AD:AD&amp;"名"</f>
        <v>淮南本部姚昌梅伙伴目前获得龙虾节预收名额0名，获得龙虾节承保名额0名</v>
      </c>
      <c r="AF63" s="68">
        <f>SUMIF(认购返还案!D:D,E:E,认购返还案!E:E)</f>
        <v>0</v>
      </c>
      <c r="AG63" s="68">
        <f>_xlfn.IFS(AND(U:U&gt;=3000,U:U&lt;5000),AF:AF*0.5,U:U&gt;=5000,AF:AF*1,U:U&lt;3000,0)</f>
        <v>0</v>
      </c>
      <c r="AH63" s="68">
        <f>_xlfn.IFS(AND(V:V&gt;=3000,V:V&lt;5000),AF:AF*0.5,V:V&gt;=5000,AF:AF*1,V:V&lt;3000,0)</f>
        <v>0</v>
      </c>
      <c r="AI63" s="68" t="str">
        <f>A:A&amp;D:D&amp;G:G&amp;$AF$1&amp;AF:AF&amp;"元，目前预收价值"&amp;U:U&amp;"，"&amp;$AG$1&amp;AG:AG&amp;"元，"&amp;$AH$1&amp;AH:AH&amp;"元"</f>
        <v>淮南本部姚昌梅伙伴冲锋队缴费金额0元，目前预收价值0，预收拟返还0元，承保拟返还0元</v>
      </c>
      <c r="AJ63" s="68">
        <f>SUMIF(保单!R:R,E:E,保单!BE:BE)*IF(AF:AF&gt;1,1,0)</f>
        <v>0</v>
      </c>
      <c r="AK63" s="68">
        <f>SUMIFS(保单!BE:BE,保单!R:R,E:E,保单!BB:BB,"有效")*IF(AF:AF&gt;1,1,0)</f>
        <v>0</v>
      </c>
      <c r="AL63" s="72" t="str">
        <f>A:A&amp;D:D&amp;G:G&amp;"只要在1-10日承保全部保单，即可获得"&amp;$AJ$1&amp;AJ:AJ&amp;"个"</f>
        <v>淮南本部姚昌梅伙伴只要在1-10日承保全部保单，即可获得冲锋队按摩仪0个</v>
      </c>
    </row>
    <row r="64" spans="1:38">
      <c r="A64" s="64" t="s">
        <v>42</v>
      </c>
      <c r="B64" s="64" t="s">
        <v>62</v>
      </c>
      <c r="C64" s="64" t="s">
        <v>92</v>
      </c>
      <c r="D64" s="64" t="s">
        <v>304</v>
      </c>
      <c r="E64" s="64">
        <v>6526885242</v>
      </c>
      <c r="F64" s="64" t="s">
        <v>166</v>
      </c>
      <c r="G64" s="64" t="str">
        <f>IF(OR(F:F="高级经理一级",F:F="业务经理一级"),"主管","伙伴")</f>
        <v>伙伴</v>
      </c>
      <c r="H64" s="65">
        <f>SUMIF(险种!E:E,E:E,险种!R:R)-SUMIFS(险种!R:R,险种!U:U,"终止",险种!E:E,E:E)</f>
        <v>0</v>
      </c>
      <c r="I64" s="65">
        <f>SUMIFS(险种!R:R,险种!U:U,"有效",险种!E:E,E:E)</f>
        <v>0</v>
      </c>
      <c r="J64" s="65">
        <f>ROUND(SUMIF(险种!E:E,E:E,险种!Q:Q)-SUMIFS(险种!Q:Q,险种!U:U,"终止",险种!E:E,E:E),1)</f>
        <v>0</v>
      </c>
      <c r="K64" s="68">
        <f>RANK(J64,J:J)</f>
        <v>22</v>
      </c>
      <c r="L64" s="65">
        <f>ROUND(SUMIFS(险种!Q:Q,险种!U:U,"有效",险种!E:E,E:E),1)</f>
        <v>0</v>
      </c>
      <c r="M64" s="68">
        <f>RANK(L64,L:L,)</f>
        <v>14</v>
      </c>
      <c r="N64" s="68">
        <f>SUMIF(险种!E:E,E:E,险种!W:W)</f>
        <v>0</v>
      </c>
      <c r="O64" s="68">
        <f>IF(N:N&gt;=1,1,0)</f>
        <v>0</v>
      </c>
      <c r="P64" s="65">
        <f>ROUND(SUMIFS(险种!Q:Q,险种!V:V,$P$1,险种!E:E,E:E),1)</f>
        <v>0</v>
      </c>
      <c r="Q64" s="68">
        <f>RANK(P64,$P:$P,0)-1</f>
        <v>5</v>
      </c>
      <c r="R64" s="68" t="str">
        <f>A:A&amp;D:D&amp;G:G&amp;"在"&amp;$P$1&amp;"预收"&amp;P:P&amp;"排名中支第"&amp;Q:Q&amp;"位"</f>
        <v>淮南本部沈金悦伙伴在20210509预收0排名中支第5位</v>
      </c>
      <c r="S64" s="65">
        <f>ROUND(SUMIFS(险种!Q:Q,险种!E:E,E:E,险种!V:V,"&lt;=20210506")-SUMIFS(险种!Q:Q,险种!U:U,"终止",险种!E:E,E:E,险种!V:V,"&lt;=20210506"),1)</f>
        <v>0</v>
      </c>
      <c r="T64" s="65">
        <f>ROUND(SUMIFS(险种!Q:Q,险种!U:U,"有效",险种!E:E,E:E,险种!V:V,"&lt;=20210506"),1)</f>
        <v>0</v>
      </c>
      <c r="U64" s="65">
        <f>ROUND(SUMIFS(险种!Q:Q,险种!E:E,E:E,险种!V:V,"&lt;=20210510")-SUMIFS(险种!Q:Q,险种!U:U,"终止",险种!E:E,E:E,险种!V:V,"&lt;=20210510"),1)</f>
        <v>0</v>
      </c>
      <c r="V64" s="65">
        <f>ROUND(SUMIFS(险种!Q:Q,险种!U:U,"有效",险种!E:E,E:E,险种!V:V,"&lt;=20210510"),1)</f>
        <v>0</v>
      </c>
      <c r="W64" s="65">
        <f t="shared" si="0"/>
        <v>0</v>
      </c>
      <c r="X64" s="68">
        <f>SUMIF(险种!E:E,E:E,险种!Y:Y)</f>
        <v>0</v>
      </c>
      <c r="Y64" s="65">
        <f>MAX(_xlfn.IFS(OR(X:X=1,X:X=2),J:J*0.1,X:X&gt;=3,J:J*0.2,X:X=0,0),IF(J:J&gt;=20000,J:J*0.2,0))</f>
        <v>0</v>
      </c>
      <c r="Z64" s="65" t="str">
        <f>A64&amp;D64&amp;G64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淮南本部沈金悦伙伴5.1-5.10预收价值保费0，首周预收3000P件数0件，预收拟加佣0元。温馨提示，保单需10日（含）前承保，目前还有0价值保费未承保,开单一件即可获得10%加佣</v>
      </c>
      <c r="AA64" s="68">
        <f>SUMIF(险种!E:E,E:E,险种!Z:Z)</f>
        <v>0</v>
      </c>
      <c r="AB64" s="65"/>
      <c r="AC64" s="68">
        <f>SUMIF(险种!E:E,E:E,险种!AA:AA)</f>
        <v>0</v>
      </c>
      <c r="AD64" s="68">
        <f>SUMIFS(险种!AA:AA,险种!U:U,"有效",险种!E:E,E:E)</f>
        <v>0</v>
      </c>
      <c r="AE64" s="68" t="str">
        <f>A64&amp;D64&amp;G64&amp;"目前获得"&amp;$AC$1&amp;AC:AC&amp;"名，获得"&amp;$AD$1&amp;AD:AD&amp;"名"</f>
        <v>淮南本部沈金悦伙伴目前获得龙虾节预收名额0名，获得龙虾节承保名额0名</v>
      </c>
      <c r="AF64" s="68">
        <f>SUMIF(认购返还案!D:D,E:E,认购返还案!E:E)</f>
        <v>200</v>
      </c>
      <c r="AG64" s="68">
        <f>_xlfn.IFS(AND(U:U&gt;=3000,U:U&lt;5000),AF:AF*0.5,U:U&gt;=5000,AF:AF*1,U:U&lt;3000,0)</f>
        <v>0</v>
      </c>
      <c r="AH64" s="68">
        <f>_xlfn.IFS(AND(V:V&gt;=3000,V:V&lt;5000),AF:AF*0.5,V:V&gt;=5000,AF:AF*1,V:V&lt;3000,0)</f>
        <v>0</v>
      </c>
      <c r="AI64" s="68" t="str">
        <f>A:A&amp;D:D&amp;G:G&amp;$AF$1&amp;AF:AF&amp;"元，目前预收价值"&amp;U:U&amp;"，"&amp;$AG$1&amp;AG:AG&amp;"元，"&amp;$AH$1&amp;AH:AH&amp;"元"</f>
        <v>淮南本部沈金悦伙伴冲锋队缴费金额200元，目前预收价值0，预收拟返还0元，承保拟返还0元</v>
      </c>
      <c r="AJ64" s="68">
        <f>SUMIF(保单!R:R,E:E,保单!BE:BE)*IF(AF:AF&gt;1,1,0)</f>
        <v>0</v>
      </c>
      <c r="AK64" s="68">
        <f>SUMIFS(保单!BE:BE,保单!R:R,E:E,保单!BB:BB,"有效")*IF(AF:AF&gt;1,1,0)</f>
        <v>0</v>
      </c>
      <c r="AL64" s="72" t="str">
        <f>A:A&amp;D:D&amp;G:G&amp;"只要在1-10日承保全部保单，即可获得"&amp;$AJ$1&amp;AJ:AJ&amp;"个"</f>
        <v>淮南本部沈金悦伙伴只要在1-10日承保全部保单，即可获得冲锋队按摩仪0个</v>
      </c>
    </row>
    <row r="65" spans="1:38">
      <c r="A65" s="64" t="s">
        <v>48</v>
      </c>
      <c r="B65" s="64" t="s">
        <v>49</v>
      </c>
      <c r="C65" s="64" t="s">
        <v>50</v>
      </c>
      <c r="D65" s="64" t="s">
        <v>305</v>
      </c>
      <c r="E65" s="64">
        <v>6524201922</v>
      </c>
      <c r="F65" s="64" t="s">
        <v>158</v>
      </c>
      <c r="G65" s="64" t="str">
        <f>IF(OR(F:F="高级经理一级",F:F="业务经理一级"),"主管","伙伴")</f>
        <v>伙伴</v>
      </c>
      <c r="H65" s="65">
        <f>SUMIF(险种!E:E,E:E,险种!R:R)-SUMIFS(险种!R:R,险种!U:U,"终止",险种!E:E,E:E)</f>
        <v>0</v>
      </c>
      <c r="I65" s="65">
        <f>SUMIFS(险种!R:R,险种!U:U,"有效",险种!E:E,E:E)</f>
        <v>0</v>
      </c>
      <c r="J65" s="65">
        <f>ROUND(SUMIF(险种!E:E,E:E,险种!Q:Q)-SUMIFS(险种!Q:Q,险种!U:U,"终止",险种!E:E,E:E),1)</f>
        <v>0</v>
      </c>
      <c r="K65" s="68">
        <f>RANK(J65,J:J)</f>
        <v>22</v>
      </c>
      <c r="L65" s="65">
        <f>ROUND(SUMIFS(险种!Q:Q,险种!U:U,"有效",险种!E:E,E:E),1)</f>
        <v>0</v>
      </c>
      <c r="M65" s="68">
        <f>RANK(L65,L:L,)</f>
        <v>14</v>
      </c>
      <c r="N65" s="68">
        <f>SUMIF(险种!E:E,E:E,险种!W:W)</f>
        <v>0</v>
      </c>
      <c r="O65" s="68">
        <f>IF(N:N&gt;=1,1,0)</f>
        <v>0</v>
      </c>
      <c r="P65" s="65">
        <f>ROUND(SUMIFS(险种!Q:Q,险种!V:V,$P$1,险种!E:E,E:E),1)</f>
        <v>0</v>
      </c>
      <c r="Q65" s="68">
        <f>RANK(P65,$P:$P,0)-1</f>
        <v>5</v>
      </c>
      <c r="R65" s="68" t="str">
        <f>A:A&amp;D:D&amp;G:G&amp;"在"&amp;$P$1&amp;"预收"&amp;P:P&amp;"排名中支第"&amp;Q:Q&amp;"位"</f>
        <v>谢家集丁杰伙伴在20210509预收0排名中支第5位</v>
      </c>
      <c r="S65" s="65">
        <f>ROUND(SUMIFS(险种!Q:Q,险种!E:E,E:E,险种!V:V,"&lt;=20210506")-SUMIFS(险种!Q:Q,险种!U:U,"终止",险种!E:E,E:E,险种!V:V,"&lt;=20210506"),1)</f>
        <v>0</v>
      </c>
      <c r="T65" s="65">
        <f>ROUND(SUMIFS(险种!Q:Q,险种!U:U,"有效",险种!E:E,E:E,险种!V:V,"&lt;=20210506"),1)</f>
        <v>0</v>
      </c>
      <c r="U65" s="65">
        <f>ROUND(SUMIFS(险种!Q:Q,险种!E:E,E:E,险种!V:V,"&lt;=20210510")-SUMIFS(险种!Q:Q,险种!U:U,"终止",险种!E:E,E:E,险种!V:V,"&lt;=20210510"),1)</f>
        <v>0</v>
      </c>
      <c r="V65" s="65">
        <f>ROUND(SUMIFS(险种!Q:Q,险种!U:U,"有效",险种!E:E,E:E,险种!V:V,"&lt;=20210510"),1)</f>
        <v>0</v>
      </c>
      <c r="W65" s="65">
        <f t="shared" si="0"/>
        <v>0</v>
      </c>
      <c r="X65" s="68">
        <f>SUMIF(险种!E:E,E:E,险种!Y:Y)</f>
        <v>0</v>
      </c>
      <c r="Y65" s="65">
        <f>MAX(_xlfn.IFS(OR(X:X=1,X:X=2),J:J*0.1,X:X&gt;=3,J:J*0.2,X:X=0,0),IF(J:J&gt;=20000,J:J*0.2,0))</f>
        <v>0</v>
      </c>
      <c r="Z65" s="65" t="str">
        <f>A65&amp;D65&amp;G65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谢家集丁杰伙伴5.1-5.10预收价值保费0，首周预收3000P件数0件，预收拟加佣0元。温馨提示，保单需10日（含）前承保，目前还有0价值保费未承保,开单一件即可获得10%加佣</v>
      </c>
      <c r="AA65" s="68">
        <f>SUMIF(险种!E:E,E:E,险种!Z:Z)</f>
        <v>0</v>
      </c>
      <c r="AB65" s="65"/>
      <c r="AC65" s="68">
        <f>SUMIF(险种!E:E,E:E,险种!AA:AA)</f>
        <v>0</v>
      </c>
      <c r="AD65" s="68">
        <f>SUMIFS(险种!AA:AA,险种!U:U,"有效",险种!E:E,E:E)</f>
        <v>0</v>
      </c>
      <c r="AE65" s="68" t="str">
        <f>A65&amp;D65&amp;G65&amp;"目前获得"&amp;$AC$1&amp;AC:AC&amp;"名，获得"&amp;$AD$1&amp;AD:AD&amp;"名"</f>
        <v>谢家集丁杰伙伴目前获得龙虾节预收名额0名，获得龙虾节承保名额0名</v>
      </c>
      <c r="AF65" s="68">
        <f>SUMIF(认购返还案!D:D,E:E,认购返还案!E:E)</f>
        <v>0</v>
      </c>
      <c r="AG65" s="68">
        <f>_xlfn.IFS(AND(U:U&gt;=3000,U:U&lt;5000),AF:AF*0.5,U:U&gt;=5000,AF:AF*1,U:U&lt;3000,0)</f>
        <v>0</v>
      </c>
      <c r="AH65" s="68">
        <f>_xlfn.IFS(AND(V:V&gt;=3000,V:V&lt;5000),AF:AF*0.5,V:V&gt;=5000,AF:AF*1,V:V&lt;3000,0)</f>
        <v>0</v>
      </c>
      <c r="AI65" s="68" t="str">
        <f>A:A&amp;D:D&amp;G:G&amp;$AF$1&amp;AF:AF&amp;"元，目前预收价值"&amp;U:U&amp;"，"&amp;$AG$1&amp;AG:AG&amp;"元，"&amp;$AH$1&amp;AH:AH&amp;"元"</f>
        <v>谢家集丁杰伙伴冲锋队缴费金额0元，目前预收价值0，预收拟返还0元，承保拟返还0元</v>
      </c>
      <c r="AJ65" s="68">
        <f>SUMIF(保单!R:R,E:E,保单!BE:BE)*IF(AF:AF&gt;1,1,0)</f>
        <v>0</v>
      </c>
      <c r="AK65" s="68">
        <f>SUMIFS(保单!BE:BE,保单!R:R,E:E,保单!BB:BB,"有效")*IF(AF:AF&gt;1,1,0)</f>
        <v>0</v>
      </c>
      <c r="AL65" s="72" t="str">
        <f>A:A&amp;D:D&amp;G:G&amp;"只要在1-10日承保全部保单，即可获得"&amp;$AJ$1&amp;AJ:AJ&amp;"个"</f>
        <v>谢家集丁杰伙伴只要在1-10日承保全部保单，即可获得冲锋队按摩仪0个</v>
      </c>
    </row>
    <row r="66" spans="1:38">
      <c r="A66" s="64" t="s">
        <v>42</v>
      </c>
      <c r="B66" s="64" t="s">
        <v>62</v>
      </c>
      <c r="C66" s="64" t="s">
        <v>72</v>
      </c>
      <c r="D66" s="64" t="s">
        <v>306</v>
      </c>
      <c r="E66" s="64">
        <v>6520282942</v>
      </c>
      <c r="F66" s="64" t="s">
        <v>158</v>
      </c>
      <c r="G66" s="64" t="str">
        <f>IF(OR(F:F="高级经理一级",F:F="业务经理一级"),"主管","伙伴")</f>
        <v>伙伴</v>
      </c>
      <c r="H66" s="65">
        <f>SUMIF(险种!E:E,E:E,险种!R:R)-SUMIFS(险种!R:R,险种!U:U,"终止",险种!E:E,E:E)</f>
        <v>0</v>
      </c>
      <c r="I66" s="65">
        <f>SUMIFS(险种!R:R,险种!U:U,"有效",险种!E:E,E:E)</f>
        <v>0</v>
      </c>
      <c r="J66" s="65">
        <f>ROUND(SUMIF(险种!E:E,E:E,险种!Q:Q)-SUMIFS(险种!Q:Q,险种!U:U,"终止",险种!E:E,E:E),1)</f>
        <v>0</v>
      </c>
      <c r="K66" s="68">
        <f>RANK(J66,J:J)</f>
        <v>22</v>
      </c>
      <c r="L66" s="65">
        <f>ROUND(SUMIFS(险种!Q:Q,险种!U:U,"有效",险种!E:E,E:E),1)</f>
        <v>0</v>
      </c>
      <c r="M66" s="68">
        <f>RANK(L66,L:L,)</f>
        <v>14</v>
      </c>
      <c r="N66" s="68">
        <f>SUMIF(险种!E:E,E:E,险种!W:W)</f>
        <v>0</v>
      </c>
      <c r="O66" s="68">
        <f>IF(N:N&gt;=1,1,0)</f>
        <v>0</v>
      </c>
      <c r="P66" s="65">
        <f>ROUND(SUMIFS(险种!Q:Q,险种!V:V,$P$1,险种!E:E,E:E),1)</f>
        <v>0</v>
      </c>
      <c r="Q66" s="68">
        <f>RANK(P66,$P:$P,0)-1</f>
        <v>5</v>
      </c>
      <c r="R66" s="68" t="str">
        <f>A:A&amp;D:D&amp;G:G&amp;"在"&amp;$P$1&amp;"预收"&amp;P:P&amp;"排名中支第"&amp;Q:Q&amp;"位"</f>
        <v>淮南本部李洋伙伴在20210509预收0排名中支第5位</v>
      </c>
      <c r="S66" s="65">
        <f>ROUND(SUMIFS(险种!Q:Q,险种!E:E,E:E,险种!V:V,"&lt;=20210506")-SUMIFS(险种!Q:Q,险种!U:U,"终止",险种!E:E,E:E,险种!V:V,"&lt;=20210506"),1)</f>
        <v>0</v>
      </c>
      <c r="T66" s="65">
        <f>ROUND(SUMIFS(险种!Q:Q,险种!U:U,"有效",险种!E:E,E:E,险种!V:V,"&lt;=20210506"),1)</f>
        <v>0</v>
      </c>
      <c r="U66" s="65">
        <f>ROUND(SUMIFS(险种!Q:Q,险种!E:E,E:E,险种!V:V,"&lt;=20210510")-SUMIFS(险种!Q:Q,险种!U:U,"终止",险种!E:E,E:E,险种!V:V,"&lt;=20210510"),1)</f>
        <v>0</v>
      </c>
      <c r="V66" s="65">
        <f>ROUND(SUMIFS(险种!Q:Q,险种!U:U,"有效",险种!E:E,E:E,险种!V:V,"&lt;=20210510"),1)</f>
        <v>0</v>
      </c>
      <c r="W66" s="65">
        <f t="shared" ref="W66:W129" si="1">U66-V66</f>
        <v>0</v>
      </c>
      <c r="X66" s="68">
        <f>SUMIF(险种!E:E,E:E,险种!Y:Y)</f>
        <v>0</v>
      </c>
      <c r="Y66" s="65">
        <f>MAX(_xlfn.IFS(OR(X:X=1,X:X=2),J:J*0.1,X:X&gt;=3,J:J*0.2,X:X=0,0),IF(J:J&gt;=20000,J:J*0.2,0))</f>
        <v>0</v>
      </c>
      <c r="Z66" s="65" t="str">
        <f>A66&amp;D66&amp;G66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淮南本部李洋伙伴5.1-5.10预收价值保费0，首周预收3000P件数0件，预收拟加佣0元。温馨提示，保单需10日（含）前承保，目前还有0价值保费未承保,开单一件即可获得10%加佣</v>
      </c>
      <c r="AA66" s="68">
        <f>SUMIF(险种!E:E,E:E,险种!Z:Z)</f>
        <v>0</v>
      </c>
      <c r="AB66" s="65"/>
      <c r="AC66" s="68">
        <f>SUMIF(险种!E:E,E:E,险种!AA:AA)</f>
        <v>0</v>
      </c>
      <c r="AD66" s="68">
        <f>SUMIFS(险种!AA:AA,险种!U:U,"有效",险种!E:E,E:E)</f>
        <v>0</v>
      </c>
      <c r="AE66" s="68" t="str">
        <f>A66&amp;D66&amp;G66&amp;"目前获得"&amp;$AC$1&amp;AC:AC&amp;"名，获得"&amp;$AD$1&amp;AD:AD&amp;"名"</f>
        <v>淮南本部李洋伙伴目前获得龙虾节预收名额0名，获得龙虾节承保名额0名</v>
      </c>
      <c r="AF66" s="68">
        <f>SUMIF(认购返还案!D:D,E:E,认购返还案!E:E)</f>
        <v>0</v>
      </c>
      <c r="AG66" s="68">
        <f>_xlfn.IFS(AND(U:U&gt;=3000,U:U&lt;5000),AF:AF*0.5,U:U&gt;=5000,AF:AF*1,U:U&lt;3000,0)</f>
        <v>0</v>
      </c>
      <c r="AH66" s="68">
        <f>_xlfn.IFS(AND(V:V&gt;=3000,V:V&lt;5000),AF:AF*0.5,V:V&gt;=5000,AF:AF*1,V:V&lt;3000,0)</f>
        <v>0</v>
      </c>
      <c r="AI66" s="68" t="str">
        <f>A:A&amp;D:D&amp;G:G&amp;$AF$1&amp;AF:AF&amp;"元，目前预收价值"&amp;U:U&amp;"，"&amp;$AG$1&amp;AG:AG&amp;"元，"&amp;$AH$1&amp;AH:AH&amp;"元"</f>
        <v>淮南本部李洋伙伴冲锋队缴费金额0元，目前预收价值0，预收拟返还0元，承保拟返还0元</v>
      </c>
      <c r="AJ66" s="68">
        <f>SUMIF(保单!R:R,E:E,保单!BE:BE)*IF(AF:AF&gt;1,1,0)</f>
        <v>0</v>
      </c>
      <c r="AK66" s="68">
        <f>SUMIFS(保单!BE:BE,保单!R:R,E:E,保单!BB:BB,"有效")*IF(AF:AF&gt;1,1,0)</f>
        <v>0</v>
      </c>
      <c r="AL66" s="72" t="str">
        <f>A:A&amp;D:D&amp;G:G&amp;"只要在1-10日承保全部保单，即可获得"&amp;$AJ$1&amp;AJ:AJ&amp;"个"</f>
        <v>淮南本部李洋伙伴只要在1-10日承保全部保单，即可获得冲锋队按摩仪0个</v>
      </c>
    </row>
    <row r="67" spans="1:38">
      <c r="A67" s="64" t="s">
        <v>42</v>
      </c>
      <c r="B67" s="64" t="s">
        <v>62</v>
      </c>
      <c r="C67" s="64" t="s">
        <v>72</v>
      </c>
      <c r="D67" s="64" t="s">
        <v>307</v>
      </c>
      <c r="E67" s="64">
        <v>6520274772</v>
      </c>
      <c r="F67" s="64" t="s">
        <v>158</v>
      </c>
      <c r="G67" s="64" t="str">
        <f>IF(OR(F:F="高级经理一级",F:F="业务经理一级"),"主管","伙伴")</f>
        <v>伙伴</v>
      </c>
      <c r="H67" s="65">
        <f>SUMIF(险种!E:E,E:E,险种!R:R)-SUMIFS(险种!R:R,险种!U:U,"终止",险种!E:E,E:E)</f>
        <v>0</v>
      </c>
      <c r="I67" s="65">
        <f>SUMIFS(险种!R:R,险种!U:U,"有效",险种!E:E,E:E)</f>
        <v>0</v>
      </c>
      <c r="J67" s="65">
        <f>ROUND(SUMIF(险种!E:E,E:E,险种!Q:Q)-SUMIFS(险种!Q:Q,险种!U:U,"终止",险种!E:E,E:E),1)</f>
        <v>0</v>
      </c>
      <c r="K67" s="68">
        <f>RANK(J67,J:J)</f>
        <v>22</v>
      </c>
      <c r="L67" s="65">
        <f>ROUND(SUMIFS(险种!Q:Q,险种!U:U,"有效",险种!E:E,E:E),1)</f>
        <v>0</v>
      </c>
      <c r="M67" s="68">
        <f>RANK(L67,L:L,)</f>
        <v>14</v>
      </c>
      <c r="N67" s="68">
        <f>SUMIF(险种!E:E,E:E,险种!W:W)</f>
        <v>0</v>
      </c>
      <c r="O67" s="68">
        <f>IF(N:N&gt;=1,1,0)</f>
        <v>0</v>
      </c>
      <c r="P67" s="65">
        <f>ROUND(SUMIFS(险种!Q:Q,险种!V:V,$P$1,险种!E:E,E:E),1)</f>
        <v>0</v>
      </c>
      <c r="Q67" s="68">
        <f>RANK(P67,$P:$P,0)-1</f>
        <v>5</v>
      </c>
      <c r="R67" s="68" t="str">
        <f>A:A&amp;D:D&amp;G:G&amp;"在"&amp;$P$1&amp;"预收"&amp;P:P&amp;"排名中支第"&amp;Q:Q&amp;"位"</f>
        <v>淮南本部王静伙伴在20210509预收0排名中支第5位</v>
      </c>
      <c r="S67" s="65">
        <f>ROUND(SUMIFS(险种!Q:Q,险种!E:E,E:E,险种!V:V,"&lt;=20210506")-SUMIFS(险种!Q:Q,险种!U:U,"终止",险种!E:E,E:E,险种!V:V,"&lt;=20210506"),1)</f>
        <v>0</v>
      </c>
      <c r="T67" s="65">
        <f>ROUND(SUMIFS(险种!Q:Q,险种!U:U,"有效",险种!E:E,E:E,险种!V:V,"&lt;=20210506"),1)</f>
        <v>0</v>
      </c>
      <c r="U67" s="65">
        <f>ROUND(SUMIFS(险种!Q:Q,险种!E:E,E:E,险种!V:V,"&lt;=20210510")-SUMIFS(险种!Q:Q,险种!U:U,"终止",险种!E:E,E:E,险种!V:V,"&lt;=20210510"),1)</f>
        <v>0</v>
      </c>
      <c r="V67" s="65">
        <f>ROUND(SUMIFS(险种!Q:Q,险种!U:U,"有效",险种!E:E,E:E,险种!V:V,"&lt;=20210510"),1)</f>
        <v>0</v>
      </c>
      <c r="W67" s="65">
        <f t="shared" si="1"/>
        <v>0</v>
      </c>
      <c r="X67" s="68">
        <f>SUMIF(险种!E:E,E:E,险种!Y:Y)</f>
        <v>0</v>
      </c>
      <c r="Y67" s="65">
        <f>MAX(_xlfn.IFS(OR(X:X=1,X:X=2),J:J*0.1,X:X&gt;=3,J:J*0.2,X:X=0,0),IF(J:J&gt;=20000,J:J*0.2,0))</f>
        <v>0</v>
      </c>
      <c r="Z67" s="65" t="str">
        <f>A67&amp;D67&amp;G67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淮南本部王静伙伴5.1-5.10预收价值保费0，首周预收3000P件数0件，预收拟加佣0元。温馨提示，保单需10日（含）前承保，目前还有0价值保费未承保,开单一件即可获得10%加佣</v>
      </c>
      <c r="AA67" s="68">
        <f>SUMIF(险种!E:E,E:E,险种!Z:Z)</f>
        <v>0</v>
      </c>
      <c r="AB67" s="65"/>
      <c r="AC67" s="68">
        <f>SUMIF(险种!E:E,E:E,险种!AA:AA)</f>
        <v>0</v>
      </c>
      <c r="AD67" s="68">
        <f>SUMIFS(险种!AA:AA,险种!U:U,"有效",险种!E:E,E:E)</f>
        <v>0</v>
      </c>
      <c r="AE67" s="68" t="str">
        <f>A67&amp;D67&amp;G67&amp;"目前获得"&amp;$AC$1&amp;AC:AC&amp;"名，获得"&amp;$AD$1&amp;AD:AD&amp;"名"</f>
        <v>淮南本部王静伙伴目前获得龙虾节预收名额0名，获得龙虾节承保名额0名</v>
      </c>
      <c r="AF67" s="68">
        <f>SUMIF(认购返还案!D:D,E:E,认购返还案!E:E)</f>
        <v>0</v>
      </c>
      <c r="AG67" s="68">
        <f>_xlfn.IFS(AND(U:U&gt;=3000,U:U&lt;5000),AF:AF*0.5,U:U&gt;=5000,AF:AF*1,U:U&lt;3000,0)</f>
        <v>0</v>
      </c>
      <c r="AH67" s="68">
        <f>_xlfn.IFS(AND(V:V&gt;=3000,V:V&lt;5000),AF:AF*0.5,V:V&gt;=5000,AF:AF*1,V:V&lt;3000,0)</f>
        <v>0</v>
      </c>
      <c r="AI67" s="68" t="str">
        <f>A:A&amp;D:D&amp;G:G&amp;$AF$1&amp;AF:AF&amp;"元，目前预收价值"&amp;U:U&amp;"，"&amp;$AG$1&amp;AG:AG&amp;"元，"&amp;$AH$1&amp;AH:AH&amp;"元"</f>
        <v>淮南本部王静伙伴冲锋队缴费金额0元，目前预收价值0，预收拟返还0元，承保拟返还0元</v>
      </c>
      <c r="AJ67" s="68">
        <f>SUMIF(保单!R:R,E:E,保单!BE:BE)*IF(AF:AF&gt;1,1,0)</f>
        <v>0</v>
      </c>
      <c r="AK67" s="68">
        <f>SUMIFS(保单!BE:BE,保单!R:R,E:E,保单!BB:BB,"有效")*IF(AF:AF&gt;1,1,0)</f>
        <v>0</v>
      </c>
      <c r="AL67" s="72" t="str">
        <f>A:A&amp;D:D&amp;G:G&amp;"只要在1-10日承保全部保单，即可获得"&amp;$AJ$1&amp;AJ:AJ&amp;"个"</f>
        <v>淮南本部王静伙伴只要在1-10日承保全部保单，即可获得冲锋队按摩仪0个</v>
      </c>
    </row>
    <row r="68" spans="1:38">
      <c r="A68" s="64" t="s">
        <v>42</v>
      </c>
      <c r="B68" s="64" t="s">
        <v>62</v>
      </c>
      <c r="C68" s="64" t="s">
        <v>72</v>
      </c>
      <c r="D68" s="64" t="s">
        <v>308</v>
      </c>
      <c r="E68" s="64">
        <v>6520254832</v>
      </c>
      <c r="F68" s="64" t="s">
        <v>158</v>
      </c>
      <c r="G68" s="64" t="str">
        <f>IF(OR(F:F="高级经理一级",F:F="业务经理一级"),"主管","伙伴")</f>
        <v>伙伴</v>
      </c>
      <c r="H68" s="65">
        <f>SUMIF(险种!E:E,E:E,险种!R:R)-SUMIFS(险种!R:R,险种!U:U,"终止",险种!E:E,E:E)</f>
        <v>0</v>
      </c>
      <c r="I68" s="65">
        <f>SUMIFS(险种!R:R,险种!U:U,"有效",险种!E:E,E:E)</f>
        <v>0</v>
      </c>
      <c r="J68" s="65">
        <f>ROUND(SUMIF(险种!E:E,E:E,险种!Q:Q)-SUMIFS(险种!Q:Q,险种!U:U,"终止",险种!E:E,E:E),1)</f>
        <v>0</v>
      </c>
      <c r="K68" s="68">
        <f>RANK(J68,J:J)</f>
        <v>22</v>
      </c>
      <c r="L68" s="65">
        <f>ROUND(SUMIFS(险种!Q:Q,险种!U:U,"有效",险种!E:E,E:E),1)</f>
        <v>0</v>
      </c>
      <c r="M68" s="68">
        <f>RANK(L68,L:L,)</f>
        <v>14</v>
      </c>
      <c r="N68" s="68">
        <f>SUMIF(险种!E:E,E:E,险种!W:W)</f>
        <v>0</v>
      </c>
      <c r="O68" s="68">
        <f>IF(N:N&gt;=1,1,0)</f>
        <v>0</v>
      </c>
      <c r="P68" s="65">
        <f>ROUND(SUMIFS(险种!Q:Q,险种!V:V,$P$1,险种!E:E,E:E),1)</f>
        <v>0</v>
      </c>
      <c r="Q68" s="68">
        <f>RANK(P68,$P:$P,0)-1</f>
        <v>5</v>
      </c>
      <c r="R68" s="68" t="str">
        <f>A:A&amp;D:D&amp;G:G&amp;"在"&amp;$P$1&amp;"预收"&amp;P:P&amp;"排名中支第"&amp;Q:Q&amp;"位"</f>
        <v>淮南本部陈家甫伙伴在20210509预收0排名中支第5位</v>
      </c>
      <c r="S68" s="65">
        <f>ROUND(SUMIFS(险种!Q:Q,险种!E:E,E:E,险种!V:V,"&lt;=20210506")-SUMIFS(险种!Q:Q,险种!U:U,"终止",险种!E:E,E:E,险种!V:V,"&lt;=20210506"),1)</f>
        <v>0</v>
      </c>
      <c r="T68" s="65">
        <f>ROUND(SUMIFS(险种!Q:Q,险种!U:U,"有效",险种!E:E,E:E,险种!V:V,"&lt;=20210506"),1)</f>
        <v>0</v>
      </c>
      <c r="U68" s="65">
        <f>ROUND(SUMIFS(险种!Q:Q,险种!E:E,E:E,险种!V:V,"&lt;=20210510")-SUMIFS(险种!Q:Q,险种!U:U,"终止",险种!E:E,E:E,险种!V:V,"&lt;=20210510"),1)</f>
        <v>0</v>
      </c>
      <c r="V68" s="65">
        <f>ROUND(SUMIFS(险种!Q:Q,险种!U:U,"有效",险种!E:E,E:E,险种!V:V,"&lt;=20210510"),1)</f>
        <v>0</v>
      </c>
      <c r="W68" s="65">
        <f t="shared" si="1"/>
        <v>0</v>
      </c>
      <c r="X68" s="68">
        <f>SUMIF(险种!E:E,E:E,险种!Y:Y)</f>
        <v>0</v>
      </c>
      <c r="Y68" s="65">
        <f>MAX(_xlfn.IFS(OR(X:X=1,X:X=2),J:J*0.1,X:X&gt;=3,J:J*0.2,X:X=0,0),IF(J:J&gt;=20000,J:J*0.2,0))</f>
        <v>0</v>
      </c>
      <c r="Z68" s="65" t="str">
        <f>A68&amp;D68&amp;G68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淮南本部陈家甫伙伴5.1-5.10预收价值保费0，首周预收3000P件数0件，预收拟加佣0元。温馨提示，保单需10日（含）前承保，目前还有0价值保费未承保,开单一件即可获得10%加佣</v>
      </c>
      <c r="AA68" s="68">
        <f>SUMIF(险种!E:E,E:E,险种!Z:Z)</f>
        <v>0</v>
      </c>
      <c r="AB68" s="65"/>
      <c r="AC68" s="68">
        <f>SUMIF(险种!E:E,E:E,险种!AA:AA)</f>
        <v>0</v>
      </c>
      <c r="AD68" s="68">
        <f>SUMIFS(险种!AA:AA,险种!U:U,"有效",险种!E:E,E:E)</f>
        <v>0</v>
      </c>
      <c r="AE68" s="68" t="str">
        <f>A68&amp;D68&amp;G68&amp;"目前获得"&amp;$AC$1&amp;AC:AC&amp;"名，获得"&amp;$AD$1&amp;AD:AD&amp;"名"</f>
        <v>淮南本部陈家甫伙伴目前获得龙虾节预收名额0名，获得龙虾节承保名额0名</v>
      </c>
      <c r="AF68" s="68">
        <f>SUMIF(认购返还案!D:D,E:E,认购返还案!E:E)</f>
        <v>0</v>
      </c>
      <c r="AG68" s="68">
        <f>_xlfn.IFS(AND(U:U&gt;=3000,U:U&lt;5000),AF:AF*0.5,U:U&gt;=5000,AF:AF*1,U:U&lt;3000,0)</f>
        <v>0</v>
      </c>
      <c r="AH68" s="68">
        <f>_xlfn.IFS(AND(V:V&gt;=3000,V:V&lt;5000),AF:AF*0.5,V:V&gt;=5000,AF:AF*1,V:V&lt;3000,0)</f>
        <v>0</v>
      </c>
      <c r="AI68" s="68" t="str">
        <f>A:A&amp;D:D&amp;G:G&amp;$AF$1&amp;AF:AF&amp;"元，目前预收价值"&amp;U:U&amp;"，"&amp;$AG$1&amp;AG:AG&amp;"元，"&amp;$AH$1&amp;AH:AH&amp;"元"</f>
        <v>淮南本部陈家甫伙伴冲锋队缴费金额0元，目前预收价值0，预收拟返还0元，承保拟返还0元</v>
      </c>
      <c r="AJ68" s="68">
        <f>SUMIF(保单!R:R,E:E,保单!BE:BE)*IF(AF:AF&gt;1,1,0)</f>
        <v>0</v>
      </c>
      <c r="AK68" s="68">
        <f>SUMIFS(保单!BE:BE,保单!R:R,E:E,保单!BB:BB,"有效")*IF(AF:AF&gt;1,1,0)</f>
        <v>0</v>
      </c>
      <c r="AL68" s="72" t="str">
        <f>A:A&amp;D:D&amp;G:G&amp;"只要在1-10日承保全部保单，即可获得"&amp;$AJ$1&amp;AJ:AJ&amp;"个"</f>
        <v>淮南本部陈家甫伙伴只要在1-10日承保全部保单，即可获得冲锋队按摩仪0个</v>
      </c>
    </row>
    <row r="69" spans="1:38">
      <c r="A69" s="64" t="s">
        <v>27</v>
      </c>
      <c r="B69" s="64" t="s">
        <v>28</v>
      </c>
      <c r="C69" s="64" t="s">
        <v>29</v>
      </c>
      <c r="D69" s="64" t="s">
        <v>309</v>
      </c>
      <c r="E69" s="64">
        <v>6501704222</v>
      </c>
      <c r="F69" s="64" t="s">
        <v>168</v>
      </c>
      <c r="G69" s="64" t="str">
        <f>IF(OR(F:F="高级经理一级",F:F="业务经理一级"),"主管","伙伴")</f>
        <v>伙伴</v>
      </c>
      <c r="H69" s="65">
        <f>SUMIF(险种!E:E,E:E,险种!R:R)-SUMIFS(险种!R:R,险种!U:U,"终止",险种!E:E,E:E)</f>
        <v>0</v>
      </c>
      <c r="I69" s="65">
        <f>SUMIFS(险种!R:R,险种!U:U,"有效",险种!E:E,E:E)</f>
        <v>0</v>
      </c>
      <c r="J69" s="65">
        <f>ROUND(SUMIF(险种!E:E,E:E,险种!Q:Q)-SUMIFS(险种!Q:Q,险种!U:U,"终止",险种!E:E,E:E),1)</f>
        <v>0</v>
      </c>
      <c r="K69" s="68">
        <f>RANK(J69,J:J)</f>
        <v>22</v>
      </c>
      <c r="L69" s="65">
        <f>ROUND(SUMIFS(险种!Q:Q,险种!U:U,"有效",险种!E:E,E:E),1)</f>
        <v>0</v>
      </c>
      <c r="M69" s="68">
        <f>RANK(L69,L:L,)</f>
        <v>14</v>
      </c>
      <c r="N69" s="68">
        <f>SUMIF(险种!E:E,E:E,险种!W:W)</f>
        <v>0</v>
      </c>
      <c r="O69" s="68">
        <f>IF(N:N&gt;=1,1,0)</f>
        <v>0</v>
      </c>
      <c r="P69" s="65">
        <f>ROUND(SUMIFS(险种!Q:Q,险种!V:V,$P$1,险种!E:E,E:E),1)</f>
        <v>0</v>
      </c>
      <c r="Q69" s="68">
        <f>RANK(P69,$P:$P,0)-1</f>
        <v>5</v>
      </c>
      <c r="R69" s="68" t="str">
        <f>A:A&amp;D:D&amp;G:G&amp;"在"&amp;$P$1&amp;"预收"&amp;P:P&amp;"排名中支第"&amp;Q:Q&amp;"位"</f>
        <v>凤台李悦伙伴在20210509预收0排名中支第5位</v>
      </c>
      <c r="S69" s="65">
        <f>ROUND(SUMIFS(险种!Q:Q,险种!E:E,E:E,险种!V:V,"&lt;=20210506")-SUMIFS(险种!Q:Q,险种!U:U,"终止",险种!E:E,E:E,险种!V:V,"&lt;=20210506"),1)</f>
        <v>0</v>
      </c>
      <c r="T69" s="65">
        <f>ROUND(SUMIFS(险种!Q:Q,险种!U:U,"有效",险种!E:E,E:E,险种!V:V,"&lt;=20210506"),1)</f>
        <v>0</v>
      </c>
      <c r="U69" s="65">
        <f>ROUND(SUMIFS(险种!Q:Q,险种!E:E,E:E,险种!V:V,"&lt;=20210510")-SUMIFS(险种!Q:Q,险种!U:U,"终止",险种!E:E,E:E,险种!V:V,"&lt;=20210510"),1)</f>
        <v>0</v>
      </c>
      <c r="V69" s="65">
        <f>ROUND(SUMIFS(险种!Q:Q,险种!U:U,"有效",险种!E:E,E:E,险种!V:V,"&lt;=20210510"),1)</f>
        <v>0</v>
      </c>
      <c r="W69" s="65">
        <f t="shared" si="1"/>
        <v>0</v>
      </c>
      <c r="X69" s="68">
        <f>SUMIF(险种!E:E,E:E,险种!Y:Y)</f>
        <v>0</v>
      </c>
      <c r="Y69" s="65">
        <f>MAX(_xlfn.IFS(OR(X:X=1,X:X=2),J:J*0.1,X:X&gt;=3,J:J*0.2,X:X=0,0),IF(J:J&gt;=20000,J:J*0.2,0))</f>
        <v>0</v>
      </c>
      <c r="Z69" s="65" t="str">
        <f>A69&amp;D69&amp;G69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凤台李悦伙伴5.1-5.10预收价值保费0，首周预收3000P件数0件，预收拟加佣0元。温馨提示，保单需10日（含）前承保，目前还有0价值保费未承保,开单一件即可获得10%加佣</v>
      </c>
      <c r="AA69" s="68">
        <f>SUMIF(险种!E:E,E:E,险种!Z:Z)</f>
        <v>0</v>
      </c>
      <c r="AB69" s="65"/>
      <c r="AC69" s="68">
        <f>SUMIF(险种!E:E,E:E,险种!AA:AA)</f>
        <v>0</v>
      </c>
      <c r="AD69" s="68">
        <f>SUMIFS(险种!AA:AA,险种!U:U,"有效",险种!E:E,E:E)</f>
        <v>0</v>
      </c>
      <c r="AE69" s="68" t="str">
        <f>A69&amp;D69&amp;G69&amp;"目前获得"&amp;$AC$1&amp;AC:AC&amp;"名，获得"&amp;$AD$1&amp;AD:AD&amp;"名"</f>
        <v>凤台李悦伙伴目前获得龙虾节预收名额0名，获得龙虾节承保名额0名</v>
      </c>
      <c r="AF69" s="68">
        <f>SUMIF(认购返还案!D:D,E:E,认购返还案!E:E)</f>
        <v>200</v>
      </c>
      <c r="AG69" s="68">
        <f>_xlfn.IFS(AND(U:U&gt;=3000,U:U&lt;5000),AF:AF*0.5,U:U&gt;=5000,AF:AF*1,U:U&lt;3000,0)</f>
        <v>0</v>
      </c>
      <c r="AH69" s="68">
        <f>_xlfn.IFS(AND(V:V&gt;=3000,V:V&lt;5000),AF:AF*0.5,V:V&gt;=5000,AF:AF*1,V:V&lt;3000,0)</f>
        <v>0</v>
      </c>
      <c r="AI69" s="68" t="str">
        <f>A:A&amp;D:D&amp;G:G&amp;$AF$1&amp;AF:AF&amp;"元，目前预收价值"&amp;U:U&amp;"，"&amp;$AG$1&amp;AG:AG&amp;"元，"&amp;$AH$1&amp;AH:AH&amp;"元"</f>
        <v>凤台李悦伙伴冲锋队缴费金额200元，目前预收价值0，预收拟返还0元，承保拟返还0元</v>
      </c>
      <c r="AJ69" s="68">
        <f>SUMIF(保单!R:R,E:E,保单!BE:BE)*IF(AF:AF&gt;1,1,0)</f>
        <v>0</v>
      </c>
      <c r="AK69" s="68">
        <f>SUMIFS(保单!BE:BE,保单!R:R,E:E,保单!BB:BB,"有效")*IF(AF:AF&gt;1,1,0)</f>
        <v>0</v>
      </c>
      <c r="AL69" s="72" t="str">
        <f>A:A&amp;D:D&amp;G:G&amp;"只要在1-10日承保全部保单，即可获得"&amp;$AJ$1&amp;AJ:AJ&amp;"个"</f>
        <v>凤台李悦伙伴只要在1-10日承保全部保单，即可获得冲锋队按摩仪0个</v>
      </c>
    </row>
    <row r="70" spans="1:38">
      <c r="A70" s="64" t="s">
        <v>42</v>
      </c>
      <c r="B70" s="64" t="s">
        <v>62</v>
      </c>
      <c r="C70" s="64" t="s">
        <v>228</v>
      </c>
      <c r="D70" s="64" t="s">
        <v>310</v>
      </c>
      <c r="E70" s="64">
        <v>6497433522</v>
      </c>
      <c r="F70" s="64" t="s">
        <v>158</v>
      </c>
      <c r="G70" s="64" t="str">
        <f>IF(OR(F:F="高级经理一级",F:F="业务经理一级"),"主管","伙伴")</f>
        <v>伙伴</v>
      </c>
      <c r="H70" s="65">
        <f>SUMIF(险种!E:E,E:E,险种!R:R)-SUMIFS(险种!R:R,险种!U:U,"终止",险种!E:E,E:E)</f>
        <v>0</v>
      </c>
      <c r="I70" s="65">
        <f>SUMIFS(险种!R:R,险种!U:U,"有效",险种!E:E,E:E)</f>
        <v>0</v>
      </c>
      <c r="J70" s="65">
        <f>ROUND(SUMIF(险种!E:E,E:E,险种!Q:Q)-SUMIFS(险种!Q:Q,险种!U:U,"终止",险种!E:E,E:E),1)</f>
        <v>0</v>
      </c>
      <c r="K70" s="68">
        <f>RANK(J70,J:J)</f>
        <v>22</v>
      </c>
      <c r="L70" s="65">
        <f>ROUND(SUMIFS(险种!Q:Q,险种!U:U,"有效",险种!E:E,E:E),1)</f>
        <v>0</v>
      </c>
      <c r="M70" s="68">
        <f>RANK(L70,L:L,)</f>
        <v>14</v>
      </c>
      <c r="N70" s="68">
        <f>SUMIF(险种!E:E,E:E,险种!W:W)</f>
        <v>0</v>
      </c>
      <c r="O70" s="68">
        <f>IF(N:N&gt;=1,1,0)</f>
        <v>0</v>
      </c>
      <c r="P70" s="65">
        <f>ROUND(SUMIFS(险种!Q:Q,险种!V:V,$P$1,险种!E:E,E:E),1)</f>
        <v>0</v>
      </c>
      <c r="Q70" s="68">
        <f>RANK(P70,$P:$P,0)-1</f>
        <v>5</v>
      </c>
      <c r="R70" s="68" t="str">
        <f>A:A&amp;D:D&amp;G:G&amp;"在"&amp;$P$1&amp;"预收"&amp;P:P&amp;"排名中支第"&amp;Q:Q&amp;"位"</f>
        <v>淮南本部李玲俐伙伴在20210509预收0排名中支第5位</v>
      </c>
      <c r="S70" s="65">
        <f>ROUND(SUMIFS(险种!Q:Q,险种!E:E,E:E,险种!V:V,"&lt;=20210506")-SUMIFS(险种!Q:Q,险种!U:U,"终止",险种!E:E,E:E,险种!V:V,"&lt;=20210506"),1)</f>
        <v>0</v>
      </c>
      <c r="T70" s="65">
        <f>ROUND(SUMIFS(险种!Q:Q,险种!U:U,"有效",险种!E:E,E:E,险种!V:V,"&lt;=20210506"),1)</f>
        <v>0</v>
      </c>
      <c r="U70" s="65">
        <f>ROUND(SUMIFS(险种!Q:Q,险种!E:E,E:E,险种!V:V,"&lt;=20210510")-SUMIFS(险种!Q:Q,险种!U:U,"终止",险种!E:E,E:E,险种!V:V,"&lt;=20210510"),1)</f>
        <v>0</v>
      </c>
      <c r="V70" s="65">
        <f>ROUND(SUMIFS(险种!Q:Q,险种!U:U,"有效",险种!E:E,E:E,险种!V:V,"&lt;=20210510"),1)</f>
        <v>0</v>
      </c>
      <c r="W70" s="65">
        <f t="shared" si="1"/>
        <v>0</v>
      </c>
      <c r="X70" s="68">
        <f>SUMIF(险种!E:E,E:E,险种!Y:Y)</f>
        <v>0</v>
      </c>
      <c r="Y70" s="65">
        <f>MAX(_xlfn.IFS(OR(X:X=1,X:X=2),J:J*0.1,X:X&gt;=3,J:J*0.2,X:X=0,0),IF(J:J&gt;=20000,J:J*0.2,0))</f>
        <v>0</v>
      </c>
      <c r="Z70" s="65" t="str">
        <f>A70&amp;D70&amp;G70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淮南本部李玲俐伙伴5.1-5.10预收价值保费0，首周预收3000P件数0件，预收拟加佣0元。温馨提示，保单需10日（含）前承保，目前还有0价值保费未承保,开单一件即可获得10%加佣</v>
      </c>
      <c r="AA70" s="68">
        <f>SUMIF(险种!E:E,E:E,险种!Z:Z)</f>
        <v>0</v>
      </c>
      <c r="AB70" s="65"/>
      <c r="AC70" s="68">
        <f>SUMIF(险种!E:E,E:E,险种!AA:AA)</f>
        <v>0</v>
      </c>
      <c r="AD70" s="68">
        <f>SUMIFS(险种!AA:AA,险种!U:U,"有效",险种!E:E,E:E)</f>
        <v>0</v>
      </c>
      <c r="AE70" s="68" t="str">
        <f>A70&amp;D70&amp;G70&amp;"目前获得"&amp;$AC$1&amp;AC:AC&amp;"名，获得"&amp;$AD$1&amp;AD:AD&amp;"名"</f>
        <v>淮南本部李玲俐伙伴目前获得龙虾节预收名额0名，获得龙虾节承保名额0名</v>
      </c>
      <c r="AF70" s="68">
        <f>SUMIF(认购返还案!D:D,E:E,认购返还案!E:E)</f>
        <v>0</v>
      </c>
      <c r="AG70" s="68">
        <f>_xlfn.IFS(AND(U:U&gt;=3000,U:U&lt;5000),AF:AF*0.5,U:U&gt;=5000,AF:AF*1,U:U&lt;3000,0)</f>
        <v>0</v>
      </c>
      <c r="AH70" s="68">
        <f>_xlfn.IFS(AND(V:V&gt;=3000,V:V&lt;5000),AF:AF*0.5,V:V&gt;=5000,AF:AF*1,V:V&lt;3000,0)</f>
        <v>0</v>
      </c>
      <c r="AI70" s="68" t="str">
        <f>A:A&amp;D:D&amp;G:G&amp;$AF$1&amp;AF:AF&amp;"元，目前预收价值"&amp;U:U&amp;"，"&amp;$AG$1&amp;AG:AG&amp;"元，"&amp;$AH$1&amp;AH:AH&amp;"元"</f>
        <v>淮南本部李玲俐伙伴冲锋队缴费金额0元，目前预收价值0，预收拟返还0元，承保拟返还0元</v>
      </c>
      <c r="AJ70" s="68">
        <f>SUMIF(保单!R:R,E:E,保单!BE:BE)*IF(AF:AF&gt;1,1,0)</f>
        <v>0</v>
      </c>
      <c r="AK70" s="68">
        <f>SUMIFS(保单!BE:BE,保单!R:R,E:E,保单!BB:BB,"有效")*IF(AF:AF&gt;1,1,0)</f>
        <v>0</v>
      </c>
      <c r="AL70" s="72" t="str">
        <f>A:A&amp;D:D&amp;G:G&amp;"只要在1-10日承保全部保单，即可获得"&amp;$AJ$1&amp;AJ:AJ&amp;"个"</f>
        <v>淮南本部李玲俐伙伴只要在1-10日承保全部保单，即可获得冲锋队按摩仪0个</v>
      </c>
    </row>
    <row r="71" spans="1:38">
      <c r="A71" s="64" t="s">
        <v>48</v>
      </c>
      <c r="B71" s="64" t="s">
        <v>49</v>
      </c>
      <c r="C71" s="64" t="s">
        <v>98</v>
      </c>
      <c r="D71" s="64" t="s">
        <v>311</v>
      </c>
      <c r="E71" s="64">
        <v>6497424452</v>
      </c>
      <c r="F71" s="64" t="s">
        <v>158</v>
      </c>
      <c r="G71" s="64" t="str">
        <f>IF(OR(F:F="高级经理一级",F:F="业务经理一级"),"主管","伙伴")</f>
        <v>伙伴</v>
      </c>
      <c r="H71" s="65">
        <f>SUMIF(险种!E:E,E:E,险种!R:R)-SUMIFS(险种!R:R,险种!U:U,"终止",险种!E:E,E:E)</f>
        <v>0</v>
      </c>
      <c r="I71" s="65">
        <f>SUMIFS(险种!R:R,险种!U:U,"有效",险种!E:E,E:E)</f>
        <v>0</v>
      </c>
      <c r="J71" s="65">
        <f>ROUND(SUMIF(险种!E:E,E:E,险种!Q:Q)-SUMIFS(险种!Q:Q,险种!U:U,"终止",险种!E:E,E:E),1)</f>
        <v>0</v>
      </c>
      <c r="K71" s="68">
        <f>RANK(J71,J:J)</f>
        <v>22</v>
      </c>
      <c r="L71" s="65">
        <f>ROUND(SUMIFS(险种!Q:Q,险种!U:U,"有效",险种!E:E,E:E),1)</f>
        <v>0</v>
      </c>
      <c r="M71" s="68">
        <f>RANK(L71,L:L,)</f>
        <v>14</v>
      </c>
      <c r="N71" s="68">
        <f>SUMIF(险种!E:E,E:E,险种!W:W)</f>
        <v>0</v>
      </c>
      <c r="O71" s="68">
        <f>IF(N:N&gt;=1,1,0)</f>
        <v>0</v>
      </c>
      <c r="P71" s="65">
        <f>ROUND(SUMIFS(险种!Q:Q,险种!V:V,$P$1,险种!E:E,E:E),1)</f>
        <v>0</v>
      </c>
      <c r="Q71" s="68">
        <f>RANK(P71,$P:$P,0)-1</f>
        <v>5</v>
      </c>
      <c r="R71" s="68" t="str">
        <f>A:A&amp;D:D&amp;G:G&amp;"在"&amp;$P$1&amp;"预收"&amp;P:P&amp;"排名中支第"&amp;Q:Q&amp;"位"</f>
        <v>谢家集胡文卿伙伴在20210509预收0排名中支第5位</v>
      </c>
      <c r="S71" s="65">
        <f>ROUND(SUMIFS(险种!Q:Q,险种!E:E,E:E,险种!V:V,"&lt;=20210506")-SUMIFS(险种!Q:Q,险种!U:U,"终止",险种!E:E,E:E,险种!V:V,"&lt;=20210506"),1)</f>
        <v>0</v>
      </c>
      <c r="T71" s="65">
        <f>ROUND(SUMIFS(险种!Q:Q,险种!U:U,"有效",险种!E:E,E:E,险种!V:V,"&lt;=20210506"),1)</f>
        <v>0</v>
      </c>
      <c r="U71" s="65">
        <f>ROUND(SUMIFS(险种!Q:Q,险种!E:E,E:E,险种!V:V,"&lt;=20210510")-SUMIFS(险种!Q:Q,险种!U:U,"终止",险种!E:E,E:E,险种!V:V,"&lt;=20210510"),1)</f>
        <v>0</v>
      </c>
      <c r="V71" s="65">
        <f>ROUND(SUMIFS(险种!Q:Q,险种!U:U,"有效",险种!E:E,E:E,险种!V:V,"&lt;=20210510"),1)</f>
        <v>0</v>
      </c>
      <c r="W71" s="65">
        <f t="shared" si="1"/>
        <v>0</v>
      </c>
      <c r="X71" s="68">
        <f>SUMIF(险种!E:E,E:E,险种!Y:Y)</f>
        <v>0</v>
      </c>
      <c r="Y71" s="65">
        <f>MAX(_xlfn.IFS(OR(X:X=1,X:X=2),J:J*0.1,X:X&gt;=3,J:J*0.2,X:X=0,0),IF(J:J&gt;=20000,J:J*0.2,0))</f>
        <v>0</v>
      </c>
      <c r="Z71" s="65" t="str">
        <f>A71&amp;D71&amp;G71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谢家集胡文卿伙伴5.1-5.10预收价值保费0，首周预收3000P件数0件，预收拟加佣0元。温馨提示，保单需10日（含）前承保，目前还有0价值保费未承保,开单一件即可获得10%加佣</v>
      </c>
      <c r="AA71" s="68">
        <f>SUMIF(险种!E:E,E:E,险种!Z:Z)</f>
        <v>0</v>
      </c>
      <c r="AB71" s="65"/>
      <c r="AC71" s="68">
        <f>SUMIF(险种!E:E,E:E,险种!AA:AA)</f>
        <v>0</v>
      </c>
      <c r="AD71" s="68">
        <f>SUMIFS(险种!AA:AA,险种!U:U,"有效",险种!E:E,E:E)</f>
        <v>0</v>
      </c>
      <c r="AE71" s="68" t="str">
        <f>A71&amp;D71&amp;G71&amp;"目前获得"&amp;$AC$1&amp;AC:AC&amp;"名，获得"&amp;$AD$1&amp;AD:AD&amp;"名"</f>
        <v>谢家集胡文卿伙伴目前获得龙虾节预收名额0名，获得龙虾节承保名额0名</v>
      </c>
      <c r="AF71" s="68">
        <f>SUMIF(认购返还案!D:D,E:E,认购返还案!E:E)</f>
        <v>0</v>
      </c>
      <c r="AG71" s="68">
        <f>_xlfn.IFS(AND(U:U&gt;=3000,U:U&lt;5000),AF:AF*0.5,U:U&gt;=5000,AF:AF*1,U:U&lt;3000,0)</f>
        <v>0</v>
      </c>
      <c r="AH71" s="68">
        <f>_xlfn.IFS(AND(V:V&gt;=3000,V:V&lt;5000),AF:AF*0.5,V:V&gt;=5000,AF:AF*1,V:V&lt;3000,0)</f>
        <v>0</v>
      </c>
      <c r="AI71" s="68" t="str">
        <f>A:A&amp;D:D&amp;G:G&amp;$AF$1&amp;AF:AF&amp;"元，目前预收价值"&amp;U:U&amp;"，"&amp;$AG$1&amp;AG:AG&amp;"元，"&amp;$AH$1&amp;AH:AH&amp;"元"</f>
        <v>谢家集胡文卿伙伴冲锋队缴费金额0元，目前预收价值0，预收拟返还0元，承保拟返还0元</v>
      </c>
      <c r="AJ71" s="68">
        <f>SUMIF(保单!R:R,E:E,保单!BE:BE)*IF(AF:AF&gt;1,1,0)</f>
        <v>0</v>
      </c>
      <c r="AK71" s="68">
        <f>SUMIFS(保单!BE:BE,保单!R:R,E:E,保单!BB:BB,"有效")*IF(AF:AF&gt;1,1,0)</f>
        <v>0</v>
      </c>
      <c r="AL71" s="72" t="str">
        <f>A:A&amp;D:D&amp;G:G&amp;"只要在1-10日承保全部保单，即可获得"&amp;$AJ$1&amp;AJ:AJ&amp;"个"</f>
        <v>谢家集胡文卿伙伴只要在1-10日承保全部保单，即可获得冲锋队按摩仪0个</v>
      </c>
    </row>
    <row r="72" spans="1:38">
      <c r="A72" s="64" t="s">
        <v>42</v>
      </c>
      <c r="B72" s="64" t="s">
        <v>62</v>
      </c>
      <c r="C72" s="64" t="s">
        <v>72</v>
      </c>
      <c r="D72" s="64" t="s">
        <v>312</v>
      </c>
      <c r="E72" s="64">
        <v>6496226942</v>
      </c>
      <c r="F72" s="64" t="s">
        <v>168</v>
      </c>
      <c r="G72" s="64" t="str">
        <f>IF(OR(F:F="高级经理一级",F:F="业务经理一级"),"主管","伙伴")</f>
        <v>伙伴</v>
      </c>
      <c r="H72" s="65">
        <f>SUMIF(险种!E:E,E:E,险种!R:R)-SUMIFS(险种!R:R,险种!U:U,"终止",险种!E:E,E:E)</f>
        <v>0</v>
      </c>
      <c r="I72" s="65">
        <f>SUMIFS(险种!R:R,险种!U:U,"有效",险种!E:E,E:E)</f>
        <v>0</v>
      </c>
      <c r="J72" s="65">
        <f>ROUND(SUMIF(险种!E:E,E:E,险种!Q:Q)-SUMIFS(险种!Q:Q,险种!U:U,"终止",险种!E:E,E:E),1)</f>
        <v>0</v>
      </c>
      <c r="K72" s="68">
        <f>RANK(J72,J:J)</f>
        <v>22</v>
      </c>
      <c r="L72" s="65">
        <f>ROUND(SUMIFS(险种!Q:Q,险种!U:U,"有效",险种!E:E,E:E),1)</f>
        <v>0</v>
      </c>
      <c r="M72" s="68">
        <f>RANK(L72,L:L,)</f>
        <v>14</v>
      </c>
      <c r="N72" s="68">
        <f>SUMIF(险种!E:E,E:E,险种!W:W)</f>
        <v>0</v>
      </c>
      <c r="O72" s="68">
        <f>IF(N:N&gt;=1,1,0)</f>
        <v>0</v>
      </c>
      <c r="P72" s="65">
        <f>ROUND(SUMIFS(险种!Q:Q,险种!V:V,$P$1,险种!E:E,E:E),1)</f>
        <v>0</v>
      </c>
      <c r="Q72" s="68">
        <f>RANK(P72,$P:$P,0)-1</f>
        <v>5</v>
      </c>
      <c r="R72" s="68" t="str">
        <f>A:A&amp;D:D&amp;G:G&amp;"在"&amp;$P$1&amp;"预收"&amp;P:P&amp;"排名中支第"&amp;Q:Q&amp;"位"</f>
        <v>淮南本部段艳勤伙伴在20210509预收0排名中支第5位</v>
      </c>
      <c r="S72" s="65">
        <f>ROUND(SUMIFS(险种!Q:Q,险种!E:E,E:E,险种!V:V,"&lt;=20210506")-SUMIFS(险种!Q:Q,险种!U:U,"终止",险种!E:E,E:E,险种!V:V,"&lt;=20210506"),1)</f>
        <v>0</v>
      </c>
      <c r="T72" s="65">
        <f>ROUND(SUMIFS(险种!Q:Q,险种!U:U,"有效",险种!E:E,E:E,险种!V:V,"&lt;=20210506"),1)</f>
        <v>0</v>
      </c>
      <c r="U72" s="65">
        <f>ROUND(SUMIFS(险种!Q:Q,险种!E:E,E:E,险种!V:V,"&lt;=20210510")-SUMIFS(险种!Q:Q,险种!U:U,"终止",险种!E:E,E:E,险种!V:V,"&lt;=20210510"),1)</f>
        <v>0</v>
      </c>
      <c r="V72" s="65">
        <f>ROUND(SUMIFS(险种!Q:Q,险种!U:U,"有效",险种!E:E,E:E,险种!V:V,"&lt;=20210510"),1)</f>
        <v>0</v>
      </c>
      <c r="W72" s="65">
        <f t="shared" si="1"/>
        <v>0</v>
      </c>
      <c r="X72" s="68">
        <f>SUMIF(险种!E:E,E:E,险种!Y:Y)</f>
        <v>0</v>
      </c>
      <c r="Y72" s="65">
        <f>MAX(_xlfn.IFS(OR(X:X=1,X:X=2),J:J*0.1,X:X&gt;=3,J:J*0.2,X:X=0,0),IF(J:J&gt;=20000,J:J*0.2,0))</f>
        <v>0</v>
      </c>
      <c r="Z72" s="65" t="str">
        <f>A72&amp;D72&amp;G72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淮南本部段艳勤伙伴5.1-5.10预收价值保费0，首周预收3000P件数0件，预收拟加佣0元。温馨提示，保单需10日（含）前承保，目前还有0价值保费未承保,开单一件即可获得10%加佣</v>
      </c>
      <c r="AA72" s="68">
        <f>SUMIF(险种!E:E,E:E,险种!Z:Z)</f>
        <v>0</v>
      </c>
      <c r="AB72" s="65"/>
      <c r="AC72" s="68">
        <f>SUMIF(险种!E:E,E:E,险种!AA:AA)</f>
        <v>0</v>
      </c>
      <c r="AD72" s="68">
        <f>SUMIFS(险种!AA:AA,险种!U:U,"有效",险种!E:E,E:E)</f>
        <v>0</v>
      </c>
      <c r="AE72" s="68" t="str">
        <f>A72&amp;D72&amp;G72&amp;"目前获得"&amp;$AC$1&amp;AC:AC&amp;"名，获得"&amp;$AD$1&amp;AD:AD&amp;"名"</f>
        <v>淮南本部段艳勤伙伴目前获得龙虾节预收名额0名，获得龙虾节承保名额0名</v>
      </c>
      <c r="AF72" s="68">
        <f>SUMIF(认购返还案!D:D,E:E,认购返还案!E:E)</f>
        <v>0</v>
      </c>
      <c r="AG72" s="68">
        <f>_xlfn.IFS(AND(U:U&gt;=3000,U:U&lt;5000),AF:AF*0.5,U:U&gt;=5000,AF:AF*1,U:U&lt;3000,0)</f>
        <v>0</v>
      </c>
      <c r="AH72" s="68">
        <f>_xlfn.IFS(AND(V:V&gt;=3000,V:V&lt;5000),AF:AF*0.5,V:V&gt;=5000,AF:AF*1,V:V&lt;3000,0)</f>
        <v>0</v>
      </c>
      <c r="AI72" s="68" t="str">
        <f>A:A&amp;D:D&amp;G:G&amp;$AF$1&amp;AF:AF&amp;"元，目前预收价值"&amp;U:U&amp;"，"&amp;$AG$1&amp;AG:AG&amp;"元，"&amp;$AH$1&amp;AH:AH&amp;"元"</f>
        <v>淮南本部段艳勤伙伴冲锋队缴费金额0元，目前预收价值0，预收拟返还0元，承保拟返还0元</v>
      </c>
      <c r="AJ72" s="68">
        <f>SUMIF(保单!R:R,E:E,保单!BE:BE)*IF(AF:AF&gt;1,1,0)</f>
        <v>0</v>
      </c>
      <c r="AK72" s="68">
        <f>SUMIFS(保单!BE:BE,保单!R:R,E:E,保单!BB:BB,"有效")*IF(AF:AF&gt;1,1,0)</f>
        <v>0</v>
      </c>
      <c r="AL72" s="72" t="str">
        <f>A:A&amp;D:D&amp;G:G&amp;"只要在1-10日承保全部保单，即可获得"&amp;$AJ$1&amp;AJ:AJ&amp;"个"</f>
        <v>淮南本部段艳勤伙伴只要在1-10日承保全部保单，即可获得冲锋队按摩仪0个</v>
      </c>
    </row>
    <row r="73" spans="1:38">
      <c r="A73" s="64" t="s">
        <v>42</v>
      </c>
      <c r="B73" s="64" t="s">
        <v>62</v>
      </c>
      <c r="C73" s="64" t="s">
        <v>72</v>
      </c>
      <c r="D73" s="64" t="s">
        <v>313</v>
      </c>
      <c r="E73" s="64">
        <v>6495945912</v>
      </c>
      <c r="F73" s="64" t="s">
        <v>174</v>
      </c>
      <c r="G73" s="64" t="str">
        <f>IF(OR(F:F="高级经理一级",F:F="业务经理一级"),"主管","伙伴")</f>
        <v>伙伴</v>
      </c>
      <c r="H73" s="65">
        <f>SUMIF(险种!E:E,E:E,险种!R:R)-SUMIFS(险种!R:R,险种!U:U,"终止",险种!E:E,E:E)</f>
        <v>0</v>
      </c>
      <c r="I73" s="65">
        <f>SUMIFS(险种!R:R,险种!U:U,"有效",险种!E:E,E:E)</f>
        <v>0</v>
      </c>
      <c r="J73" s="65">
        <f>ROUND(SUMIF(险种!E:E,E:E,险种!Q:Q)-SUMIFS(险种!Q:Q,险种!U:U,"终止",险种!E:E,E:E),1)</f>
        <v>0</v>
      </c>
      <c r="K73" s="68">
        <f>RANK(J73,J:J)</f>
        <v>22</v>
      </c>
      <c r="L73" s="65">
        <f>ROUND(SUMIFS(险种!Q:Q,险种!U:U,"有效",险种!E:E,E:E),1)</f>
        <v>0</v>
      </c>
      <c r="M73" s="68">
        <f>RANK(L73,L:L,)</f>
        <v>14</v>
      </c>
      <c r="N73" s="68">
        <f>SUMIF(险种!E:E,E:E,险种!W:W)</f>
        <v>0</v>
      </c>
      <c r="O73" s="68">
        <f>IF(N:N&gt;=1,1,0)</f>
        <v>0</v>
      </c>
      <c r="P73" s="65">
        <f>ROUND(SUMIFS(险种!Q:Q,险种!V:V,$P$1,险种!E:E,E:E),1)</f>
        <v>0</v>
      </c>
      <c r="Q73" s="68">
        <f>RANK(P73,$P:$P,0)-1</f>
        <v>5</v>
      </c>
      <c r="R73" s="68" t="str">
        <f>A:A&amp;D:D&amp;G:G&amp;"在"&amp;$P$1&amp;"预收"&amp;P:P&amp;"排名中支第"&amp;Q:Q&amp;"位"</f>
        <v>淮南本部程晋远伙伴在20210509预收0排名中支第5位</v>
      </c>
      <c r="S73" s="65">
        <f>ROUND(SUMIFS(险种!Q:Q,险种!E:E,E:E,险种!V:V,"&lt;=20210506")-SUMIFS(险种!Q:Q,险种!U:U,"终止",险种!E:E,E:E,险种!V:V,"&lt;=20210506"),1)</f>
        <v>0</v>
      </c>
      <c r="T73" s="65">
        <f>ROUND(SUMIFS(险种!Q:Q,险种!U:U,"有效",险种!E:E,E:E,险种!V:V,"&lt;=20210506"),1)</f>
        <v>0</v>
      </c>
      <c r="U73" s="65">
        <f>ROUND(SUMIFS(险种!Q:Q,险种!E:E,E:E,险种!V:V,"&lt;=20210510")-SUMIFS(险种!Q:Q,险种!U:U,"终止",险种!E:E,E:E,险种!V:V,"&lt;=20210510"),1)</f>
        <v>0</v>
      </c>
      <c r="V73" s="65">
        <f>ROUND(SUMIFS(险种!Q:Q,险种!U:U,"有效",险种!E:E,E:E,险种!V:V,"&lt;=20210510"),1)</f>
        <v>0</v>
      </c>
      <c r="W73" s="65">
        <f t="shared" si="1"/>
        <v>0</v>
      </c>
      <c r="X73" s="68">
        <f>SUMIF(险种!E:E,E:E,险种!Y:Y)</f>
        <v>0</v>
      </c>
      <c r="Y73" s="65">
        <f>MAX(_xlfn.IFS(OR(X:X=1,X:X=2),J:J*0.1,X:X&gt;=3,J:J*0.2,X:X=0,0),IF(J:J&gt;=20000,J:J*0.2,0))</f>
        <v>0</v>
      </c>
      <c r="Z73" s="65" t="str">
        <f>A73&amp;D73&amp;G73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淮南本部程晋远伙伴5.1-5.10预收价值保费0，首周预收3000P件数0件，预收拟加佣0元。温馨提示，保单需10日（含）前承保，目前还有0价值保费未承保,开单一件即可获得10%加佣</v>
      </c>
      <c r="AA73" s="68">
        <f>SUMIF(险种!E:E,E:E,险种!Z:Z)</f>
        <v>0</v>
      </c>
      <c r="AB73" s="65"/>
      <c r="AC73" s="68">
        <f>SUMIF(险种!E:E,E:E,险种!AA:AA)</f>
        <v>0</v>
      </c>
      <c r="AD73" s="68">
        <f>SUMIFS(险种!AA:AA,险种!U:U,"有效",险种!E:E,E:E)</f>
        <v>0</v>
      </c>
      <c r="AE73" s="68" t="str">
        <f>A73&amp;D73&amp;G73&amp;"目前获得"&amp;$AC$1&amp;AC:AC&amp;"名，获得"&amp;$AD$1&amp;AD:AD&amp;"名"</f>
        <v>淮南本部程晋远伙伴目前获得龙虾节预收名额0名，获得龙虾节承保名额0名</v>
      </c>
      <c r="AF73" s="68">
        <f>SUMIF(认购返还案!D:D,E:E,认购返还案!E:E)</f>
        <v>0</v>
      </c>
      <c r="AG73" s="68">
        <f>_xlfn.IFS(AND(U:U&gt;=3000,U:U&lt;5000),AF:AF*0.5,U:U&gt;=5000,AF:AF*1,U:U&lt;3000,0)</f>
        <v>0</v>
      </c>
      <c r="AH73" s="68">
        <f>_xlfn.IFS(AND(V:V&gt;=3000,V:V&lt;5000),AF:AF*0.5,V:V&gt;=5000,AF:AF*1,V:V&lt;3000,0)</f>
        <v>0</v>
      </c>
      <c r="AI73" s="68" t="str">
        <f>A:A&amp;D:D&amp;G:G&amp;$AF$1&amp;AF:AF&amp;"元，目前预收价值"&amp;U:U&amp;"，"&amp;$AG$1&amp;AG:AG&amp;"元，"&amp;$AH$1&amp;AH:AH&amp;"元"</f>
        <v>淮南本部程晋远伙伴冲锋队缴费金额0元，目前预收价值0，预收拟返还0元，承保拟返还0元</v>
      </c>
      <c r="AJ73" s="68">
        <f>SUMIF(保单!R:R,E:E,保单!BE:BE)*IF(AF:AF&gt;1,1,0)</f>
        <v>0</v>
      </c>
      <c r="AK73" s="68">
        <f>SUMIFS(保单!BE:BE,保单!R:R,E:E,保单!BB:BB,"有效")*IF(AF:AF&gt;1,1,0)</f>
        <v>0</v>
      </c>
      <c r="AL73" s="72" t="str">
        <f>A:A&amp;D:D&amp;G:G&amp;"只要在1-10日承保全部保单，即可获得"&amp;$AJ$1&amp;AJ:AJ&amp;"个"</f>
        <v>淮南本部程晋远伙伴只要在1-10日承保全部保单，即可获得冲锋队按摩仪0个</v>
      </c>
    </row>
    <row r="74" spans="1:38">
      <c r="A74" s="64" t="s">
        <v>42</v>
      </c>
      <c r="B74" s="64" t="s">
        <v>66</v>
      </c>
      <c r="C74" s="64" t="s">
        <v>67</v>
      </c>
      <c r="D74" s="64" t="s">
        <v>314</v>
      </c>
      <c r="E74" s="64">
        <v>6495919602</v>
      </c>
      <c r="F74" s="64" t="s">
        <v>174</v>
      </c>
      <c r="G74" s="64" t="str">
        <f>IF(OR(F:F="高级经理一级",F:F="业务经理一级"),"主管","伙伴")</f>
        <v>伙伴</v>
      </c>
      <c r="H74" s="65">
        <f>SUMIF(险种!E:E,E:E,险种!R:R)-SUMIFS(险种!R:R,险种!U:U,"终止",险种!E:E,E:E)</f>
        <v>0</v>
      </c>
      <c r="I74" s="65">
        <f>SUMIFS(险种!R:R,险种!U:U,"有效",险种!E:E,E:E)</f>
        <v>0</v>
      </c>
      <c r="J74" s="65">
        <f>ROUND(SUMIF(险种!E:E,E:E,险种!Q:Q)-SUMIFS(险种!Q:Q,险种!U:U,"终止",险种!E:E,E:E),1)</f>
        <v>0</v>
      </c>
      <c r="K74" s="68">
        <f>RANK(J74,J:J)</f>
        <v>22</v>
      </c>
      <c r="L74" s="65">
        <f>ROUND(SUMIFS(险种!Q:Q,险种!U:U,"有效",险种!E:E,E:E),1)</f>
        <v>0</v>
      </c>
      <c r="M74" s="68">
        <f>RANK(L74,L:L,)</f>
        <v>14</v>
      </c>
      <c r="N74" s="68">
        <f>SUMIF(险种!E:E,E:E,险种!W:W)</f>
        <v>0</v>
      </c>
      <c r="O74" s="68">
        <f>IF(N:N&gt;=1,1,0)</f>
        <v>0</v>
      </c>
      <c r="P74" s="65">
        <f>ROUND(SUMIFS(险种!Q:Q,险种!V:V,$P$1,险种!E:E,E:E),1)</f>
        <v>0</v>
      </c>
      <c r="Q74" s="68">
        <f>RANK(P74,$P:$P,0)-1</f>
        <v>5</v>
      </c>
      <c r="R74" s="68" t="str">
        <f>A:A&amp;D:D&amp;G:G&amp;"在"&amp;$P$1&amp;"预收"&amp;P:P&amp;"排名中支第"&amp;Q:Q&amp;"位"</f>
        <v>淮南本部陈莎莎伙伴在20210509预收0排名中支第5位</v>
      </c>
      <c r="S74" s="65">
        <f>ROUND(SUMIFS(险种!Q:Q,险种!E:E,E:E,险种!V:V,"&lt;=20210506")-SUMIFS(险种!Q:Q,险种!U:U,"终止",险种!E:E,E:E,险种!V:V,"&lt;=20210506"),1)</f>
        <v>0</v>
      </c>
      <c r="T74" s="65">
        <f>ROUND(SUMIFS(险种!Q:Q,险种!U:U,"有效",险种!E:E,E:E,险种!V:V,"&lt;=20210506"),1)</f>
        <v>0</v>
      </c>
      <c r="U74" s="65">
        <f>ROUND(SUMIFS(险种!Q:Q,险种!E:E,E:E,险种!V:V,"&lt;=20210510")-SUMIFS(险种!Q:Q,险种!U:U,"终止",险种!E:E,E:E,险种!V:V,"&lt;=20210510"),1)</f>
        <v>0</v>
      </c>
      <c r="V74" s="65">
        <f>ROUND(SUMIFS(险种!Q:Q,险种!U:U,"有效",险种!E:E,E:E,险种!V:V,"&lt;=20210510"),1)</f>
        <v>0</v>
      </c>
      <c r="W74" s="65">
        <f t="shared" si="1"/>
        <v>0</v>
      </c>
      <c r="X74" s="68">
        <f>SUMIF(险种!E:E,E:E,险种!Y:Y)</f>
        <v>0</v>
      </c>
      <c r="Y74" s="65">
        <f>MAX(_xlfn.IFS(OR(X:X=1,X:X=2),J:J*0.1,X:X&gt;=3,J:J*0.2,X:X=0,0),IF(J:J&gt;=20000,J:J*0.2,0))</f>
        <v>0</v>
      </c>
      <c r="Z74" s="65" t="str">
        <f>A74&amp;D74&amp;G74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淮南本部陈莎莎伙伴5.1-5.10预收价值保费0，首周预收3000P件数0件，预收拟加佣0元。温馨提示，保单需10日（含）前承保，目前还有0价值保费未承保,开单一件即可获得10%加佣</v>
      </c>
      <c r="AA74" s="68">
        <f>SUMIF(险种!E:E,E:E,险种!Z:Z)</f>
        <v>0</v>
      </c>
      <c r="AB74" s="65"/>
      <c r="AC74" s="68">
        <f>SUMIF(险种!E:E,E:E,险种!AA:AA)</f>
        <v>0</v>
      </c>
      <c r="AD74" s="68">
        <f>SUMIFS(险种!AA:AA,险种!U:U,"有效",险种!E:E,E:E)</f>
        <v>0</v>
      </c>
      <c r="AE74" s="68" t="str">
        <f>A74&amp;D74&amp;G74&amp;"目前获得"&amp;$AC$1&amp;AC:AC&amp;"名，获得"&amp;$AD$1&amp;AD:AD&amp;"名"</f>
        <v>淮南本部陈莎莎伙伴目前获得龙虾节预收名额0名，获得龙虾节承保名额0名</v>
      </c>
      <c r="AF74" s="68">
        <f>SUMIF(认购返还案!D:D,E:E,认购返还案!E:E)</f>
        <v>0</v>
      </c>
      <c r="AG74" s="68">
        <f>_xlfn.IFS(AND(U:U&gt;=3000,U:U&lt;5000),AF:AF*0.5,U:U&gt;=5000,AF:AF*1,U:U&lt;3000,0)</f>
        <v>0</v>
      </c>
      <c r="AH74" s="68">
        <f>_xlfn.IFS(AND(V:V&gt;=3000,V:V&lt;5000),AF:AF*0.5,V:V&gt;=5000,AF:AF*1,V:V&lt;3000,0)</f>
        <v>0</v>
      </c>
      <c r="AI74" s="68" t="str">
        <f>A:A&amp;D:D&amp;G:G&amp;$AF$1&amp;AF:AF&amp;"元，目前预收价值"&amp;U:U&amp;"，"&amp;$AG$1&amp;AG:AG&amp;"元，"&amp;$AH$1&amp;AH:AH&amp;"元"</f>
        <v>淮南本部陈莎莎伙伴冲锋队缴费金额0元，目前预收价值0，预收拟返还0元，承保拟返还0元</v>
      </c>
      <c r="AJ74" s="68">
        <f>SUMIF(保单!R:R,E:E,保单!BE:BE)*IF(AF:AF&gt;1,1,0)</f>
        <v>0</v>
      </c>
      <c r="AK74" s="68">
        <f>SUMIFS(保单!BE:BE,保单!R:R,E:E,保单!BB:BB,"有效")*IF(AF:AF&gt;1,1,0)</f>
        <v>0</v>
      </c>
      <c r="AL74" s="72" t="str">
        <f>A:A&amp;D:D&amp;G:G&amp;"只要在1-10日承保全部保单，即可获得"&amp;$AJ$1&amp;AJ:AJ&amp;"个"</f>
        <v>淮南本部陈莎莎伙伴只要在1-10日承保全部保单，即可获得冲锋队按摩仪0个</v>
      </c>
    </row>
    <row r="75" spans="1:38">
      <c r="A75" s="64" t="s">
        <v>42</v>
      </c>
      <c r="B75" s="64" t="s">
        <v>62</v>
      </c>
      <c r="C75" s="64" t="s">
        <v>72</v>
      </c>
      <c r="D75" s="64" t="s">
        <v>315</v>
      </c>
      <c r="E75" s="64">
        <v>6495478082</v>
      </c>
      <c r="F75" s="64" t="s">
        <v>168</v>
      </c>
      <c r="G75" s="64" t="str">
        <f>IF(OR(F:F="高级经理一级",F:F="业务经理一级"),"主管","伙伴")</f>
        <v>伙伴</v>
      </c>
      <c r="H75" s="65">
        <f>SUMIF(险种!E:E,E:E,险种!R:R)-SUMIFS(险种!R:R,险种!U:U,"终止",险种!E:E,E:E)</f>
        <v>0</v>
      </c>
      <c r="I75" s="65">
        <f>SUMIFS(险种!R:R,险种!U:U,"有效",险种!E:E,E:E)</f>
        <v>0</v>
      </c>
      <c r="J75" s="65">
        <f>ROUND(SUMIF(险种!E:E,E:E,险种!Q:Q)-SUMIFS(险种!Q:Q,险种!U:U,"终止",险种!E:E,E:E),1)</f>
        <v>0</v>
      </c>
      <c r="K75" s="68">
        <f>RANK(J75,J:J)</f>
        <v>22</v>
      </c>
      <c r="L75" s="65">
        <f>ROUND(SUMIFS(险种!Q:Q,险种!U:U,"有效",险种!E:E,E:E),1)</f>
        <v>0</v>
      </c>
      <c r="M75" s="68">
        <f>RANK(L75,L:L,)</f>
        <v>14</v>
      </c>
      <c r="N75" s="68">
        <f>SUMIF(险种!E:E,E:E,险种!W:W)</f>
        <v>0</v>
      </c>
      <c r="O75" s="68">
        <f>IF(N:N&gt;=1,1,0)</f>
        <v>0</v>
      </c>
      <c r="P75" s="65">
        <f>ROUND(SUMIFS(险种!Q:Q,险种!V:V,$P$1,险种!E:E,E:E),1)</f>
        <v>0</v>
      </c>
      <c r="Q75" s="68">
        <f>RANK(P75,$P:$P,0)-1</f>
        <v>5</v>
      </c>
      <c r="R75" s="68" t="str">
        <f>A:A&amp;D:D&amp;G:G&amp;"在"&amp;$P$1&amp;"预收"&amp;P:P&amp;"排名中支第"&amp;Q:Q&amp;"位"</f>
        <v>淮南本部孙艳霞伙伴在20210509预收0排名中支第5位</v>
      </c>
      <c r="S75" s="65">
        <f>ROUND(SUMIFS(险种!Q:Q,险种!E:E,E:E,险种!V:V,"&lt;=20210506")-SUMIFS(险种!Q:Q,险种!U:U,"终止",险种!E:E,E:E,险种!V:V,"&lt;=20210506"),1)</f>
        <v>0</v>
      </c>
      <c r="T75" s="65">
        <f>ROUND(SUMIFS(险种!Q:Q,险种!U:U,"有效",险种!E:E,E:E,险种!V:V,"&lt;=20210506"),1)</f>
        <v>0</v>
      </c>
      <c r="U75" s="65">
        <f>ROUND(SUMIFS(险种!Q:Q,险种!E:E,E:E,险种!V:V,"&lt;=20210510")-SUMIFS(险种!Q:Q,险种!U:U,"终止",险种!E:E,E:E,险种!V:V,"&lt;=20210510"),1)</f>
        <v>0</v>
      </c>
      <c r="V75" s="65">
        <f>ROUND(SUMIFS(险种!Q:Q,险种!U:U,"有效",险种!E:E,E:E,险种!V:V,"&lt;=20210510"),1)</f>
        <v>0</v>
      </c>
      <c r="W75" s="65">
        <f t="shared" si="1"/>
        <v>0</v>
      </c>
      <c r="X75" s="68">
        <f>SUMIF(险种!E:E,E:E,险种!Y:Y)</f>
        <v>0</v>
      </c>
      <c r="Y75" s="65">
        <f>MAX(_xlfn.IFS(OR(X:X=1,X:X=2),J:J*0.1,X:X&gt;=3,J:J*0.2,X:X=0,0),IF(J:J&gt;=20000,J:J*0.2,0))</f>
        <v>0</v>
      </c>
      <c r="Z75" s="65" t="str">
        <f>A75&amp;D75&amp;G75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淮南本部孙艳霞伙伴5.1-5.10预收价值保费0，首周预收3000P件数0件，预收拟加佣0元。温馨提示，保单需10日（含）前承保，目前还有0价值保费未承保,开单一件即可获得10%加佣</v>
      </c>
      <c r="AA75" s="68">
        <f>SUMIF(险种!E:E,E:E,险种!Z:Z)</f>
        <v>0</v>
      </c>
      <c r="AB75" s="65"/>
      <c r="AC75" s="68">
        <f>SUMIF(险种!E:E,E:E,险种!AA:AA)</f>
        <v>0</v>
      </c>
      <c r="AD75" s="68">
        <f>SUMIFS(险种!AA:AA,险种!U:U,"有效",险种!E:E,E:E)</f>
        <v>0</v>
      </c>
      <c r="AE75" s="68" t="str">
        <f>A75&amp;D75&amp;G75&amp;"目前获得"&amp;$AC$1&amp;AC:AC&amp;"名，获得"&amp;$AD$1&amp;AD:AD&amp;"名"</f>
        <v>淮南本部孙艳霞伙伴目前获得龙虾节预收名额0名，获得龙虾节承保名额0名</v>
      </c>
      <c r="AF75" s="68">
        <f>SUMIF(认购返还案!D:D,E:E,认购返还案!E:E)</f>
        <v>0</v>
      </c>
      <c r="AG75" s="68">
        <f>_xlfn.IFS(AND(U:U&gt;=3000,U:U&lt;5000),AF:AF*0.5,U:U&gt;=5000,AF:AF*1,U:U&lt;3000,0)</f>
        <v>0</v>
      </c>
      <c r="AH75" s="68">
        <f>_xlfn.IFS(AND(V:V&gt;=3000,V:V&lt;5000),AF:AF*0.5,V:V&gt;=5000,AF:AF*1,V:V&lt;3000,0)</f>
        <v>0</v>
      </c>
      <c r="AI75" s="68" t="str">
        <f>A:A&amp;D:D&amp;G:G&amp;$AF$1&amp;AF:AF&amp;"元，目前预收价值"&amp;U:U&amp;"，"&amp;$AG$1&amp;AG:AG&amp;"元，"&amp;$AH$1&amp;AH:AH&amp;"元"</f>
        <v>淮南本部孙艳霞伙伴冲锋队缴费金额0元，目前预收价值0，预收拟返还0元，承保拟返还0元</v>
      </c>
      <c r="AJ75" s="68">
        <f>SUMIF(保单!R:R,E:E,保单!BE:BE)*IF(AF:AF&gt;1,1,0)</f>
        <v>0</v>
      </c>
      <c r="AK75" s="68">
        <f>SUMIFS(保单!BE:BE,保单!R:R,E:E,保单!BB:BB,"有效")*IF(AF:AF&gt;1,1,0)</f>
        <v>0</v>
      </c>
      <c r="AL75" s="72" t="str">
        <f>A:A&amp;D:D&amp;G:G&amp;"只要在1-10日承保全部保单，即可获得"&amp;$AJ$1&amp;AJ:AJ&amp;"个"</f>
        <v>淮南本部孙艳霞伙伴只要在1-10日承保全部保单，即可获得冲锋队按摩仪0个</v>
      </c>
    </row>
    <row r="76" spans="1:38">
      <c r="A76" s="64" t="s">
        <v>42</v>
      </c>
      <c r="B76" s="64" t="s">
        <v>62</v>
      </c>
      <c r="C76" s="64" t="s">
        <v>63</v>
      </c>
      <c r="D76" s="64" t="s">
        <v>316</v>
      </c>
      <c r="E76" s="64">
        <v>6493243482</v>
      </c>
      <c r="F76" s="64" t="s">
        <v>168</v>
      </c>
      <c r="G76" s="64" t="str">
        <f>IF(OR(F:F="高级经理一级",F:F="业务经理一级"),"主管","伙伴")</f>
        <v>伙伴</v>
      </c>
      <c r="H76" s="65">
        <f>SUMIF(险种!E:E,E:E,险种!R:R)-SUMIFS(险种!R:R,险种!U:U,"终止",险种!E:E,E:E)</f>
        <v>0</v>
      </c>
      <c r="I76" s="65">
        <f>SUMIFS(险种!R:R,险种!U:U,"有效",险种!E:E,E:E)</f>
        <v>0</v>
      </c>
      <c r="J76" s="65">
        <f>ROUND(SUMIF(险种!E:E,E:E,险种!Q:Q)-SUMIFS(险种!Q:Q,险种!U:U,"终止",险种!E:E,E:E),1)</f>
        <v>0</v>
      </c>
      <c r="K76" s="68">
        <f>RANK(J76,J:J)</f>
        <v>22</v>
      </c>
      <c r="L76" s="65">
        <f>ROUND(SUMIFS(险种!Q:Q,险种!U:U,"有效",险种!E:E,E:E),1)</f>
        <v>0</v>
      </c>
      <c r="M76" s="68">
        <f>RANK(L76,L:L,)</f>
        <v>14</v>
      </c>
      <c r="N76" s="68">
        <f>SUMIF(险种!E:E,E:E,险种!W:W)</f>
        <v>0</v>
      </c>
      <c r="O76" s="68">
        <f>IF(N:N&gt;=1,1,0)</f>
        <v>0</v>
      </c>
      <c r="P76" s="65">
        <f>ROUND(SUMIFS(险种!Q:Q,险种!V:V,$P$1,险种!E:E,E:E),1)</f>
        <v>0</v>
      </c>
      <c r="Q76" s="68">
        <f>RANK(P76,$P:$P,0)-1</f>
        <v>5</v>
      </c>
      <c r="R76" s="68" t="str">
        <f>A:A&amp;D:D&amp;G:G&amp;"在"&amp;$P$1&amp;"预收"&amp;P:P&amp;"排名中支第"&amp;Q:Q&amp;"位"</f>
        <v>淮南本部徐基云伙伴在20210509预收0排名中支第5位</v>
      </c>
      <c r="S76" s="65">
        <f>ROUND(SUMIFS(险种!Q:Q,险种!E:E,E:E,险种!V:V,"&lt;=20210506")-SUMIFS(险种!Q:Q,险种!U:U,"终止",险种!E:E,E:E,险种!V:V,"&lt;=20210506"),1)</f>
        <v>0</v>
      </c>
      <c r="T76" s="65">
        <f>ROUND(SUMIFS(险种!Q:Q,险种!U:U,"有效",险种!E:E,E:E,险种!V:V,"&lt;=20210506"),1)</f>
        <v>0</v>
      </c>
      <c r="U76" s="65">
        <f>ROUND(SUMIFS(险种!Q:Q,险种!E:E,E:E,险种!V:V,"&lt;=20210510")-SUMIFS(险种!Q:Q,险种!U:U,"终止",险种!E:E,E:E,险种!V:V,"&lt;=20210510"),1)</f>
        <v>0</v>
      </c>
      <c r="V76" s="65">
        <f>ROUND(SUMIFS(险种!Q:Q,险种!U:U,"有效",险种!E:E,E:E,险种!V:V,"&lt;=20210510"),1)</f>
        <v>0</v>
      </c>
      <c r="W76" s="65">
        <f t="shared" si="1"/>
        <v>0</v>
      </c>
      <c r="X76" s="68">
        <f>SUMIF(险种!E:E,E:E,险种!Y:Y)</f>
        <v>0</v>
      </c>
      <c r="Y76" s="65">
        <f>MAX(_xlfn.IFS(OR(X:X=1,X:X=2),J:J*0.1,X:X&gt;=3,J:J*0.2,X:X=0,0),IF(J:J&gt;=20000,J:J*0.2,0))</f>
        <v>0</v>
      </c>
      <c r="Z76" s="65" t="str">
        <f>A76&amp;D76&amp;G76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淮南本部徐基云伙伴5.1-5.10预收价值保费0，首周预收3000P件数0件，预收拟加佣0元。温馨提示，保单需10日（含）前承保，目前还有0价值保费未承保,开单一件即可获得10%加佣</v>
      </c>
      <c r="AA76" s="68">
        <f>SUMIF(险种!E:E,E:E,险种!Z:Z)</f>
        <v>0</v>
      </c>
      <c r="AB76" s="65"/>
      <c r="AC76" s="68">
        <f>SUMIF(险种!E:E,E:E,险种!AA:AA)</f>
        <v>0</v>
      </c>
      <c r="AD76" s="68">
        <f>SUMIFS(险种!AA:AA,险种!U:U,"有效",险种!E:E,E:E)</f>
        <v>0</v>
      </c>
      <c r="AE76" s="68" t="str">
        <f>A76&amp;D76&amp;G76&amp;"目前获得"&amp;$AC$1&amp;AC:AC&amp;"名，获得"&amp;$AD$1&amp;AD:AD&amp;"名"</f>
        <v>淮南本部徐基云伙伴目前获得龙虾节预收名额0名，获得龙虾节承保名额0名</v>
      </c>
      <c r="AF76" s="68">
        <f>SUMIF(认购返还案!D:D,E:E,认购返还案!E:E)</f>
        <v>200</v>
      </c>
      <c r="AG76" s="68">
        <f>_xlfn.IFS(AND(U:U&gt;=3000,U:U&lt;5000),AF:AF*0.5,U:U&gt;=5000,AF:AF*1,U:U&lt;3000,0)</f>
        <v>0</v>
      </c>
      <c r="AH76" s="68">
        <f>_xlfn.IFS(AND(V:V&gt;=3000,V:V&lt;5000),AF:AF*0.5,V:V&gt;=5000,AF:AF*1,V:V&lt;3000,0)</f>
        <v>0</v>
      </c>
      <c r="AI76" s="68" t="str">
        <f>A:A&amp;D:D&amp;G:G&amp;$AF$1&amp;AF:AF&amp;"元，目前预收价值"&amp;U:U&amp;"，"&amp;$AG$1&amp;AG:AG&amp;"元，"&amp;$AH$1&amp;AH:AH&amp;"元"</f>
        <v>淮南本部徐基云伙伴冲锋队缴费金额200元，目前预收价值0，预收拟返还0元，承保拟返还0元</v>
      </c>
      <c r="AJ76" s="68">
        <f>SUMIF(保单!R:R,E:E,保单!BE:BE)*IF(AF:AF&gt;1,1,0)</f>
        <v>0</v>
      </c>
      <c r="AK76" s="68">
        <f>SUMIFS(保单!BE:BE,保单!R:R,E:E,保单!BB:BB,"有效")*IF(AF:AF&gt;1,1,0)</f>
        <v>0</v>
      </c>
      <c r="AL76" s="72" t="str">
        <f>A:A&amp;D:D&amp;G:G&amp;"只要在1-10日承保全部保单，即可获得"&amp;$AJ$1&amp;AJ:AJ&amp;"个"</f>
        <v>淮南本部徐基云伙伴只要在1-10日承保全部保单，即可获得冲锋队按摩仪0个</v>
      </c>
    </row>
    <row r="77" spans="1:38">
      <c r="A77" s="64" t="s">
        <v>42</v>
      </c>
      <c r="B77" s="64" t="s">
        <v>62</v>
      </c>
      <c r="C77" s="64" t="s">
        <v>72</v>
      </c>
      <c r="D77" s="64" t="s">
        <v>317</v>
      </c>
      <c r="E77" s="64">
        <v>6487627452</v>
      </c>
      <c r="F77" s="64" t="s">
        <v>168</v>
      </c>
      <c r="G77" s="64" t="str">
        <f>IF(OR(F:F="高级经理一级",F:F="业务经理一级"),"主管","伙伴")</f>
        <v>伙伴</v>
      </c>
      <c r="H77" s="65">
        <f>SUMIF(险种!E:E,E:E,险种!R:R)-SUMIFS(险种!R:R,险种!U:U,"终止",险种!E:E,E:E)</f>
        <v>0</v>
      </c>
      <c r="I77" s="65">
        <f>SUMIFS(险种!R:R,险种!U:U,"有效",险种!E:E,E:E)</f>
        <v>0</v>
      </c>
      <c r="J77" s="65">
        <f>ROUND(SUMIF(险种!E:E,E:E,险种!Q:Q)-SUMIFS(险种!Q:Q,险种!U:U,"终止",险种!E:E,E:E),1)</f>
        <v>0</v>
      </c>
      <c r="K77" s="68">
        <f>RANK(J77,J:J)</f>
        <v>22</v>
      </c>
      <c r="L77" s="65">
        <f>ROUND(SUMIFS(险种!Q:Q,险种!U:U,"有效",险种!E:E,E:E),1)</f>
        <v>0</v>
      </c>
      <c r="M77" s="68">
        <f>RANK(L77,L:L,)</f>
        <v>14</v>
      </c>
      <c r="N77" s="68">
        <f>SUMIF(险种!E:E,E:E,险种!W:W)</f>
        <v>0</v>
      </c>
      <c r="O77" s="68">
        <f>IF(N:N&gt;=1,1,0)</f>
        <v>0</v>
      </c>
      <c r="P77" s="65">
        <f>ROUND(SUMIFS(险种!Q:Q,险种!V:V,$P$1,险种!E:E,E:E),1)</f>
        <v>0</v>
      </c>
      <c r="Q77" s="68">
        <f>RANK(P77,$P:$P,0)-1</f>
        <v>5</v>
      </c>
      <c r="R77" s="68" t="str">
        <f>A:A&amp;D:D&amp;G:G&amp;"在"&amp;$P$1&amp;"预收"&amp;P:P&amp;"排名中支第"&amp;Q:Q&amp;"位"</f>
        <v>淮南本部张辉伙伴在20210509预收0排名中支第5位</v>
      </c>
      <c r="S77" s="65">
        <f>ROUND(SUMIFS(险种!Q:Q,险种!E:E,E:E,险种!V:V,"&lt;=20210506")-SUMIFS(险种!Q:Q,险种!U:U,"终止",险种!E:E,E:E,险种!V:V,"&lt;=20210506"),1)</f>
        <v>0</v>
      </c>
      <c r="T77" s="65">
        <f>ROUND(SUMIFS(险种!Q:Q,险种!U:U,"有效",险种!E:E,E:E,险种!V:V,"&lt;=20210506"),1)</f>
        <v>0</v>
      </c>
      <c r="U77" s="65">
        <f>ROUND(SUMIFS(险种!Q:Q,险种!E:E,E:E,险种!V:V,"&lt;=20210510")-SUMIFS(险种!Q:Q,险种!U:U,"终止",险种!E:E,E:E,险种!V:V,"&lt;=20210510"),1)</f>
        <v>0</v>
      </c>
      <c r="V77" s="65">
        <f>ROUND(SUMIFS(险种!Q:Q,险种!U:U,"有效",险种!E:E,E:E,险种!V:V,"&lt;=20210510"),1)</f>
        <v>0</v>
      </c>
      <c r="W77" s="65">
        <f t="shared" si="1"/>
        <v>0</v>
      </c>
      <c r="X77" s="68">
        <f>SUMIF(险种!E:E,E:E,险种!Y:Y)</f>
        <v>0</v>
      </c>
      <c r="Y77" s="65">
        <f>MAX(_xlfn.IFS(OR(X:X=1,X:X=2),J:J*0.1,X:X&gt;=3,J:J*0.2,X:X=0,0),IF(J:J&gt;=20000,J:J*0.2,0))</f>
        <v>0</v>
      </c>
      <c r="Z77" s="65" t="str">
        <f>A77&amp;D77&amp;G77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淮南本部张辉伙伴5.1-5.10预收价值保费0，首周预收3000P件数0件，预收拟加佣0元。温馨提示，保单需10日（含）前承保，目前还有0价值保费未承保,开单一件即可获得10%加佣</v>
      </c>
      <c r="AA77" s="68">
        <f>SUMIF(险种!E:E,E:E,险种!Z:Z)</f>
        <v>0</v>
      </c>
      <c r="AB77" s="65"/>
      <c r="AC77" s="68">
        <f>SUMIF(险种!E:E,E:E,险种!AA:AA)</f>
        <v>0</v>
      </c>
      <c r="AD77" s="68">
        <f>SUMIFS(险种!AA:AA,险种!U:U,"有效",险种!E:E,E:E)</f>
        <v>0</v>
      </c>
      <c r="AE77" s="68" t="str">
        <f>A77&amp;D77&amp;G77&amp;"目前获得"&amp;$AC$1&amp;AC:AC&amp;"名，获得"&amp;$AD$1&amp;AD:AD&amp;"名"</f>
        <v>淮南本部张辉伙伴目前获得龙虾节预收名额0名，获得龙虾节承保名额0名</v>
      </c>
      <c r="AF77" s="68">
        <f>SUMIF(认购返还案!D:D,E:E,认购返还案!E:E)</f>
        <v>0</v>
      </c>
      <c r="AG77" s="68">
        <f>_xlfn.IFS(AND(U:U&gt;=3000,U:U&lt;5000),AF:AF*0.5,U:U&gt;=5000,AF:AF*1,U:U&lt;3000,0)</f>
        <v>0</v>
      </c>
      <c r="AH77" s="68">
        <f>_xlfn.IFS(AND(V:V&gt;=3000,V:V&lt;5000),AF:AF*0.5,V:V&gt;=5000,AF:AF*1,V:V&lt;3000,0)</f>
        <v>0</v>
      </c>
      <c r="AI77" s="68" t="str">
        <f>A:A&amp;D:D&amp;G:G&amp;$AF$1&amp;AF:AF&amp;"元，目前预收价值"&amp;U:U&amp;"，"&amp;$AG$1&amp;AG:AG&amp;"元，"&amp;$AH$1&amp;AH:AH&amp;"元"</f>
        <v>淮南本部张辉伙伴冲锋队缴费金额0元，目前预收价值0，预收拟返还0元，承保拟返还0元</v>
      </c>
      <c r="AJ77" s="68">
        <f>SUMIF(保单!R:R,E:E,保单!BE:BE)*IF(AF:AF&gt;1,1,0)</f>
        <v>0</v>
      </c>
      <c r="AK77" s="68">
        <f>SUMIFS(保单!BE:BE,保单!R:R,E:E,保单!BB:BB,"有效")*IF(AF:AF&gt;1,1,0)</f>
        <v>0</v>
      </c>
      <c r="AL77" s="72" t="str">
        <f>A:A&amp;D:D&amp;G:G&amp;"只要在1-10日承保全部保单，即可获得"&amp;$AJ$1&amp;AJ:AJ&amp;"个"</f>
        <v>淮南本部张辉伙伴只要在1-10日承保全部保单，即可获得冲锋队按摩仪0个</v>
      </c>
    </row>
    <row r="78" spans="1:38">
      <c r="A78" s="64" t="s">
        <v>42</v>
      </c>
      <c r="B78" s="64" t="s">
        <v>62</v>
      </c>
      <c r="C78" s="64" t="s">
        <v>72</v>
      </c>
      <c r="D78" s="64" t="s">
        <v>318</v>
      </c>
      <c r="E78" s="64">
        <v>6486797032</v>
      </c>
      <c r="F78" s="64" t="s">
        <v>168</v>
      </c>
      <c r="G78" s="64" t="str">
        <f>IF(OR(F:F="高级经理一级",F:F="业务经理一级"),"主管","伙伴")</f>
        <v>伙伴</v>
      </c>
      <c r="H78" s="65">
        <f>SUMIF(险种!E:E,E:E,险种!R:R)-SUMIFS(险种!R:R,险种!U:U,"终止",险种!E:E,E:E)</f>
        <v>0</v>
      </c>
      <c r="I78" s="65">
        <f>SUMIFS(险种!R:R,险种!U:U,"有效",险种!E:E,E:E)</f>
        <v>0</v>
      </c>
      <c r="J78" s="65">
        <f>ROUND(SUMIF(险种!E:E,E:E,险种!Q:Q)-SUMIFS(险种!Q:Q,险种!U:U,"终止",险种!E:E,E:E),1)</f>
        <v>0</v>
      </c>
      <c r="K78" s="68">
        <f>RANK(J78,J:J)</f>
        <v>22</v>
      </c>
      <c r="L78" s="65">
        <f>ROUND(SUMIFS(险种!Q:Q,险种!U:U,"有效",险种!E:E,E:E),1)</f>
        <v>0</v>
      </c>
      <c r="M78" s="68">
        <f>RANK(L78,L:L,)</f>
        <v>14</v>
      </c>
      <c r="N78" s="68">
        <f>SUMIF(险种!E:E,E:E,险种!W:W)</f>
        <v>0</v>
      </c>
      <c r="O78" s="68">
        <f>IF(N:N&gt;=1,1,0)</f>
        <v>0</v>
      </c>
      <c r="P78" s="65">
        <f>ROUND(SUMIFS(险种!Q:Q,险种!V:V,$P$1,险种!E:E,E:E),1)</f>
        <v>0</v>
      </c>
      <c r="Q78" s="68">
        <f>RANK(P78,$P:$P,0)-1</f>
        <v>5</v>
      </c>
      <c r="R78" s="68" t="str">
        <f>A:A&amp;D:D&amp;G:G&amp;"在"&amp;$P$1&amp;"预收"&amp;P:P&amp;"排名中支第"&amp;Q:Q&amp;"位"</f>
        <v>淮南本部李敬腾伙伴在20210509预收0排名中支第5位</v>
      </c>
      <c r="S78" s="65">
        <f>ROUND(SUMIFS(险种!Q:Q,险种!E:E,E:E,险种!V:V,"&lt;=20210506")-SUMIFS(险种!Q:Q,险种!U:U,"终止",险种!E:E,E:E,险种!V:V,"&lt;=20210506"),1)</f>
        <v>0</v>
      </c>
      <c r="T78" s="65">
        <f>ROUND(SUMIFS(险种!Q:Q,险种!U:U,"有效",险种!E:E,E:E,险种!V:V,"&lt;=20210506"),1)</f>
        <v>0</v>
      </c>
      <c r="U78" s="65">
        <f>ROUND(SUMIFS(险种!Q:Q,险种!E:E,E:E,险种!V:V,"&lt;=20210510")-SUMIFS(险种!Q:Q,险种!U:U,"终止",险种!E:E,E:E,险种!V:V,"&lt;=20210510"),1)</f>
        <v>0</v>
      </c>
      <c r="V78" s="65">
        <f>ROUND(SUMIFS(险种!Q:Q,险种!U:U,"有效",险种!E:E,E:E,险种!V:V,"&lt;=20210510"),1)</f>
        <v>0</v>
      </c>
      <c r="W78" s="65">
        <f t="shared" si="1"/>
        <v>0</v>
      </c>
      <c r="X78" s="68">
        <f>SUMIF(险种!E:E,E:E,险种!Y:Y)</f>
        <v>0</v>
      </c>
      <c r="Y78" s="65">
        <f>MAX(_xlfn.IFS(OR(X:X=1,X:X=2),J:J*0.1,X:X&gt;=3,J:J*0.2,X:X=0,0),IF(J:J&gt;=20000,J:J*0.2,0))</f>
        <v>0</v>
      </c>
      <c r="Z78" s="65" t="str">
        <f>A78&amp;D78&amp;G78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淮南本部李敬腾伙伴5.1-5.10预收价值保费0，首周预收3000P件数0件，预收拟加佣0元。温馨提示，保单需10日（含）前承保，目前还有0价值保费未承保,开单一件即可获得10%加佣</v>
      </c>
      <c r="AA78" s="68">
        <f>SUMIF(险种!E:E,E:E,险种!Z:Z)</f>
        <v>0</v>
      </c>
      <c r="AB78" s="65"/>
      <c r="AC78" s="68">
        <f>SUMIF(险种!E:E,E:E,险种!AA:AA)</f>
        <v>0</v>
      </c>
      <c r="AD78" s="68">
        <f>SUMIFS(险种!AA:AA,险种!U:U,"有效",险种!E:E,E:E)</f>
        <v>0</v>
      </c>
      <c r="AE78" s="68" t="str">
        <f>A78&amp;D78&amp;G78&amp;"目前获得"&amp;$AC$1&amp;AC:AC&amp;"名，获得"&amp;$AD$1&amp;AD:AD&amp;"名"</f>
        <v>淮南本部李敬腾伙伴目前获得龙虾节预收名额0名，获得龙虾节承保名额0名</v>
      </c>
      <c r="AF78" s="68">
        <f>SUMIF(认购返还案!D:D,E:E,认购返还案!E:E)</f>
        <v>0</v>
      </c>
      <c r="AG78" s="68">
        <f>_xlfn.IFS(AND(U:U&gt;=3000,U:U&lt;5000),AF:AF*0.5,U:U&gt;=5000,AF:AF*1,U:U&lt;3000,0)</f>
        <v>0</v>
      </c>
      <c r="AH78" s="68">
        <f>_xlfn.IFS(AND(V:V&gt;=3000,V:V&lt;5000),AF:AF*0.5,V:V&gt;=5000,AF:AF*1,V:V&lt;3000,0)</f>
        <v>0</v>
      </c>
      <c r="AI78" s="68" t="str">
        <f>A:A&amp;D:D&amp;G:G&amp;$AF$1&amp;AF:AF&amp;"元，目前预收价值"&amp;U:U&amp;"，"&amp;$AG$1&amp;AG:AG&amp;"元，"&amp;$AH$1&amp;AH:AH&amp;"元"</f>
        <v>淮南本部李敬腾伙伴冲锋队缴费金额0元，目前预收价值0，预收拟返还0元，承保拟返还0元</v>
      </c>
      <c r="AJ78" s="68">
        <f>SUMIF(保单!R:R,E:E,保单!BE:BE)*IF(AF:AF&gt;1,1,0)</f>
        <v>0</v>
      </c>
      <c r="AK78" s="68">
        <f>SUMIFS(保单!BE:BE,保单!R:R,E:E,保单!BB:BB,"有效")*IF(AF:AF&gt;1,1,0)</f>
        <v>0</v>
      </c>
      <c r="AL78" s="72" t="str">
        <f>A:A&amp;D:D&amp;G:G&amp;"只要在1-10日承保全部保单，即可获得"&amp;$AJ$1&amp;AJ:AJ&amp;"个"</f>
        <v>淮南本部李敬腾伙伴只要在1-10日承保全部保单，即可获得冲锋队按摩仪0个</v>
      </c>
    </row>
    <row r="79" spans="1:38">
      <c r="A79" s="64" t="s">
        <v>27</v>
      </c>
      <c r="B79" s="64" t="s">
        <v>28</v>
      </c>
      <c r="C79" s="64" t="s">
        <v>29</v>
      </c>
      <c r="D79" s="64" t="s">
        <v>319</v>
      </c>
      <c r="E79" s="64">
        <v>6483119202</v>
      </c>
      <c r="F79" s="64" t="s">
        <v>158</v>
      </c>
      <c r="G79" s="64" t="str">
        <f>IF(OR(F:F="高级经理一级",F:F="业务经理一级"),"主管","伙伴")</f>
        <v>伙伴</v>
      </c>
      <c r="H79" s="65">
        <f>SUMIF(险种!E:E,E:E,险种!R:R)-SUMIFS(险种!R:R,险种!U:U,"终止",险种!E:E,E:E)</f>
        <v>0</v>
      </c>
      <c r="I79" s="65">
        <f>SUMIFS(险种!R:R,险种!U:U,"有效",险种!E:E,E:E)</f>
        <v>0</v>
      </c>
      <c r="J79" s="65">
        <f>ROUND(SUMIF(险种!E:E,E:E,险种!Q:Q)-SUMIFS(险种!Q:Q,险种!U:U,"终止",险种!E:E,E:E),1)</f>
        <v>0</v>
      </c>
      <c r="K79" s="68">
        <f>RANK(J79,J:J)</f>
        <v>22</v>
      </c>
      <c r="L79" s="65">
        <f>ROUND(SUMIFS(险种!Q:Q,险种!U:U,"有效",险种!E:E,E:E),1)</f>
        <v>0</v>
      </c>
      <c r="M79" s="68">
        <f>RANK(L79,L:L,)</f>
        <v>14</v>
      </c>
      <c r="N79" s="68">
        <f>SUMIF(险种!E:E,E:E,险种!W:W)</f>
        <v>0</v>
      </c>
      <c r="O79" s="68">
        <f>IF(N:N&gt;=1,1,0)</f>
        <v>0</v>
      </c>
      <c r="P79" s="65">
        <f>ROUND(SUMIFS(险种!Q:Q,险种!V:V,$P$1,险种!E:E,E:E),1)</f>
        <v>0</v>
      </c>
      <c r="Q79" s="68">
        <f>RANK(P79,$P:$P,0)-1</f>
        <v>5</v>
      </c>
      <c r="R79" s="68" t="str">
        <f>A:A&amp;D:D&amp;G:G&amp;"在"&amp;$P$1&amp;"预收"&amp;P:P&amp;"排名中支第"&amp;Q:Q&amp;"位"</f>
        <v>凤台刘金金伙伴在20210509预收0排名中支第5位</v>
      </c>
      <c r="S79" s="65">
        <f>ROUND(SUMIFS(险种!Q:Q,险种!E:E,E:E,险种!V:V,"&lt;=20210506")-SUMIFS(险种!Q:Q,险种!U:U,"终止",险种!E:E,E:E,险种!V:V,"&lt;=20210506"),1)</f>
        <v>0</v>
      </c>
      <c r="T79" s="65">
        <f>ROUND(SUMIFS(险种!Q:Q,险种!U:U,"有效",险种!E:E,E:E,险种!V:V,"&lt;=20210506"),1)</f>
        <v>0</v>
      </c>
      <c r="U79" s="65">
        <f>ROUND(SUMIFS(险种!Q:Q,险种!E:E,E:E,险种!V:V,"&lt;=20210510")-SUMIFS(险种!Q:Q,险种!U:U,"终止",险种!E:E,E:E,险种!V:V,"&lt;=20210510"),1)</f>
        <v>0</v>
      </c>
      <c r="V79" s="65">
        <f>ROUND(SUMIFS(险种!Q:Q,险种!U:U,"有效",险种!E:E,E:E,险种!V:V,"&lt;=20210510"),1)</f>
        <v>0</v>
      </c>
      <c r="W79" s="65">
        <f t="shared" si="1"/>
        <v>0</v>
      </c>
      <c r="X79" s="68">
        <f>SUMIF(险种!E:E,E:E,险种!Y:Y)</f>
        <v>0</v>
      </c>
      <c r="Y79" s="65">
        <f>MAX(_xlfn.IFS(OR(X:X=1,X:X=2),J:J*0.1,X:X&gt;=3,J:J*0.2,X:X=0,0),IF(J:J&gt;=20000,J:J*0.2,0))</f>
        <v>0</v>
      </c>
      <c r="Z79" s="65" t="str">
        <f>A79&amp;D79&amp;G79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凤台刘金金伙伴5.1-5.10预收价值保费0，首周预收3000P件数0件，预收拟加佣0元。温馨提示，保单需10日（含）前承保，目前还有0价值保费未承保,开单一件即可获得10%加佣</v>
      </c>
      <c r="AA79" s="68">
        <f>SUMIF(险种!E:E,E:E,险种!Z:Z)</f>
        <v>0</v>
      </c>
      <c r="AB79" s="65"/>
      <c r="AC79" s="68">
        <f>SUMIF(险种!E:E,E:E,险种!AA:AA)</f>
        <v>0</v>
      </c>
      <c r="AD79" s="68">
        <f>SUMIFS(险种!AA:AA,险种!U:U,"有效",险种!E:E,E:E)</f>
        <v>0</v>
      </c>
      <c r="AE79" s="68" t="str">
        <f>A79&amp;D79&amp;G79&amp;"目前获得"&amp;$AC$1&amp;AC:AC&amp;"名，获得"&amp;$AD$1&amp;AD:AD&amp;"名"</f>
        <v>凤台刘金金伙伴目前获得龙虾节预收名额0名，获得龙虾节承保名额0名</v>
      </c>
      <c r="AF79" s="68">
        <f>SUMIF(认购返还案!D:D,E:E,认购返还案!E:E)</f>
        <v>0</v>
      </c>
      <c r="AG79" s="68">
        <f>_xlfn.IFS(AND(U:U&gt;=3000,U:U&lt;5000),AF:AF*0.5,U:U&gt;=5000,AF:AF*1,U:U&lt;3000,0)</f>
        <v>0</v>
      </c>
      <c r="AH79" s="68">
        <f>_xlfn.IFS(AND(V:V&gt;=3000,V:V&lt;5000),AF:AF*0.5,V:V&gt;=5000,AF:AF*1,V:V&lt;3000,0)</f>
        <v>0</v>
      </c>
      <c r="AI79" s="68" t="str">
        <f>A:A&amp;D:D&amp;G:G&amp;$AF$1&amp;AF:AF&amp;"元，目前预收价值"&amp;U:U&amp;"，"&amp;$AG$1&amp;AG:AG&amp;"元，"&amp;$AH$1&amp;AH:AH&amp;"元"</f>
        <v>凤台刘金金伙伴冲锋队缴费金额0元，目前预收价值0，预收拟返还0元，承保拟返还0元</v>
      </c>
      <c r="AJ79" s="68">
        <f>SUMIF(保单!R:R,E:E,保单!BE:BE)*IF(AF:AF&gt;1,1,0)</f>
        <v>0</v>
      </c>
      <c r="AK79" s="68">
        <f>SUMIFS(保单!BE:BE,保单!R:R,E:E,保单!BB:BB,"有效")*IF(AF:AF&gt;1,1,0)</f>
        <v>0</v>
      </c>
      <c r="AL79" s="72" t="str">
        <f>A:A&amp;D:D&amp;G:G&amp;"只要在1-10日承保全部保单，即可获得"&amp;$AJ$1&amp;AJ:AJ&amp;"个"</f>
        <v>凤台刘金金伙伴只要在1-10日承保全部保单，即可获得冲锋队按摩仪0个</v>
      </c>
    </row>
    <row r="80" spans="1:38">
      <c r="A80" s="64" t="s">
        <v>27</v>
      </c>
      <c r="B80" s="64" t="s">
        <v>37</v>
      </c>
      <c r="C80" s="64" t="s">
        <v>226</v>
      </c>
      <c r="D80" s="64" t="s">
        <v>320</v>
      </c>
      <c r="E80" s="64">
        <v>6482965082</v>
      </c>
      <c r="F80" s="64" t="s">
        <v>158</v>
      </c>
      <c r="G80" s="64" t="str">
        <f>IF(OR(F:F="高级经理一级",F:F="业务经理一级"),"主管","伙伴")</f>
        <v>伙伴</v>
      </c>
      <c r="H80" s="65">
        <f>SUMIF(险种!E:E,E:E,险种!R:R)-SUMIFS(险种!R:R,险种!U:U,"终止",险种!E:E,E:E)</f>
        <v>0</v>
      </c>
      <c r="I80" s="65">
        <f>SUMIFS(险种!R:R,险种!U:U,"有效",险种!E:E,E:E)</f>
        <v>0</v>
      </c>
      <c r="J80" s="65">
        <f>ROUND(SUMIF(险种!E:E,E:E,险种!Q:Q)-SUMIFS(险种!Q:Q,险种!U:U,"终止",险种!E:E,E:E),1)</f>
        <v>0</v>
      </c>
      <c r="K80" s="68">
        <f>RANK(J80,J:J)</f>
        <v>22</v>
      </c>
      <c r="L80" s="65">
        <f>ROUND(SUMIFS(险种!Q:Q,险种!U:U,"有效",险种!E:E,E:E),1)</f>
        <v>0</v>
      </c>
      <c r="M80" s="68">
        <f>RANK(L80,L:L,)</f>
        <v>14</v>
      </c>
      <c r="N80" s="68">
        <f>SUMIF(险种!E:E,E:E,险种!W:W)</f>
        <v>0</v>
      </c>
      <c r="O80" s="68">
        <f>IF(N:N&gt;=1,1,0)</f>
        <v>0</v>
      </c>
      <c r="P80" s="65">
        <f>ROUND(SUMIFS(险种!Q:Q,险种!V:V,$P$1,险种!E:E,E:E),1)</f>
        <v>0</v>
      </c>
      <c r="Q80" s="68">
        <f>RANK(P80,$P:$P,0)-1</f>
        <v>5</v>
      </c>
      <c r="R80" s="68" t="str">
        <f>A:A&amp;D:D&amp;G:G&amp;"在"&amp;$P$1&amp;"预收"&amp;P:P&amp;"排名中支第"&amp;Q:Q&amp;"位"</f>
        <v>凤台段传颖伙伴在20210509预收0排名中支第5位</v>
      </c>
      <c r="S80" s="65">
        <f>ROUND(SUMIFS(险种!Q:Q,险种!E:E,E:E,险种!V:V,"&lt;=20210506")-SUMIFS(险种!Q:Q,险种!U:U,"终止",险种!E:E,E:E,险种!V:V,"&lt;=20210506"),1)</f>
        <v>0</v>
      </c>
      <c r="T80" s="65">
        <f>ROUND(SUMIFS(险种!Q:Q,险种!U:U,"有效",险种!E:E,E:E,险种!V:V,"&lt;=20210506"),1)</f>
        <v>0</v>
      </c>
      <c r="U80" s="65">
        <f>ROUND(SUMIFS(险种!Q:Q,险种!E:E,E:E,险种!V:V,"&lt;=20210510")-SUMIFS(险种!Q:Q,险种!U:U,"终止",险种!E:E,E:E,险种!V:V,"&lt;=20210510"),1)</f>
        <v>0</v>
      </c>
      <c r="V80" s="65">
        <f>ROUND(SUMIFS(险种!Q:Q,险种!U:U,"有效",险种!E:E,E:E,险种!V:V,"&lt;=20210510"),1)</f>
        <v>0</v>
      </c>
      <c r="W80" s="65">
        <f t="shared" si="1"/>
        <v>0</v>
      </c>
      <c r="X80" s="68">
        <f>SUMIF(险种!E:E,E:E,险种!Y:Y)</f>
        <v>0</v>
      </c>
      <c r="Y80" s="65">
        <f>MAX(_xlfn.IFS(OR(X:X=1,X:X=2),J:J*0.1,X:X&gt;=3,J:J*0.2,X:X=0,0),IF(J:J&gt;=20000,J:J*0.2,0))</f>
        <v>0</v>
      </c>
      <c r="Z80" s="65" t="str">
        <f>A80&amp;D80&amp;G80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凤台段传颖伙伴5.1-5.10预收价值保费0，首周预收3000P件数0件，预收拟加佣0元。温馨提示，保单需10日（含）前承保，目前还有0价值保费未承保,开单一件即可获得10%加佣</v>
      </c>
      <c r="AA80" s="68">
        <f>SUMIF(险种!E:E,E:E,险种!Z:Z)</f>
        <v>0</v>
      </c>
      <c r="AB80" s="65"/>
      <c r="AC80" s="68">
        <f>SUMIF(险种!E:E,E:E,险种!AA:AA)</f>
        <v>0</v>
      </c>
      <c r="AD80" s="68">
        <f>SUMIFS(险种!AA:AA,险种!U:U,"有效",险种!E:E,E:E)</f>
        <v>0</v>
      </c>
      <c r="AE80" s="68" t="str">
        <f>A80&amp;D80&amp;G80&amp;"目前获得"&amp;$AC$1&amp;AC:AC&amp;"名，获得"&amp;$AD$1&amp;AD:AD&amp;"名"</f>
        <v>凤台段传颖伙伴目前获得龙虾节预收名额0名，获得龙虾节承保名额0名</v>
      </c>
      <c r="AF80" s="68">
        <f>SUMIF(认购返还案!D:D,E:E,认购返还案!E:E)</f>
        <v>0</v>
      </c>
      <c r="AG80" s="68">
        <f>_xlfn.IFS(AND(U:U&gt;=3000,U:U&lt;5000),AF:AF*0.5,U:U&gt;=5000,AF:AF*1,U:U&lt;3000,0)</f>
        <v>0</v>
      </c>
      <c r="AH80" s="68">
        <f>_xlfn.IFS(AND(V:V&gt;=3000,V:V&lt;5000),AF:AF*0.5,V:V&gt;=5000,AF:AF*1,V:V&lt;3000,0)</f>
        <v>0</v>
      </c>
      <c r="AI80" s="68" t="str">
        <f>A:A&amp;D:D&amp;G:G&amp;$AF$1&amp;AF:AF&amp;"元，目前预收价值"&amp;U:U&amp;"，"&amp;$AG$1&amp;AG:AG&amp;"元，"&amp;$AH$1&amp;AH:AH&amp;"元"</f>
        <v>凤台段传颖伙伴冲锋队缴费金额0元，目前预收价值0，预收拟返还0元，承保拟返还0元</v>
      </c>
      <c r="AJ80" s="68">
        <f>SUMIF(保单!R:R,E:E,保单!BE:BE)*IF(AF:AF&gt;1,1,0)</f>
        <v>0</v>
      </c>
      <c r="AK80" s="68">
        <f>SUMIFS(保单!BE:BE,保单!R:R,E:E,保单!BB:BB,"有效")*IF(AF:AF&gt;1,1,0)</f>
        <v>0</v>
      </c>
      <c r="AL80" s="72" t="str">
        <f>A:A&amp;D:D&amp;G:G&amp;"只要在1-10日承保全部保单，即可获得"&amp;$AJ$1&amp;AJ:AJ&amp;"个"</f>
        <v>凤台段传颖伙伴只要在1-10日承保全部保单，即可获得冲锋队按摩仪0个</v>
      </c>
    </row>
    <row r="81" spans="1:38">
      <c r="A81" s="64" t="s">
        <v>27</v>
      </c>
      <c r="B81" s="64" t="s">
        <v>28</v>
      </c>
      <c r="C81" s="64" t="s">
        <v>29</v>
      </c>
      <c r="D81" s="64" t="s">
        <v>321</v>
      </c>
      <c r="E81" s="64">
        <v>6481562702</v>
      </c>
      <c r="F81" s="64" t="s">
        <v>158</v>
      </c>
      <c r="G81" s="64" t="str">
        <f>IF(OR(F:F="高级经理一级",F:F="业务经理一级"),"主管","伙伴")</f>
        <v>伙伴</v>
      </c>
      <c r="H81" s="65">
        <f>SUMIF(险种!E:E,E:E,险种!R:R)-SUMIFS(险种!R:R,险种!U:U,"终止",险种!E:E,E:E)</f>
        <v>0</v>
      </c>
      <c r="I81" s="65">
        <f>SUMIFS(险种!R:R,险种!U:U,"有效",险种!E:E,E:E)</f>
        <v>0</v>
      </c>
      <c r="J81" s="65">
        <f>ROUND(SUMIF(险种!E:E,E:E,险种!Q:Q)-SUMIFS(险种!Q:Q,险种!U:U,"终止",险种!E:E,E:E),1)</f>
        <v>0</v>
      </c>
      <c r="K81" s="68">
        <f>RANK(J81,J:J)</f>
        <v>22</v>
      </c>
      <c r="L81" s="65">
        <f>ROUND(SUMIFS(险种!Q:Q,险种!U:U,"有效",险种!E:E,E:E),1)</f>
        <v>0</v>
      </c>
      <c r="M81" s="68">
        <f>RANK(L81,L:L,)</f>
        <v>14</v>
      </c>
      <c r="N81" s="68">
        <f>SUMIF(险种!E:E,E:E,险种!W:W)</f>
        <v>0</v>
      </c>
      <c r="O81" s="68">
        <f>IF(N:N&gt;=1,1,0)</f>
        <v>0</v>
      </c>
      <c r="P81" s="65">
        <f>ROUND(SUMIFS(险种!Q:Q,险种!V:V,$P$1,险种!E:E,E:E),1)</f>
        <v>0</v>
      </c>
      <c r="Q81" s="68">
        <f>RANK(P81,$P:$P,0)-1</f>
        <v>5</v>
      </c>
      <c r="R81" s="68" t="str">
        <f>A:A&amp;D:D&amp;G:G&amp;"在"&amp;$P$1&amp;"预收"&amp;P:P&amp;"排名中支第"&amp;Q:Q&amp;"位"</f>
        <v>凤台胡奇珍伙伴在20210509预收0排名中支第5位</v>
      </c>
      <c r="S81" s="65">
        <f>ROUND(SUMIFS(险种!Q:Q,险种!E:E,E:E,险种!V:V,"&lt;=20210506")-SUMIFS(险种!Q:Q,险种!U:U,"终止",险种!E:E,E:E,险种!V:V,"&lt;=20210506"),1)</f>
        <v>0</v>
      </c>
      <c r="T81" s="65">
        <f>ROUND(SUMIFS(险种!Q:Q,险种!U:U,"有效",险种!E:E,E:E,险种!V:V,"&lt;=20210506"),1)</f>
        <v>0</v>
      </c>
      <c r="U81" s="65">
        <f>ROUND(SUMIFS(险种!Q:Q,险种!E:E,E:E,险种!V:V,"&lt;=20210510")-SUMIFS(险种!Q:Q,险种!U:U,"终止",险种!E:E,E:E,险种!V:V,"&lt;=20210510"),1)</f>
        <v>0</v>
      </c>
      <c r="V81" s="65">
        <f>ROUND(SUMIFS(险种!Q:Q,险种!U:U,"有效",险种!E:E,E:E,险种!V:V,"&lt;=20210510"),1)</f>
        <v>0</v>
      </c>
      <c r="W81" s="65">
        <f t="shared" si="1"/>
        <v>0</v>
      </c>
      <c r="X81" s="68">
        <f>SUMIF(险种!E:E,E:E,险种!Y:Y)</f>
        <v>0</v>
      </c>
      <c r="Y81" s="65">
        <f>MAX(_xlfn.IFS(OR(X:X=1,X:X=2),J:J*0.1,X:X&gt;=3,J:J*0.2,X:X=0,0),IF(J:J&gt;=20000,J:J*0.2,0))</f>
        <v>0</v>
      </c>
      <c r="Z81" s="65" t="str">
        <f>A81&amp;D81&amp;G81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凤台胡奇珍伙伴5.1-5.10预收价值保费0，首周预收3000P件数0件，预收拟加佣0元。温馨提示，保单需10日（含）前承保，目前还有0价值保费未承保,开单一件即可获得10%加佣</v>
      </c>
      <c r="AA81" s="68">
        <f>SUMIF(险种!E:E,E:E,险种!Z:Z)</f>
        <v>0</v>
      </c>
      <c r="AB81" s="65"/>
      <c r="AC81" s="68">
        <f>SUMIF(险种!E:E,E:E,险种!AA:AA)</f>
        <v>0</v>
      </c>
      <c r="AD81" s="68">
        <f>SUMIFS(险种!AA:AA,险种!U:U,"有效",险种!E:E,E:E)</f>
        <v>0</v>
      </c>
      <c r="AE81" s="68" t="str">
        <f>A81&amp;D81&amp;G81&amp;"目前获得"&amp;$AC$1&amp;AC:AC&amp;"名，获得"&amp;$AD$1&amp;AD:AD&amp;"名"</f>
        <v>凤台胡奇珍伙伴目前获得龙虾节预收名额0名，获得龙虾节承保名额0名</v>
      </c>
      <c r="AF81" s="68">
        <f>SUMIF(认购返还案!D:D,E:E,认购返还案!E:E)</f>
        <v>0</v>
      </c>
      <c r="AG81" s="68">
        <f>_xlfn.IFS(AND(U:U&gt;=3000,U:U&lt;5000),AF:AF*0.5,U:U&gt;=5000,AF:AF*1,U:U&lt;3000,0)</f>
        <v>0</v>
      </c>
      <c r="AH81" s="68">
        <f>_xlfn.IFS(AND(V:V&gt;=3000,V:V&lt;5000),AF:AF*0.5,V:V&gt;=5000,AF:AF*1,V:V&lt;3000,0)</f>
        <v>0</v>
      </c>
      <c r="AI81" s="68" t="str">
        <f>A:A&amp;D:D&amp;G:G&amp;$AF$1&amp;AF:AF&amp;"元，目前预收价值"&amp;U:U&amp;"，"&amp;$AG$1&amp;AG:AG&amp;"元，"&amp;$AH$1&amp;AH:AH&amp;"元"</f>
        <v>凤台胡奇珍伙伴冲锋队缴费金额0元，目前预收价值0，预收拟返还0元，承保拟返还0元</v>
      </c>
      <c r="AJ81" s="68">
        <f>SUMIF(保单!R:R,E:E,保单!BE:BE)*IF(AF:AF&gt;1,1,0)</f>
        <v>0</v>
      </c>
      <c r="AK81" s="68">
        <f>SUMIFS(保单!BE:BE,保单!R:R,E:E,保单!BB:BB,"有效")*IF(AF:AF&gt;1,1,0)</f>
        <v>0</v>
      </c>
      <c r="AL81" s="72" t="str">
        <f>A:A&amp;D:D&amp;G:G&amp;"只要在1-10日承保全部保单，即可获得"&amp;$AJ$1&amp;AJ:AJ&amp;"个"</f>
        <v>凤台胡奇珍伙伴只要在1-10日承保全部保单，即可获得冲锋队按摩仪0个</v>
      </c>
    </row>
    <row r="82" spans="1:38">
      <c r="A82" s="64" t="s">
        <v>42</v>
      </c>
      <c r="B82" s="64" t="s">
        <v>62</v>
      </c>
      <c r="C82" s="64" t="s">
        <v>92</v>
      </c>
      <c r="D82" s="64" t="s">
        <v>322</v>
      </c>
      <c r="E82" s="64">
        <v>6481010612</v>
      </c>
      <c r="F82" s="64" t="s">
        <v>158</v>
      </c>
      <c r="G82" s="64" t="str">
        <f>IF(OR(F:F="高级经理一级",F:F="业务经理一级"),"主管","伙伴")</f>
        <v>伙伴</v>
      </c>
      <c r="H82" s="65">
        <f>SUMIF(险种!E:E,E:E,险种!R:R)-SUMIFS(险种!R:R,险种!U:U,"终止",险种!E:E,E:E)</f>
        <v>0</v>
      </c>
      <c r="I82" s="65">
        <f>SUMIFS(险种!R:R,险种!U:U,"有效",险种!E:E,E:E)</f>
        <v>0</v>
      </c>
      <c r="J82" s="65">
        <f>ROUND(SUMIF(险种!E:E,E:E,险种!Q:Q)-SUMIFS(险种!Q:Q,险种!U:U,"终止",险种!E:E,E:E),1)</f>
        <v>0</v>
      </c>
      <c r="K82" s="68">
        <f>RANK(J82,J:J)</f>
        <v>22</v>
      </c>
      <c r="L82" s="65">
        <f>ROUND(SUMIFS(险种!Q:Q,险种!U:U,"有效",险种!E:E,E:E),1)</f>
        <v>0</v>
      </c>
      <c r="M82" s="68">
        <f>RANK(L82,L:L,)</f>
        <v>14</v>
      </c>
      <c r="N82" s="68">
        <f>SUMIF(险种!E:E,E:E,险种!W:W)</f>
        <v>0</v>
      </c>
      <c r="O82" s="68">
        <f>IF(N:N&gt;=1,1,0)</f>
        <v>0</v>
      </c>
      <c r="P82" s="65">
        <f>ROUND(SUMIFS(险种!Q:Q,险种!V:V,$P$1,险种!E:E,E:E),1)</f>
        <v>0</v>
      </c>
      <c r="Q82" s="68">
        <f>RANK(P82,$P:$P,0)-1</f>
        <v>5</v>
      </c>
      <c r="R82" s="68" t="str">
        <f>A:A&amp;D:D&amp;G:G&amp;"在"&amp;$P$1&amp;"预收"&amp;P:P&amp;"排名中支第"&amp;Q:Q&amp;"位"</f>
        <v>淮南本部徐梅伙伴在20210509预收0排名中支第5位</v>
      </c>
      <c r="S82" s="65">
        <f>ROUND(SUMIFS(险种!Q:Q,险种!E:E,E:E,险种!V:V,"&lt;=20210506")-SUMIFS(险种!Q:Q,险种!U:U,"终止",险种!E:E,E:E,险种!V:V,"&lt;=20210506"),1)</f>
        <v>0</v>
      </c>
      <c r="T82" s="65">
        <f>ROUND(SUMIFS(险种!Q:Q,险种!U:U,"有效",险种!E:E,E:E,险种!V:V,"&lt;=20210506"),1)</f>
        <v>0</v>
      </c>
      <c r="U82" s="65">
        <f>ROUND(SUMIFS(险种!Q:Q,险种!E:E,E:E,险种!V:V,"&lt;=20210510")-SUMIFS(险种!Q:Q,险种!U:U,"终止",险种!E:E,E:E,险种!V:V,"&lt;=20210510"),1)</f>
        <v>0</v>
      </c>
      <c r="V82" s="65">
        <f>ROUND(SUMIFS(险种!Q:Q,险种!U:U,"有效",险种!E:E,E:E,险种!V:V,"&lt;=20210510"),1)</f>
        <v>0</v>
      </c>
      <c r="W82" s="65">
        <f t="shared" si="1"/>
        <v>0</v>
      </c>
      <c r="X82" s="68">
        <f>SUMIF(险种!E:E,E:E,险种!Y:Y)</f>
        <v>0</v>
      </c>
      <c r="Y82" s="65">
        <f>MAX(_xlfn.IFS(OR(X:X=1,X:X=2),J:J*0.1,X:X&gt;=3,J:J*0.2,X:X=0,0),IF(J:J&gt;=20000,J:J*0.2,0))</f>
        <v>0</v>
      </c>
      <c r="Z82" s="65" t="str">
        <f>A82&amp;D82&amp;G82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淮南本部徐梅伙伴5.1-5.10预收价值保费0，首周预收3000P件数0件，预收拟加佣0元。温馨提示，保单需10日（含）前承保，目前还有0价值保费未承保,开单一件即可获得10%加佣</v>
      </c>
      <c r="AA82" s="68">
        <f>SUMIF(险种!E:E,E:E,险种!Z:Z)</f>
        <v>0</v>
      </c>
      <c r="AB82" s="65"/>
      <c r="AC82" s="68">
        <f>SUMIF(险种!E:E,E:E,险种!AA:AA)</f>
        <v>0</v>
      </c>
      <c r="AD82" s="68">
        <f>SUMIFS(险种!AA:AA,险种!U:U,"有效",险种!E:E,E:E)</f>
        <v>0</v>
      </c>
      <c r="AE82" s="68" t="str">
        <f>A82&amp;D82&amp;G82&amp;"目前获得"&amp;$AC$1&amp;AC:AC&amp;"名，获得"&amp;$AD$1&amp;AD:AD&amp;"名"</f>
        <v>淮南本部徐梅伙伴目前获得龙虾节预收名额0名，获得龙虾节承保名额0名</v>
      </c>
      <c r="AF82" s="68">
        <f>SUMIF(认购返还案!D:D,E:E,认购返还案!E:E)</f>
        <v>0</v>
      </c>
      <c r="AG82" s="68">
        <f>_xlfn.IFS(AND(U:U&gt;=3000,U:U&lt;5000),AF:AF*0.5,U:U&gt;=5000,AF:AF*1,U:U&lt;3000,0)</f>
        <v>0</v>
      </c>
      <c r="AH82" s="68">
        <f>_xlfn.IFS(AND(V:V&gt;=3000,V:V&lt;5000),AF:AF*0.5,V:V&gt;=5000,AF:AF*1,V:V&lt;3000,0)</f>
        <v>0</v>
      </c>
      <c r="AI82" s="68" t="str">
        <f>A:A&amp;D:D&amp;G:G&amp;$AF$1&amp;AF:AF&amp;"元，目前预收价值"&amp;U:U&amp;"，"&amp;$AG$1&amp;AG:AG&amp;"元，"&amp;$AH$1&amp;AH:AH&amp;"元"</f>
        <v>淮南本部徐梅伙伴冲锋队缴费金额0元，目前预收价值0，预收拟返还0元，承保拟返还0元</v>
      </c>
      <c r="AJ82" s="68">
        <f>SUMIF(保单!R:R,E:E,保单!BE:BE)*IF(AF:AF&gt;1,1,0)</f>
        <v>0</v>
      </c>
      <c r="AK82" s="68">
        <f>SUMIFS(保单!BE:BE,保单!R:R,E:E,保单!BB:BB,"有效")*IF(AF:AF&gt;1,1,0)</f>
        <v>0</v>
      </c>
      <c r="AL82" s="72" t="str">
        <f>A:A&amp;D:D&amp;G:G&amp;"只要在1-10日承保全部保单，即可获得"&amp;$AJ$1&amp;AJ:AJ&amp;"个"</f>
        <v>淮南本部徐梅伙伴只要在1-10日承保全部保单，即可获得冲锋队按摩仪0个</v>
      </c>
    </row>
    <row r="83" spans="1:38">
      <c r="A83" s="64" t="s">
        <v>27</v>
      </c>
      <c r="B83" s="64" t="s">
        <v>28</v>
      </c>
      <c r="C83" s="64" t="s">
        <v>29</v>
      </c>
      <c r="D83" s="64" t="s">
        <v>323</v>
      </c>
      <c r="E83" s="64">
        <v>6478470472</v>
      </c>
      <c r="F83" s="64" t="s">
        <v>158</v>
      </c>
      <c r="G83" s="64" t="str">
        <f>IF(OR(F:F="高级经理一级",F:F="业务经理一级"),"主管","伙伴")</f>
        <v>伙伴</v>
      </c>
      <c r="H83" s="65">
        <f>SUMIF(险种!E:E,E:E,险种!R:R)-SUMIFS(险种!R:R,险种!U:U,"终止",险种!E:E,E:E)</f>
        <v>0</v>
      </c>
      <c r="I83" s="65">
        <f>SUMIFS(险种!R:R,险种!U:U,"有效",险种!E:E,E:E)</f>
        <v>0</v>
      </c>
      <c r="J83" s="65">
        <f>ROUND(SUMIF(险种!E:E,E:E,险种!Q:Q)-SUMIFS(险种!Q:Q,险种!U:U,"终止",险种!E:E,E:E),1)</f>
        <v>0</v>
      </c>
      <c r="K83" s="68">
        <f>RANK(J83,J:J)</f>
        <v>22</v>
      </c>
      <c r="L83" s="65">
        <f>ROUND(SUMIFS(险种!Q:Q,险种!U:U,"有效",险种!E:E,E:E),1)</f>
        <v>0</v>
      </c>
      <c r="M83" s="68">
        <f>RANK(L83,L:L,)</f>
        <v>14</v>
      </c>
      <c r="N83" s="68">
        <f>SUMIF(险种!E:E,E:E,险种!W:W)</f>
        <v>0</v>
      </c>
      <c r="O83" s="68">
        <f>IF(N:N&gt;=1,1,0)</f>
        <v>0</v>
      </c>
      <c r="P83" s="65">
        <f>ROUND(SUMIFS(险种!Q:Q,险种!V:V,$P$1,险种!E:E,E:E),1)</f>
        <v>0</v>
      </c>
      <c r="Q83" s="68">
        <f>RANK(P83,$P:$P,0)-1</f>
        <v>5</v>
      </c>
      <c r="R83" s="68" t="str">
        <f>A:A&amp;D:D&amp;G:G&amp;"在"&amp;$P$1&amp;"预收"&amp;P:P&amp;"排名中支第"&amp;Q:Q&amp;"位"</f>
        <v>凤台吴妮妮伙伴在20210509预收0排名中支第5位</v>
      </c>
      <c r="S83" s="65">
        <f>ROUND(SUMIFS(险种!Q:Q,险种!E:E,E:E,险种!V:V,"&lt;=20210506")-SUMIFS(险种!Q:Q,险种!U:U,"终止",险种!E:E,E:E,险种!V:V,"&lt;=20210506"),1)</f>
        <v>0</v>
      </c>
      <c r="T83" s="65">
        <f>ROUND(SUMIFS(险种!Q:Q,险种!U:U,"有效",险种!E:E,E:E,险种!V:V,"&lt;=20210506"),1)</f>
        <v>0</v>
      </c>
      <c r="U83" s="65">
        <f>ROUND(SUMIFS(险种!Q:Q,险种!E:E,E:E,险种!V:V,"&lt;=20210510")-SUMIFS(险种!Q:Q,险种!U:U,"终止",险种!E:E,E:E,险种!V:V,"&lt;=20210510"),1)</f>
        <v>0</v>
      </c>
      <c r="V83" s="65">
        <f>ROUND(SUMIFS(险种!Q:Q,险种!U:U,"有效",险种!E:E,E:E,险种!V:V,"&lt;=20210510"),1)</f>
        <v>0</v>
      </c>
      <c r="W83" s="65">
        <f t="shared" si="1"/>
        <v>0</v>
      </c>
      <c r="X83" s="68">
        <f>SUMIF(险种!E:E,E:E,险种!Y:Y)</f>
        <v>0</v>
      </c>
      <c r="Y83" s="65">
        <f>MAX(_xlfn.IFS(OR(X:X=1,X:X=2),J:J*0.1,X:X&gt;=3,J:J*0.2,X:X=0,0),IF(J:J&gt;=20000,J:J*0.2,0))</f>
        <v>0</v>
      </c>
      <c r="Z83" s="65" t="str">
        <f>A83&amp;D83&amp;G83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凤台吴妮妮伙伴5.1-5.10预收价值保费0，首周预收3000P件数0件，预收拟加佣0元。温馨提示，保单需10日（含）前承保，目前还有0价值保费未承保,开单一件即可获得10%加佣</v>
      </c>
      <c r="AA83" s="68">
        <f>SUMIF(险种!E:E,E:E,险种!Z:Z)</f>
        <v>0</v>
      </c>
      <c r="AB83" s="65"/>
      <c r="AC83" s="68">
        <f>SUMIF(险种!E:E,E:E,险种!AA:AA)</f>
        <v>0</v>
      </c>
      <c r="AD83" s="68">
        <f>SUMIFS(险种!AA:AA,险种!U:U,"有效",险种!E:E,E:E)</f>
        <v>0</v>
      </c>
      <c r="AE83" s="68" t="str">
        <f>A83&amp;D83&amp;G83&amp;"目前获得"&amp;$AC$1&amp;AC:AC&amp;"名，获得"&amp;$AD$1&amp;AD:AD&amp;"名"</f>
        <v>凤台吴妮妮伙伴目前获得龙虾节预收名额0名，获得龙虾节承保名额0名</v>
      </c>
      <c r="AF83" s="68">
        <f>SUMIF(认购返还案!D:D,E:E,认购返还案!E:E)</f>
        <v>0</v>
      </c>
      <c r="AG83" s="68">
        <f>_xlfn.IFS(AND(U:U&gt;=3000,U:U&lt;5000),AF:AF*0.5,U:U&gt;=5000,AF:AF*1,U:U&lt;3000,0)</f>
        <v>0</v>
      </c>
      <c r="AH83" s="68">
        <f>_xlfn.IFS(AND(V:V&gt;=3000,V:V&lt;5000),AF:AF*0.5,V:V&gt;=5000,AF:AF*1,V:V&lt;3000,0)</f>
        <v>0</v>
      </c>
      <c r="AI83" s="68" t="str">
        <f>A:A&amp;D:D&amp;G:G&amp;$AF$1&amp;AF:AF&amp;"元，目前预收价值"&amp;U:U&amp;"，"&amp;$AG$1&amp;AG:AG&amp;"元，"&amp;$AH$1&amp;AH:AH&amp;"元"</f>
        <v>凤台吴妮妮伙伴冲锋队缴费金额0元，目前预收价值0，预收拟返还0元，承保拟返还0元</v>
      </c>
      <c r="AJ83" s="68">
        <f>SUMIF(保单!R:R,E:E,保单!BE:BE)*IF(AF:AF&gt;1,1,0)</f>
        <v>0</v>
      </c>
      <c r="AK83" s="68">
        <f>SUMIFS(保单!BE:BE,保单!R:R,E:E,保单!BB:BB,"有效")*IF(AF:AF&gt;1,1,0)</f>
        <v>0</v>
      </c>
      <c r="AL83" s="72" t="str">
        <f>A:A&amp;D:D&amp;G:G&amp;"只要在1-10日承保全部保单，即可获得"&amp;$AJ$1&amp;AJ:AJ&amp;"个"</f>
        <v>凤台吴妮妮伙伴只要在1-10日承保全部保单，即可获得冲锋队按摩仪0个</v>
      </c>
    </row>
    <row r="84" spans="1:38">
      <c r="A84" s="64" t="s">
        <v>27</v>
      </c>
      <c r="B84" s="64" t="s">
        <v>28</v>
      </c>
      <c r="C84" s="64" t="s">
        <v>29</v>
      </c>
      <c r="D84" s="64" t="s">
        <v>324</v>
      </c>
      <c r="E84" s="64">
        <v>6478511252</v>
      </c>
      <c r="F84" s="64" t="s">
        <v>158</v>
      </c>
      <c r="G84" s="64" t="str">
        <f>IF(OR(F:F="高级经理一级",F:F="业务经理一级"),"主管","伙伴")</f>
        <v>伙伴</v>
      </c>
      <c r="H84" s="65">
        <f>SUMIF(险种!E:E,E:E,险种!R:R)-SUMIFS(险种!R:R,险种!U:U,"终止",险种!E:E,E:E)</f>
        <v>0</v>
      </c>
      <c r="I84" s="65">
        <f>SUMIFS(险种!R:R,险种!U:U,"有效",险种!E:E,E:E)</f>
        <v>0</v>
      </c>
      <c r="J84" s="65">
        <f>ROUND(SUMIF(险种!E:E,E:E,险种!Q:Q)-SUMIFS(险种!Q:Q,险种!U:U,"终止",险种!E:E,E:E),1)</f>
        <v>0</v>
      </c>
      <c r="K84" s="68">
        <f>RANK(J84,J:J)</f>
        <v>22</v>
      </c>
      <c r="L84" s="65">
        <f>ROUND(SUMIFS(险种!Q:Q,险种!U:U,"有效",险种!E:E,E:E),1)</f>
        <v>0</v>
      </c>
      <c r="M84" s="68">
        <f>RANK(L84,L:L,)</f>
        <v>14</v>
      </c>
      <c r="N84" s="68">
        <f>SUMIF(险种!E:E,E:E,险种!W:W)</f>
        <v>0</v>
      </c>
      <c r="O84" s="68">
        <f>IF(N:N&gt;=1,1,0)</f>
        <v>0</v>
      </c>
      <c r="P84" s="65">
        <f>ROUND(SUMIFS(险种!Q:Q,险种!V:V,$P$1,险种!E:E,E:E),1)</f>
        <v>0</v>
      </c>
      <c r="Q84" s="68">
        <f>RANK(P84,$P:$P,0)-1</f>
        <v>5</v>
      </c>
      <c r="R84" s="68" t="str">
        <f>A:A&amp;D:D&amp;G:G&amp;"在"&amp;$P$1&amp;"预收"&amp;P:P&amp;"排名中支第"&amp;Q:Q&amp;"位"</f>
        <v>凤台信萍伙伴在20210509预收0排名中支第5位</v>
      </c>
      <c r="S84" s="65">
        <f>ROUND(SUMIFS(险种!Q:Q,险种!E:E,E:E,险种!V:V,"&lt;=20210506")-SUMIFS(险种!Q:Q,险种!U:U,"终止",险种!E:E,E:E,险种!V:V,"&lt;=20210506"),1)</f>
        <v>0</v>
      </c>
      <c r="T84" s="65">
        <f>ROUND(SUMIFS(险种!Q:Q,险种!U:U,"有效",险种!E:E,E:E,险种!V:V,"&lt;=20210506"),1)</f>
        <v>0</v>
      </c>
      <c r="U84" s="65">
        <f>ROUND(SUMIFS(险种!Q:Q,险种!E:E,E:E,险种!V:V,"&lt;=20210510")-SUMIFS(险种!Q:Q,险种!U:U,"终止",险种!E:E,E:E,险种!V:V,"&lt;=20210510"),1)</f>
        <v>0</v>
      </c>
      <c r="V84" s="65">
        <f>ROUND(SUMIFS(险种!Q:Q,险种!U:U,"有效",险种!E:E,E:E,险种!V:V,"&lt;=20210510"),1)</f>
        <v>0</v>
      </c>
      <c r="W84" s="65">
        <f t="shared" si="1"/>
        <v>0</v>
      </c>
      <c r="X84" s="68">
        <f>SUMIF(险种!E:E,E:E,险种!Y:Y)</f>
        <v>0</v>
      </c>
      <c r="Y84" s="65">
        <f>MAX(_xlfn.IFS(OR(X:X=1,X:X=2),J:J*0.1,X:X&gt;=3,J:J*0.2,X:X=0,0),IF(J:J&gt;=20000,J:J*0.2,0))</f>
        <v>0</v>
      </c>
      <c r="Z84" s="65" t="str">
        <f>A84&amp;D84&amp;G84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凤台信萍伙伴5.1-5.10预收价值保费0，首周预收3000P件数0件，预收拟加佣0元。温馨提示，保单需10日（含）前承保，目前还有0价值保费未承保,开单一件即可获得10%加佣</v>
      </c>
      <c r="AA84" s="68">
        <f>SUMIF(险种!E:E,E:E,险种!Z:Z)</f>
        <v>0</v>
      </c>
      <c r="AB84" s="65"/>
      <c r="AC84" s="68">
        <f>SUMIF(险种!E:E,E:E,险种!AA:AA)</f>
        <v>0</v>
      </c>
      <c r="AD84" s="68">
        <f>SUMIFS(险种!AA:AA,险种!U:U,"有效",险种!E:E,E:E)</f>
        <v>0</v>
      </c>
      <c r="AE84" s="68" t="str">
        <f>A84&amp;D84&amp;G84&amp;"目前获得"&amp;$AC$1&amp;AC:AC&amp;"名，获得"&amp;$AD$1&amp;AD:AD&amp;"名"</f>
        <v>凤台信萍伙伴目前获得龙虾节预收名额0名，获得龙虾节承保名额0名</v>
      </c>
      <c r="AF84" s="68">
        <f>SUMIF(认购返还案!D:D,E:E,认购返还案!E:E)</f>
        <v>0</v>
      </c>
      <c r="AG84" s="68">
        <f>_xlfn.IFS(AND(U:U&gt;=3000,U:U&lt;5000),AF:AF*0.5,U:U&gt;=5000,AF:AF*1,U:U&lt;3000,0)</f>
        <v>0</v>
      </c>
      <c r="AH84" s="68">
        <f>_xlfn.IFS(AND(V:V&gt;=3000,V:V&lt;5000),AF:AF*0.5,V:V&gt;=5000,AF:AF*1,V:V&lt;3000,0)</f>
        <v>0</v>
      </c>
      <c r="AI84" s="68" t="str">
        <f>A:A&amp;D:D&amp;G:G&amp;$AF$1&amp;AF:AF&amp;"元，目前预收价值"&amp;U:U&amp;"，"&amp;$AG$1&amp;AG:AG&amp;"元，"&amp;$AH$1&amp;AH:AH&amp;"元"</f>
        <v>凤台信萍伙伴冲锋队缴费金额0元，目前预收价值0，预收拟返还0元，承保拟返还0元</v>
      </c>
      <c r="AJ84" s="68">
        <f>SUMIF(保单!R:R,E:E,保单!BE:BE)*IF(AF:AF&gt;1,1,0)</f>
        <v>0</v>
      </c>
      <c r="AK84" s="68">
        <f>SUMIFS(保单!BE:BE,保单!R:R,E:E,保单!BB:BB,"有效")*IF(AF:AF&gt;1,1,0)</f>
        <v>0</v>
      </c>
      <c r="AL84" s="72" t="str">
        <f>A:A&amp;D:D&amp;G:G&amp;"只要在1-10日承保全部保单，即可获得"&amp;$AJ$1&amp;AJ:AJ&amp;"个"</f>
        <v>凤台信萍伙伴只要在1-10日承保全部保单，即可获得冲锋队按摩仪0个</v>
      </c>
    </row>
    <row r="85" spans="1:38">
      <c r="A85" s="64" t="s">
        <v>42</v>
      </c>
      <c r="B85" s="64" t="s">
        <v>43</v>
      </c>
      <c r="C85" s="64" t="s">
        <v>44</v>
      </c>
      <c r="D85" s="64" t="s">
        <v>325</v>
      </c>
      <c r="E85" s="64">
        <v>6477994542</v>
      </c>
      <c r="F85" s="64" t="s">
        <v>158</v>
      </c>
      <c r="G85" s="64" t="str">
        <f>IF(OR(F:F="高级经理一级",F:F="业务经理一级"),"主管","伙伴")</f>
        <v>伙伴</v>
      </c>
      <c r="H85" s="65">
        <f>SUMIF(险种!E:E,E:E,险种!R:R)-SUMIFS(险种!R:R,险种!U:U,"终止",险种!E:E,E:E)</f>
        <v>0</v>
      </c>
      <c r="I85" s="65">
        <f>SUMIFS(险种!R:R,险种!U:U,"有效",险种!E:E,E:E)</f>
        <v>0</v>
      </c>
      <c r="J85" s="65">
        <f>ROUND(SUMIF(险种!E:E,E:E,险种!Q:Q)-SUMIFS(险种!Q:Q,险种!U:U,"终止",险种!E:E,E:E),1)</f>
        <v>0</v>
      </c>
      <c r="K85" s="68">
        <f>RANK(J85,J:J)</f>
        <v>22</v>
      </c>
      <c r="L85" s="65">
        <f>ROUND(SUMIFS(险种!Q:Q,险种!U:U,"有效",险种!E:E,E:E),1)</f>
        <v>0</v>
      </c>
      <c r="M85" s="68">
        <f>RANK(L85,L:L,)</f>
        <v>14</v>
      </c>
      <c r="N85" s="68">
        <f>SUMIF(险种!E:E,E:E,险种!W:W)</f>
        <v>0</v>
      </c>
      <c r="O85" s="68">
        <f>IF(N:N&gt;=1,1,0)</f>
        <v>0</v>
      </c>
      <c r="P85" s="65">
        <f>ROUND(SUMIFS(险种!Q:Q,险种!V:V,$P$1,险种!E:E,E:E),1)</f>
        <v>0</v>
      </c>
      <c r="Q85" s="68">
        <f>RANK(P85,$P:$P,0)-1</f>
        <v>5</v>
      </c>
      <c r="R85" s="68" t="str">
        <f>A:A&amp;D:D&amp;G:G&amp;"在"&amp;$P$1&amp;"预收"&amp;P:P&amp;"排名中支第"&amp;Q:Q&amp;"位"</f>
        <v>淮南本部刘鹤伙伴在20210509预收0排名中支第5位</v>
      </c>
      <c r="S85" s="65">
        <f>ROUND(SUMIFS(险种!Q:Q,险种!E:E,E:E,险种!V:V,"&lt;=20210506")-SUMIFS(险种!Q:Q,险种!U:U,"终止",险种!E:E,E:E,险种!V:V,"&lt;=20210506"),1)</f>
        <v>0</v>
      </c>
      <c r="T85" s="65">
        <f>ROUND(SUMIFS(险种!Q:Q,险种!U:U,"有效",险种!E:E,E:E,险种!V:V,"&lt;=20210506"),1)</f>
        <v>0</v>
      </c>
      <c r="U85" s="65">
        <f>ROUND(SUMIFS(险种!Q:Q,险种!E:E,E:E,险种!V:V,"&lt;=20210510")-SUMIFS(险种!Q:Q,险种!U:U,"终止",险种!E:E,E:E,险种!V:V,"&lt;=20210510"),1)</f>
        <v>0</v>
      </c>
      <c r="V85" s="65">
        <f>ROUND(SUMIFS(险种!Q:Q,险种!U:U,"有效",险种!E:E,E:E,险种!V:V,"&lt;=20210510"),1)</f>
        <v>0</v>
      </c>
      <c r="W85" s="65">
        <f t="shared" si="1"/>
        <v>0</v>
      </c>
      <c r="X85" s="68">
        <f>SUMIF(险种!E:E,E:E,险种!Y:Y)</f>
        <v>0</v>
      </c>
      <c r="Y85" s="65">
        <f>MAX(_xlfn.IFS(OR(X:X=1,X:X=2),J:J*0.1,X:X&gt;=3,J:J*0.2,X:X=0,0),IF(J:J&gt;=20000,J:J*0.2,0))</f>
        <v>0</v>
      </c>
      <c r="Z85" s="65" t="str">
        <f>A85&amp;D85&amp;G85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淮南本部刘鹤伙伴5.1-5.10预收价值保费0，首周预收3000P件数0件，预收拟加佣0元。温馨提示，保单需10日（含）前承保，目前还有0价值保费未承保,开单一件即可获得10%加佣</v>
      </c>
      <c r="AA85" s="68">
        <f>SUMIF(险种!E:E,E:E,险种!Z:Z)</f>
        <v>0</v>
      </c>
      <c r="AB85" s="65"/>
      <c r="AC85" s="68">
        <f>SUMIF(险种!E:E,E:E,险种!AA:AA)</f>
        <v>0</v>
      </c>
      <c r="AD85" s="68">
        <f>SUMIFS(险种!AA:AA,险种!U:U,"有效",险种!E:E,E:E)</f>
        <v>0</v>
      </c>
      <c r="AE85" s="68" t="str">
        <f>A85&amp;D85&amp;G85&amp;"目前获得"&amp;$AC$1&amp;AC:AC&amp;"名，获得"&amp;$AD$1&amp;AD:AD&amp;"名"</f>
        <v>淮南本部刘鹤伙伴目前获得龙虾节预收名额0名，获得龙虾节承保名额0名</v>
      </c>
      <c r="AF85" s="68">
        <f>SUMIF(认购返还案!D:D,E:E,认购返还案!E:E)</f>
        <v>0</v>
      </c>
      <c r="AG85" s="68">
        <f>_xlfn.IFS(AND(U:U&gt;=3000,U:U&lt;5000),AF:AF*0.5,U:U&gt;=5000,AF:AF*1,U:U&lt;3000,0)</f>
        <v>0</v>
      </c>
      <c r="AH85" s="68">
        <f>_xlfn.IFS(AND(V:V&gt;=3000,V:V&lt;5000),AF:AF*0.5,V:V&gt;=5000,AF:AF*1,V:V&lt;3000,0)</f>
        <v>0</v>
      </c>
      <c r="AI85" s="68" t="str">
        <f>A:A&amp;D:D&amp;G:G&amp;$AF$1&amp;AF:AF&amp;"元，目前预收价值"&amp;U:U&amp;"，"&amp;$AG$1&amp;AG:AG&amp;"元，"&amp;$AH$1&amp;AH:AH&amp;"元"</f>
        <v>淮南本部刘鹤伙伴冲锋队缴费金额0元，目前预收价值0，预收拟返还0元，承保拟返还0元</v>
      </c>
      <c r="AJ85" s="68">
        <f>SUMIF(保单!R:R,E:E,保单!BE:BE)*IF(AF:AF&gt;1,1,0)</f>
        <v>0</v>
      </c>
      <c r="AK85" s="68">
        <f>SUMIFS(保单!BE:BE,保单!R:R,E:E,保单!BB:BB,"有效")*IF(AF:AF&gt;1,1,0)</f>
        <v>0</v>
      </c>
      <c r="AL85" s="72" t="str">
        <f>A:A&amp;D:D&amp;G:G&amp;"只要在1-10日承保全部保单，即可获得"&amp;$AJ$1&amp;AJ:AJ&amp;"个"</f>
        <v>淮南本部刘鹤伙伴只要在1-10日承保全部保单，即可获得冲锋队按摩仪0个</v>
      </c>
    </row>
    <row r="86" spans="1:38">
      <c r="A86" s="64" t="s">
        <v>48</v>
      </c>
      <c r="B86" s="64" t="s">
        <v>49</v>
      </c>
      <c r="C86" s="64" t="s">
        <v>50</v>
      </c>
      <c r="D86" s="64" t="s">
        <v>326</v>
      </c>
      <c r="E86" s="64">
        <v>6476533172</v>
      </c>
      <c r="F86" s="64" t="s">
        <v>174</v>
      </c>
      <c r="G86" s="64" t="str">
        <f>IF(OR(F:F="高级经理一级",F:F="业务经理一级"),"主管","伙伴")</f>
        <v>伙伴</v>
      </c>
      <c r="H86" s="65">
        <f>SUMIF(险种!E:E,E:E,险种!R:R)-SUMIFS(险种!R:R,险种!U:U,"终止",险种!E:E,E:E)</f>
        <v>0</v>
      </c>
      <c r="I86" s="65">
        <f>SUMIFS(险种!R:R,险种!U:U,"有效",险种!E:E,E:E)</f>
        <v>0</v>
      </c>
      <c r="J86" s="65">
        <f>ROUND(SUMIF(险种!E:E,E:E,险种!Q:Q)-SUMIFS(险种!Q:Q,险种!U:U,"终止",险种!E:E,E:E),1)</f>
        <v>0</v>
      </c>
      <c r="K86" s="68">
        <f>RANK(J86,J:J)</f>
        <v>22</v>
      </c>
      <c r="L86" s="65">
        <f>ROUND(SUMIFS(险种!Q:Q,险种!U:U,"有效",险种!E:E,E:E),1)</f>
        <v>0</v>
      </c>
      <c r="M86" s="68">
        <f>RANK(L86,L:L,)</f>
        <v>14</v>
      </c>
      <c r="N86" s="68">
        <f>SUMIF(险种!E:E,E:E,险种!W:W)</f>
        <v>0</v>
      </c>
      <c r="O86" s="68">
        <f>IF(N:N&gt;=1,1,0)</f>
        <v>0</v>
      </c>
      <c r="P86" s="65">
        <f>ROUND(SUMIFS(险种!Q:Q,险种!V:V,$P$1,险种!E:E,E:E),1)</f>
        <v>0</v>
      </c>
      <c r="Q86" s="68">
        <f>RANK(P86,$P:$P,0)-1</f>
        <v>5</v>
      </c>
      <c r="R86" s="68" t="str">
        <f>A:A&amp;D:D&amp;G:G&amp;"在"&amp;$P$1&amp;"预收"&amp;P:P&amp;"排名中支第"&amp;Q:Q&amp;"位"</f>
        <v>谢家集侯素良伙伴在20210509预收0排名中支第5位</v>
      </c>
      <c r="S86" s="65">
        <f>ROUND(SUMIFS(险种!Q:Q,险种!E:E,E:E,险种!V:V,"&lt;=20210506")-SUMIFS(险种!Q:Q,险种!U:U,"终止",险种!E:E,E:E,险种!V:V,"&lt;=20210506"),1)</f>
        <v>0</v>
      </c>
      <c r="T86" s="65">
        <f>ROUND(SUMIFS(险种!Q:Q,险种!U:U,"有效",险种!E:E,E:E,险种!V:V,"&lt;=20210506"),1)</f>
        <v>0</v>
      </c>
      <c r="U86" s="65">
        <f>ROUND(SUMIFS(险种!Q:Q,险种!E:E,E:E,险种!V:V,"&lt;=20210510")-SUMIFS(险种!Q:Q,险种!U:U,"终止",险种!E:E,E:E,险种!V:V,"&lt;=20210510"),1)</f>
        <v>0</v>
      </c>
      <c r="V86" s="65">
        <f>ROUND(SUMIFS(险种!Q:Q,险种!U:U,"有效",险种!E:E,E:E,险种!V:V,"&lt;=20210510"),1)</f>
        <v>0</v>
      </c>
      <c r="W86" s="65">
        <f t="shared" si="1"/>
        <v>0</v>
      </c>
      <c r="X86" s="68">
        <f>SUMIF(险种!E:E,E:E,险种!Y:Y)</f>
        <v>0</v>
      </c>
      <c r="Y86" s="65">
        <f>MAX(_xlfn.IFS(OR(X:X=1,X:X=2),J:J*0.1,X:X&gt;=3,J:J*0.2,X:X=0,0),IF(J:J&gt;=20000,J:J*0.2,0))</f>
        <v>0</v>
      </c>
      <c r="Z86" s="65" t="str">
        <f>A86&amp;D86&amp;G86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谢家集侯素良伙伴5.1-5.10预收价值保费0，首周预收3000P件数0件，预收拟加佣0元。温馨提示，保单需10日（含）前承保，目前还有0价值保费未承保,开单一件即可获得10%加佣</v>
      </c>
      <c r="AA86" s="68">
        <f>SUMIF(险种!E:E,E:E,险种!Z:Z)</f>
        <v>0</v>
      </c>
      <c r="AB86" s="65"/>
      <c r="AC86" s="68">
        <f>SUMIF(险种!E:E,E:E,险种!AA:AA)</f>
        <v>0</v>
      </c>
      <c r="AD86" s="68">
        <f>SUMIFS(险种!AA:AA,险种!U:U,"有效",险种!E:E,E:E)</f>
        <v>0</v>
      </c>
      <c r="AE86" s="68" t="str">
        <f>A86&amp;D86&amp;G86&amp;"目前获得"&amp;$AC$1&amp;AC:AC&amp;"名，获得"&amp;$AD$1&amp;AD:AD&amp;"名"</f>
        <v>谢家集侯素良伙伴目前获得龙虾节预收名额0名，获得龙虾节承保名额0名</v>
      </c>
      <c r="AF86" s="68">
        <f>SUMIF(认购返还案!D:D,E:E,认购返还案!E:E)</f>
        <v>0</v>
      </c>
      <c r="AG86" s="68">
        <f>_xlfn.IFS(AND(U:U&gt;=3000,U:U&lt;5000),AF:AF*0.5,U:U&gt;=5000,AF:AF*1,U:U&lt;3000,0)</f>
        <v>0</v>
      </c>
      <c r="AH86" s="68">
        <f>_xlfn.IFS(AND(V:V&gt;=3000,V:V&lt;5000),AF:AF*0.5,V:V&gt;=5000,AF:AF*1,V:V&lt;3000,0)</f>
        <v>0</v>
      </c>
      <c r="AI86" s="68" t="str">
        <f>A:A&amp;D:D&amp;G:G&amp;$AF$1&amp;AF:AF&amp;"元，目前预收价值"&amp;U:U&amp;"，"&amp;$AG$1&amp;AG:AG&amp;"元，"&amp;$AH$1&amp;AH:AH&amp;"元"</f>
        <v>谢家集侯素良伙伴冲锋队缴费金额0元，目前预收价值0，预收拟返还0元，承保拟返还0元</v>
      </c>
      <c r="AJ86" s="68">
        <f>SUMIF(保单!R:R,E:E,保单!BE:BE)*IF(AF:AF&gt;1,1,0)</f>
        <v>0</v>
      </c>
      <c r="AK86" s="68">
        <f>SUMIFS(保单!BE:BE,保单!R:R,E:E,保单!BB:BB,"有效")*IF(AF:AF&gt;1,1,0)</f>
        <v>0</v>
      </c>
      <c r="AL86" s="72" t="str">
        <f>A:A&amp;D:D&amp;G:G&amp;"只要在1-10日承保全部保单，即可获得"&amp;$AJ$1&amp;AJ:AJ&amp;"个"</f>
        <v>谢家集侯素良伙伴只要在1-10日承保全部保单，即可获得冲锋队按摩仪0个</v>
      </c>
    </row>
    <row r="87" spans="1:38">
      <c r="A87" s="64" t="s">
        <v>42</v>
      </c>
      <c r="B87" s="64" t="s">
        <v>43</v>
      </c>
      <c r="C87" s="64" t="s">
        <v>44</v>
      </c>
      <c r="D87" s="64" t="s">
        <v>327</v>
      </c>
      <c r="E87" s="64">
        <v>6476530472</v>
      </c>
      <c r="F87" s="64" t="s">
        <v>158</v>
      </c>
      <c r="G87" s="64" t="str">
        <f>IF(OR(F:F="高级经理一级",F:F="业务经理一级"),"主管","伙伴")</f>
        <v>伙伴</v>
      </c>
      <c r="H87" s="65">
        <f>SUMIF(险种!E:E,E:E,险种!R:R)-SUMIFS(险种!R:R,险种!U:U,"终止",险种!E:E,E:E)</f>
        <v>0</v>
      </c>
      <c r="I87" s="65">
        <f>SUMIFS(险种!R:R,险种!U:U,"有效",险种!E:E,E:E)</f>
        <v>0</v>
      </c>
      <c r="J87" s="65">
        <f>ROUND(SUMIF(险种!E:E,E:E,险种!Q:Q)-SUMIFS(险种!Q:Q,险种!U:U,"终止",险种!E:E,E:E),1)</f>
        <v>0</v>
      </c>
      <c r="K87" s="68">
        <f>RANK(J87,J:J)</f>
        <v>22</v>
      </c>
      <c r="L87" s="65">
        <f>ROUND(SUMIFS(险种!Q:Q,险种!U:U,"有效",险种!E:E,E:E),1)</f>
        <v>0</v>
      </c>
      <c r="M87" s="68">
        <f>RANK(L87,L:L,)</f>
        <v>14</v>
      </c>
      <c r="N87" s="68">
        <f>SUMIF(险种!E:E,E:E,险种!W:W)</f>
        <v>0</v>
      </c>
      <c r="O87" s="68">
        <f>IF(N:N&gt;=1,1,0)</f>
        <v>0</v>
      </c>
      <c r="P87" s="65">
        <f>ROUND(SUMIFS(险种!Q:Q,险种!V:V,$P$1,险种!E:E,E:E),1)</f>
        <v>0</v>
      </c>
      <c r="Q87" s="68">
        <f>RANK(P87,$P:$P,0)-1</f>
        <v>5</v>
      </c>
      <c r="R87" s="68" t="str">
        <f>A:A&amp;D:D&amp;G:G&amp;"在"&amp;$P$1&amp;"预收"&amp;P:P&amp;"排名中支第"&amp;Q:Q&amp;"位"</f>
        <v>淮南本部魏娟伙伴在20210509预收0排名中支第5位</v>
      </c>
      <c r="S87" s="65">
        <f>ROUND(SUMIFS(险种!Q:Q,险种!E:E,E:E,险种!V:V,"&lt;=20210506")-SUMIFS(险种!Q:Q,险种!U:U,"终止",险种!E:E,E:E,险种!V:V,"&lt;=20210506"),1)</f>
        <v>0</v>
      </c>
      <c r="T87" s="65">
        <f>ROUND(SUMIFS(险种!Q:Q,险种!U:U,"有效",险种!E:E,E:E,险种!V:V,"&lt;=20210506"),1)</f>
        <v>0</v>
      </c>
      <c r="U87" s="65">
        <f>ROUND(SUMIFS(险种!Q:Q,险种!E:E,E:E,险种!V:V,"&lt;=20210510")-SUMIFS(险种!Q:Q,险种!U:U,"终止",险种!E:E,E:E,险种!V:V,"&lt;=20210510"),1)</f>
        <v>0</v>
      </c>
      <c r="V87" s="65">
        <f>ROUND(SUMIFS(险种!Q:Q,险种!U:U,"有效",险种!E:E,E:E,险种!V:V,"&lt;=20210510"),1)</f>
        <v>0</v>
      </c>
      <c r="W87" s="65">
        <f t="shared" si="1"/>
        <v>0</v>
      </c>
      <c r="X87" s="68">
        <f>SUMIF(险种!E:E,E:E,险种!Y:Y)</f>
        <v>0</v>
      </c>
      <c r="Y87" s="65">
        <f>MAX(_xlfn.IFS(OR(X:X=1,X:X=2),J:J*0.1,X:X&gt;=3,J:J*0.2,X:X=0,0),IF(J:J&gt;=20000,J:J*0.2,0))</f>
        <v>0</v>
      </c>
      <c r="Z87" s="65" t="str">
        <f>A87&amp;D87&amp;G87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淮南本部魏娟伙伴5.1-5.10预收价值保费0，首周预收3000P件数0件，预收拟加佣0元。温馨提示，保单需10日（含）前承保，目前还有0价值保费未承保,开单一件即可获得10%加佣</v>
      </c>
      <c r="AA87" s="68">
        <f>SUMIF(险种!E:E,E:E,险种!Z:Z)</f>
        <v>0</v>
      </c>
      <c r="AB87" s="65"/>
      <c r="AC87" s="68">
        <f>SUMIF(险种!E:E,E:E,险种!AA:AA)</f>
        <v>0</v>
      </c>
      <c r="AD87" s="68">
        <f>SUMIFS(险种!AA:AA,险种!U:U,"有效",险种!E:E,E:E)</f>
        <v>0</v>
      </c>
      <c r="AE87" s="68" t="str">
        <f>A87&amp;D87&amp;G87&amp;"目前获得"&amp;$AC$1&amp;AC:AC&amp;"名，获得"&amp;$AD$1&amp;AD:AD&amp;"名"</f>
        <v>淮南本部魏娟伙伴目前获得龙虾节预收名额0名，获得龙虾节承保名额0名</v>
      </c>
      <c r="AF87" s="68">
        <f>SUMIF(认购返还案!D:D,E:E,认购返还案!E:E)</f>
        <v>0</v>
      </c>
      <c r="AG87" s="68">
        <f>_xlfn.IFS(AND(U:U&gt;=3000,U:U&lt;5000),AF:AF*0.5,U:U&gt;=5000,AF:AF*1,U:U&lt;3000,0)</f>
        <v>0</v>
      </c>
      <c r="AH87" s="68">
        <f>_xlfn.IFS(AND(V:V&gt;=3000,V:V&lt;5000),AF:AF*0.5,V:V&gt;=5000,AF:AF*1,V:V&lt;3000,0)</f>
        <v>0</v>
      </c>
      <c r="AI87" s="68" t="str">
        <f>A:A&amp;D:D&amp;G:G&amp;$AF$1&amp;AF:AF&amp;"元，目前预收价值"&amp;U:U&amp;"，"&amp;$AG$1&amp;AG:AG&amp;"元，"&amp;$AH$1&amp;AH:AH&amp;"元"</f>
        <v>淮南本部魏娟伙伴冲锋队缴费金额0元，目前预收价值0，预收拟返还0元，承保拟返还0元</v>
      </c>
      <c r="AJ87" s="68">
        <f>SUMIF(保单!R:R,E:E,保单!BE:BE)*IF(AF:AF&gt;1,1,0)</f>
        <v>0</v>
      </c>
      <c r="AK87" s="68">
        <f>SUMIFS(保单!BE:BE,保单!R:R,E:E,保单!BB:BB,"有效")*IF(AF:AF&gt;1,1,0)</f>
        <v>0</v>
      </c>
      <c r="AL87" s="72" t="str">
        <f>A:A&amp;D:D&amp;G:G&amp;"只要在1-10日承保全部保单，即可获得"&amp;$AJ$1&amp;AJ:AJ&amp;"个"</f>
        <v>淮南本部魏娟伙伴只要在1-10日承保全部保单，即可获得冲锋队按摩仪0个</v>
      </c>
    </row>
    <row r="88" spans="1:38">
      <c r="A88" s="64" t="s">
        <v>42</v>
      </c>
      <c r="B88" s="64" t="s">
        <v>62</v>
      </c>
      <c r="C88" s="64" t="s">
        <v>108</v>
      </c>
      <c r="D88" s="64" t="s">
        <v>328</v>
      </c>
      <c r="E88" s="64">
        <v>6474412812</v>
      </c>
      <c r="F88" s="64" t="s">
        <v>168</v>
      </c>
      <c r="G88" s="64" t="str">
        <f>IF(OR(F:F="高级经理一级",F:F="业务经理一级"),"主管","伙伴")</f>
        <v>伙伴</v>
      </c>
      <c r="H88" s="65">
        <f>SUMIF(险种!E:E,E:E,险种!R:R)-SUMIFS(险种!R:R,险种!U:U,"终止",险种!E:E,E:E)</f>
        <v>0</v>
      </c>
      <c r="I88" s="65">
        <f>SUMIFS(险种!R:R,险种!U:U,"有效",险种!E:E,E:E)</f>
        <v>0</v>
      </c>
      <c r="J88" s="65">
        <f>ROUND(SUMIF(险种!E:E,E:E,险种!Q:Q)-SUMIFS(险种!Q:Q,险种!U:U,"终止",险种!E:E,E:E),1)</f>
        <v>0</v>
      </c>
      <c r="K88" s="68">
        <f>RANK(J88,J:J)</f>
        <v>22</v>
      </c>
      <c r="L88" s="65">
        <f>ROUND(SUMIFS(险种!Q:Q,险种!U:U,"有效",险种!E:E,E:E),1)</f>
        <v>0</v>
      </c>
      <c r="M88" s="68">
        <f>RANK(L88,L:L,)</f>
        <v>14</v>
      </c>
      <c r="N88" s="68">
        <f>SUMIF(险种!E:E,E:E,险种!W:W)</f>
        <v>0</v>
      </c>
      <c r="O88" s="68">
        <f>IF(N:N&gt;=1,1,0)</f>
        <v>0</v>
      </c>
      <c r="P88" s="65">
        <f>ROUND(SUMIFS(险种!Q:Q,险种!V:V,$P$1,险种!E:E,E:E),1)</f>
        <v>0</v>
      </c>
      <c r="Q88" s="68">
        <f>RANK(P88,$P:$P,0)-1</f>
        <v>5</v>
      </c>
      <c r="R88" s="68" t="str">
        <f>A:A&amp;D:D&amp;G:G&amp;"在"&amp;$P$1&amp;"预收"&amp;P:P&amp;"排名中支第"&amp;Q:Q&amp;"位"</f>
        <v>淮南本部郑悦伙伴在20210509预收0排名中支第5位</v>
      </c>
      <c r="S88" s="65">
        <f>ROUND(SUMIFS(险种!Q:Q,险种!E:E,E:E,险种!V:V,"&lt;=20210506")-SUMIFS(险种!Q:Q,险种!U:U,"终止",险种!E:E,E:E,险种!V:V,"&lt;=20210506"),1)</f>
        <v>0</v>
      </c>
      <c r="T88" s="65">
        <f>ROUND(SUMIFS(险种!Q:Q,险种!U:U,"有效",险种!E:E,E:E,险种!V:V,"&lt;=20210506"),1)</f>
        <v>0</v>
      </c>
      <c r="U88" s="65">
        <f>ROUND(SUMIFS(险种!Q:Q,险种!E:E,E:E,险种!V:V,"&lt;=20210510")-SUMIFS(险种!Q:Q,险种!U:U,"终止",险种!E:E,E:E,险种!V:V,"&lt;=20210510"),1)</f>
        <v>0</v>
      </c>
      <c r="V88" s="65">
        <f>ROUND(SUMIFS(险种!Q:Q,险种!U:U,"有效",险种!E:E,E:E,险种!V:V,"&lt;=20210510"),1)</f>
        <v>0</v>
      </c>
      <c r="W88" s="65">
        <f t="shared" si="1"/>
        <v>0</v>
      </c>
      <c r="X88" s="68">
        <f>SUMIF(险种!E:E,E:E,险种!Y:Y)</f>
        <v>0</v>
      </c>
      <c r="Y88" s="65">
        <f>MAX(_xlfn.IFS(OR(X:X=1,X:X=2),J:J*0.1,X:X&gt;=3,J:J*0.2,X:X=0,0),IF(J:J&gt;=20000,J:J*0.2,0))</f>
        <v>0</v>
      </c>
      <c r="Z88" s="65" t="str">
        <f>A88&amp;D88&amp;G88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淮南本部郑悦伙伴5.1-5.10预收价值保费0，首周预收3000P件数0件，预收拟加佣0元。温馨提示，保单需10日（含）前承保，目前还有0价值保费未承保,开单一件即可获得10%加佣</v>
      </c>
      <c r="AA88" s="68">
        <f>SUMIF(险种!E:E,E:E,险种!Z:Z)</f>
        <v>0</v>
      </c>
      <c r="AB88" s="65"/>
      <c r="AC88" s="68">
        <f>SUMIF(险种!E:E,E:E,险种!AA:AA)</f>
        <v>0</v>
      </c>
      <c r="AD88" s="68">
        <f>SUMIFS(险种!AA:AA,险种!U:U,"有效",险种!E:E,E:E)</f>
        <v>0</v>
      </c>
      <c r="AE88" s="68" t="str">
        <f>A88&amp;D88&amp;G88&amp;"目前获得"&amp;$AC$1&amp;AC:AC&amp;"名，获得"&amp;$AD$1&amp;AD:AD&amp;"名"</f>
        <v>淮南本部郑悦伙伴目前获得龙虾节预收名额0名，获得龙虾节承保名额0名</v>
      </c>
      <c r="AF88" s="68">
        <f>SUMIF(认购返还案!D:D,E:E,认购返还案!E:E)</f>
        <v>0</v>
      </c>
      <c r="AG88" s="68">
        <f>_xlfn.IFS(AND(U:U&gt;=3000,U:U&lt;5000),AF:AF*0.5,U:U&gt;=5000,AF:AF*1,U:U&lt;3000,0)</f>
        <v>0</v>
      </c>
      <c r="AH88" s="68">
        <f>_xlfn.IFS(AND(V:V&gt;=3000,V:V&lt;5000),AF:AF*0.5,V:V&gt;=5000,AF:AF*1,V:V&lt;3000,0)</f>
        <v>0</v>
      </c>
      <c r="AI88" s="68" t="str">
        <f>A:A&amp;D:D&amp;G:G&amp;$AF$1&amp;AF:AF&amp;"元，目前预收价值"&amp;U:U&amp;"，"&amp;$AG$1&amp;AG:AG&amp;"元，"&amp;$AH$1&amp;AH:AH&amp;"元"</f>
        <v>淮南本部郑悦伙伴冲锋队缴费金额0元，目前预收价值0，预收拟返还0元，承保拟返还0元</v>
      </c>
      <c r="AJ88" s="68">
        <f>SUMIF(保单!R:R,E:E,保单!BE:BE)*IF(AF:AF&gt;1,1,0)</f>
        <v>0</v>
      </c>
      <c r="AK88" s="68">
        <f>SUMIFS(保单!BE:BE,保单!R:R,E:E,保单!BB:BB,"有效")*IF(AF:AF&gt;1,1,0)</f>
        <v>0</v>
      </c>
      <c r="AL88" s="72" t="str">
        <f>A:A&amp;D:D&amp;G:G&amp;"只要在1-10日承保全部保单，即可获得"&amp;$AJ$1&amp;AJ:AJ&amp;"个"</f>
        <v>淮南本部郑悦伙伴只要在1-10日承保全部保单，即可获得冲锋队按摩仪0个</v>
      </c>
    </row>
    <row r="89" spans="1:38">
      <c r="A89" s="64" t="s">
        <v>42</v>
      </c>
      <c r="B89" s="64" t="s">
        <v>62</v>
      </c>
      <c r="C89" s="64" t="s">
        <v>63</v>
      </c>
      <c r="D89" s="64" t="s">
        <v>329</v>
      </c>
      <c r="E89" s="64">
        <v>6472388482</v>
      </c>
      <c r="F89" s="64" t="s">
        <v>158</v>
      </c>
      <c r="G89" s="64" t="str">
        <f>IF(OR(F:F="高级经理一级",F:F="业务经理一级"),"主管","伙伴")</f>
        <v>伙伴</v>
      </c>
      <c r="H89" s="65">
        <f>SUMIF(险种!E:E,E:E,险种!R:R)-SUMIFS(险种!R:R,险种!U:U,"终止",险种!E:E,E:E)</f>
        <v>0</v>
      </c>
      <c r="I89" s="65">
        <f>SUMIFS(险种!R:R,险种!U:U,"有效",险种!E:E,E:E)</f>
        <v>0</v>
      </c>
      <c r="J89" s="65">
        <f>ROUND(SUMIF(险种!E:E,E:E,险种!Q:Q)-SUMIFS(险种!Q:Q,险种!U:U,"终止",险种!E:E,E:E),1)</f>
        <v>0</v>
      </c>
      <c r="K89" s="68">
        <f>RANK(J89,J:J)</f>
        <v>22</v>
      </c>
      <c r="L89" s="65">
        <f>ROUND(SUMIFS(险种!Q:Q,险种!U:U,"有效",险种!E:E,E:E),1)</f>
        <v>0</v>
      </c>
      <c r="M89" s="68">
        <f>RANK(L89,L:L,)</f>
        <v>14</v>
      </c>
      <c r="N89" s="68">
        <f>SUMIF(险种!E:E,E:E,险种!W:W)</f>
        <v>0</v>
      </c>
      <c r="O89" s="68">
        <f>IF(N:N&gt;=1,1,0)</f>
        <v>0</v>
      </c>
      <c r="P89" s="65">
        <f>ROUND(SUMIFS(险种!Q:Q,险种!V:V,$P$1,险种!E:E,E:E),1)</f>
        <v>0</v>
      </c>
      <c r="Q89" s="68">
        <f>RANK(P89,$P:$P,0)-1</f>
        <v>5</v>
      </c>
      <c r="R89" s="68" t="str">
        <f>A:A&amp;D:D&amp;G:G&amp;"在"&amp;$P$1&amp;"预收"&amp;P:P&amp;"排名中支第"&amp;Q:Q&amp;"位"</f>
        <v>淮南本部程路路伙伴在20210509预收0排名中支第5位</v>
      </c>
      <c r="S89" s="65">
        <f>ROUND(SUMIFS(险种!Q:Q,险种!E:E,E:E,险种!V:V,"&lt;=20210506")-SUMIFS(险种!Q:Q,险种!U:U,"终止",险种!E:E,E:E,险种!V:V,"&lt;=20210506"),1)</f>
        <v>0</v>
      </c>
      <c r="T89" s="65">
        <f>ROUND(SUMIFS(险种!Q:Q,险种!U:U,"有效",险种!E:E,E:E,险种!V:V,"&lt;=20210506"),1)</f>
        <v>0</v>
      </c>
      <c r="U89" s="65">
        <f>ROUND(SUMIFS(险种!Q:Q,险种!E:E,E:E,险种!V:V,"&lt;=20210510")-SUMIFS(险种!Q:Q,险种!U:U,"终止",险种!E:E,E:E,险种!V:V,"&lt;=20210510"),1)</f>
        <v>0</v>
      </c>
      <c r="V89" s="65">
        <f>ROUND(SUMIFS(险种!Q:Q,险种!U:U,"有效",险种!E:E,E:E,险种!V:V,"&lt;=20210510"),1)</f>
        <v>0</v>
      </c>
      <c r="W89" s="65">
        <f t="shared" si="1"/>
        <v>0</v>
      </c>
      <c r="X89" s="68">
        <f>SUMIF(险种!E:E,E:E,险种!Y:Y)</f>
        <v>0</v>
      </c>
      <c r="Y89" s="65">
        <f>MAX(_xlfn.IFS(OR(X:X=1,X:X=2),J:J*0.1,X:X&gt;=3,J:J*0.2,X:X=0,0),IF(J:J&gt;=20000,J:J*0.2,0))</f>
        <v>0</v>
      </c>
      <c r="Z89" s="65" t="str">
        <f>A89&amp;D89&amp;G89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淮南本部程路路伙伴5.1-5.10预收价值保费0，首周预收3000P件数0件，预收拟加佣0元。温馨提示，保单需10日（含）前承保，目前还有0价值保费未承保,开单一件即可获得10%加佣</v>
      </c>
      <c r="AA89" s="68">
        <f>SUMIF(险种!E:E,E:E,险种!Z:Z)</f>
        <v>0</v>
      </c>
      <c r="AB89" s="65"/>
      <c r="AC89" s="68">
        <f>SUMIF(险种!E:E,E:E,险种!AA:AA)</f>
        <v>0</v>
      </c>
      <c r="AD89" s="68">
        <f>SUMIFS(险种!AA:AA,险种!U:U,"有效",险种!E:E,E:E)</f>
        <v>0</v>
      </c>
      <c r="AE89" s="68" t="str">
        <f>A89&amp;D89&amp;G89&amp;"目前获得"&amp;$AC$1&amp;AC:AC&amp;"名，获得"&amp;$AD$1&amp;AD:AD&amp;"名"</f>
        <v>淮南本部程路路伙伴目前获得龙虾节预收名额0名，获得龙虾节承保名额0名</v>
      </c>
      <c r="AF89" s="68">
        <f>SUMIF(认购返还案!D:D,E:E,认购返还案!E:E)</f>
        <v>0</v>
      </c>
      <c r="AG89" s="68">
        <f>_xlfn.IFS(AND(U:U&gt;=3000,U:U&lt;5000),AF:AF*0.5,U:U&gt;=5000,AF:AF*1,U:U&lt;3000,0)</f>
        <v>0</v>
      </c>
      <c r="AH89" s="68">
        <f>_xlfn.IFS(AND(V:V&gt;=3000,V:V&lt;5000),AF:AF*0.5,V:V&gt;=5000,AF:AF*1,V:V&lt;3000,0)</f>
        <v>0</v>
      </c>
      <c r="AI89" s="68" t="str">
        <f>A:A&amp;D:D&amp;G:G&amp;$AF$1&amp;AF:AF&amp;"元，目前预收价值"&amp;U:U&amp;"，"&amp;$AG$1&amp;AG:AG&amp;"元，"&amp;$AH$1&amp;AH:AH&amp;"元"</f>
        <v>淮南本部程路路伙伴冲锋队缴费金额0元，目前预收价值0，预收拟返还0元，承保拟返还0元</v>
      </c>
      <c r="AJ89" s="68">
        <f>SUMIF(保单!R:R,E:E,保单!BE:BE)*IF(AF:AF&gt;1,1,0)</f>
        <v>0</v>
      </c>
      <c r="AK89" s="68">
        <f>SUMIFS(保单!BE:BE,保单!R:R,E:E,保单!BB:BB,"有效")*IF(AF:AF&gt;1,1,0)</f>
        <v>0</v>
      </c>
      <c r="AL89" s="72" t="str">
        <f>A:A&amp;D:D&amp;G:G&amp;"只要在1-10日承保全部保单，即可获得"&amp;$AJ$1&amp;AJ:AJ&amp;"个"</f>
        <v>淮南本部程路路伙伴只要在1-10日承保全部保单，即可获得冲锋队按摩仪0个</v>
      </c>
    </row>
    <row r="90" spans="1:38">
      <c r="A90" s="64" t="s">
        <v>48</v>
      </c>
      <c r="B90" s="64" t="s">
        <v>49</v>
      </c>
      <c r="C90" s="64" t="s">
        <v>98</v>
      </c>
      <c r="D90" s="64" t="s">
        <v>330</v>
      </c>
      <c r="E90" s="64">
        <v>6458436822</v>
      </c>
      <c r="F90" s="64" t="s">
        <v>174</v>
      </c>
      <c r="G90" s="64" t="str">
        <f>IF(OR(F:F="高级经理一级",F:F="业务经理一级"),"主管","伙伴")</f>
        <v>伙伴</v>
      </c>
      <c r="H90" s="65">
        <f>SUMIF(险种!E:E,E:E,险种!R:R)-SUMIFS(险种!R:R,险种!U:U,"终止",险种!E:E,E:E)</f>
        <v>0</v>
      </c>
      <c r="I90" s="65">
        <f>SUMIFS(险种!R:R,险种!U:U,"有效",险种!E:E,E:E)</f>
        <v>0</v>
      </c>
      <c r="J90" s="65">
        <f>ROUND(SUMIF(险种!E:E,E:E,险种!Q:Q)-SUMIFS(险种!Q:Q,险种!U:U,"终止",险种!E:E,E:E),1)</f>
        <v>0</v>
      </c>
      <c r="K90" s="68">
        <f>RANK(J90,J:J)</f>
        <v>22</v>
      </c>
      <c r="L90" s="65">
        <f>ROUND(SUMIFS(险种!Q:Q,险种!U:U,"有效",险种!E:E,E:E),1)</f>
        <v>0</v>
      </c>
      <c r="M90" s="68">
        <f>RANK(L90,L:L,)</f>
        <v>14</v>
      </c>
      <c r="N90" s="68">
        <f>SUMIF(险种!E:E,E:E,险种!W:W)</f>
        <v>0</v>
      </c>
      <c r="O90" s="68">
        <f>IF(N:N&gt;=1,1,0)</f>
        <v>0</v>
      </c>
      <c r="P90" s="65">
        <f>ROUND(SUMIFS(险种!Q:Q,险种!V:V,$P$1,险种!E:E,E:E),1)</f>
        <v>0</v>
      </c>
      <c r="Q90" s="68">
        <f>RANK(P90,$P:$P,0)-1</f>
        <v>5</v>
      </c>
      <c r="R90" s="68" t="str">
        <f>A:A&amp;D:D&amp;G:G&amp;"在"&amp;$P$1&amp;"预收"&amp;P:P&amp;"排名中支第"&amp;Q:Q&amp;"位"</f>
        <v>谢家集刘金萍伙伴在20210509预收0排名中支第5位</v>
      </c>
      <c r="S90" s="65">
        <f>ROUND(SUMIFS(险种!Q:Q,险种!E:E,E:E,险种!V:V,"&lt;=20210506")-SUMIFS(险种!Q:Q,险种!U:U,"终止",险种!E:E,E:E,险种!V:V,"&lt;=20210506"),1)</f>
        <v>0</v>
      </c>
      <c r="T90" s="65">
        <f>ROUND(SUMIFS(险种!Q:Q,险种!U:U,"有效",险种!E:E,E:E,险种!V:V,"&lt;=20210506"),1)</f>
        <v>0</v>
      </c>
      <c r="U90" s="65">
        <f>ROUND(SUMIFS(险种!Q:Q,险种!E:E,E:E,险种!V:V,"&lt;=20210510")-SUMIFS(险种!Q:Q,险种!U:U,"终止",险种!E:E,E:E,险种!V:V,"&lt;=20210510"),1)</f>
        <v>0</v>
      </c>
      <c r="V90" s="65">
        <f>ROUND(SUMIFS(险种!Q:Q,险种!U:U,"有效",险种!E:E,E:E,险种!V:V,"&lt;=20210510"),1)</f>
        <v>0</v>
      </c>
      <c r="W90" s="65">
        <f t="shared" si="1"/>
        <v>0</v>
      </c>
      <c r="X90" s="68">
        <f>SUMIF(险种!E:E,E:E,险种!Y:Y)</f>
        <v>0</v>
      </c>
      <c r="Y90" s="65">
        <f>MAX(_xlfn.IFS(OR(X:X=1,X:X=2),J:J*0.1,X:X&gt;=3,J:J*0.2,X:X=0,0),IF(J:J&gt;=20000,J:J*0.2,0))</f>
        <v>0</v>
      </c>
      <c r="Z90" s="65" t="str">
        <f>A90&amp;D90&amp;G90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谢家集刘金萍伙伴5.1-5.10预收价值保费0，首周预收3000P件数0件，预收拟加佣0元。温馨提示，保单需10日（含）前承保，目前还有0价值保费未承保,开单一件即可获得10%加佣</v>
      </c>
      <c r="AA90" s="68">
        <f>SUMIF(险种!E:E,E:E,险种!Z:Z)</f>
        <v>0</v>
      </c>
      <c r="AB90" s="65"/>
      <c r="AC90" s="68">
        <f>SUMIF(险种!E:E,E:E,险种!AA:AA)</f>
        <v>0</v>
      </c>
      <c r="AD90" s="68">
        <f>SUMIFS(险种!AA:AA,险种!U:U,"有效",险种!E:E,E:E)</f>
        <v>0</v>
      </c>
      <c r="AE90" s="68" t="str">
        <f>A90&amp;D90&amp;G90&amp;"目前获得"&amp;$AC$1&amp;AC:AC&amp;"名，获得"&amp;$AD$1&amp;AD:AD&amp;"名"</f>
        <v>谢家集刘金萍伙伴目前获得龙虾节预收名额0名，获得龙虾节承保名额0名</v>
      </c>
      <c r="AF90" s="68">
        <f>SUMIF(认购返还案!D:D,E:E,认购返还案!E:E)</f>
        <v>0</v>
      </c>
      <c r="AG90" s="68">
        <f>_xlfn.IFS(AND(U:U&gt;=3000,U:U&lt;5000),AF:AF*0.5,U:U&gt;=5000,AF:AF*1,U:U&lt;3000,0)</f>
        <v>0</v>
      </c>
      <c r="AH90" s="68">
        <f>_xlfn.IFS(AND(V:V&gt;=3000,V:V&lt;5000),AF:AF*0.5,V:V&gt;=5000,AF:AF*1,V:V&lt;3000,0)</f>
        <v>0</v>
      </c>
      <c r="AI90" s="68" t="str">
        <f>A:A&amp;D:D&amp;G:G&amp;$AF$1&amp;AF:AF&amp;"元，目前预收价值"&amp;U:U&amp;"，"&amp;$AG$1&amp;AG:AG&amp;"元，"&amp;$AH$1&amp;AH:AH&amp;"元"</f>
        <v>谢家集刘金萍伙伴冲锋队缴费金额0元，目前预收价值0，预收拟返还0元，承保拟返还0元</v>
      </c>
      <c r="AJ90" s="68">
        <f>SUMIF(保单!R:R,E:E,保单!BE:BE)*IF(AF:AF&gt;1,1,0)</f>
        <v>0</v>
      </c>
      <c r="AK90" s="68">
        <f>SUMIFS(保单!BE:BE,保单!R:R,E:E,保单!BB:BB,"有效")*IF(AF:AF&gt;1,1,0)</f>
        <v>0</v>
      </c>
      <c r="AL90" s="72" t="str">
        <f>A:A&amp;D:D&amp;G:G&amp;"只要在1-10日承保全部保单，即可获得"&amp;$AJ$1&amp;AJ:AJ&amp;"个"</f>
        <v>谢家集刘金萍伙伴只要在1-10日承保全部保单，即可获得冲锋队按摩仪0个</v>
      </c>
    </row>
    <row r="91" spans="1:38">
      <c r="A91" s="64" t="s">
        <v>27</v>
      </c>
      <c r="B91" s="64" t="s">
        <v>28</v>
      </c>
      <c r="C91" s="64" t="s">
        <v>29</v>
      </c>
      <c r="D91" s="64" t="s">
        <v>331</v>
      </c>
      <c r="E91" s="64">
        <v>6458315312</v>
      </c>
      <c r="F91" s="64" t="s">
        <v>158</v>
      </c>
      <c r="G91" s="64" t="str">
        <f>IF(OR(F:F="高级经理一级",F:F="业务经理一级"),"主管","伙伴")</f>
        <v>伙伴</v>
      </c>
      <c r="H91" s="65">
        <f>SUMIF(险种!E:E,E:E,险种!R:R)-SUMIFS(险种!R:R,险种!U:U,"终止",险种!E:E,E:E)</f>
        <v>0</v>
      </c>
      <c r="I91" s="65">
        <f>SUMIFS(险种!R:R,险种!U:U,"有效",险种!E:E,E:E)</f>
        <v>0</v>
      </c>
      <c r="J91" s="65">
        <f>ROUND(SUMIF(险种!E:E,E:E,险种!Q:Q)-SUMIFS(险种!Q:Q,险种!U:U,"终止",险种!E:E,E:E),1)</f>
        <v>0</v>
      </c>
      <c r="K91" s="68">
        <f>RANK(J91,J:J)</f>
        <v>22</v>
      </c>
      <c r="L91" s="65">
        <f>ROUND(SUMIFS(险种!Q:Q,险种!U:U,"有效",险种!E:E,E:E),1)</f>
        <v>0</v>
      </c>
      <c r="M91" s="68">
        <f>RANK(L91,L:L,)</f>
        <v>14</v>
      </c>
      <c r="N91" s="68">
        <f>SUMIF(险种!E:E,E:E,险种!W:W)</f>
        <v>0</v>
      </c>
      <c r="O91" s="68">
        <f>IF(N:N&gt;=1,1,0)</f>
        <v>0</v>
      </c>
      <c r="P91" s="65">
        <f>ROUND(SUMIFS(险种!Q:Q,险种!V:V,$P$1,险种!E:E,E:E),1)</f>
        <v>0</v>
      </c>
      <c r="Q91" s="68">
        <f>RANK(P91,$P:$P,0)-1</f>
        <v>5</v>
      </c>
      <c r="R91" s="68" t="str">
        <f>A:A&amp;D:D&amp;G:G&amp;"在"&amp;$P$1&amp;"预收"&amp;P:P&amp;"排名中支第"&amp;Q:Q&amp;"位"</f>
        <v>凤台徐杏伙伴在20210509预收0排名中支第5位</v>
      </c>
      <c r="S91" s="65">
        <f>ROUND(SUMIFS(险种!Q:Q,险种!E:E,E:E,险种!V:V,"&lt;=20210506")-SUMIFS(险种!Q:Q,险种!U:U,"终止",险种!E:E,E:E,险种!V:V,"&lt;=20210506"),1)</f>
        <v>0</v>
      </c>
      <c r="T91" s="65">
        <f>ROUND(SUMIFS(险种!Q:Q,险种!U:U,"有效",险种!E:E,E:E,险种!V:V,"&lt;=20210506"),1)</f>
        <v>0</v>
      </c>
      <c r="U91" s="65">
        <f>ROUND(SUMIFS(险种!Q:Q,险种!E:E,E:E,险种!V:V,"&lt;=20210510")-SUMIFS(险种!Q:Q,险种!U:U,"终止",险种!E:E,E:E,险种!V:V,"&lt;=20210510"),1)</f>
        <v>0</v>
      </c>
      <c r="V91" s="65">
        <f>ROUND(SUMIFS(险种!Q:Q,险种!U:U,"有效",险种!E:E,E:E,险种!V:V,"&lt;=20210510"),1)</f>
        <v>0</v>
      </c>
      <c r="W91" s="65">
        <f t="shared" si="1"/>
        <v>0</v>
      </c>
      <c r="X91" s="68">
        <f>SUMIF(险种!E:E,E:E,险种!Y:Y)</f>
        <v>0</v>
      </c>
      <c r="Y91" s="65">
        <f>MAX(_xlfn.IFS(OR(X:X=1,X:X=2),J:J*0.1,X:X&gt;=3,J:J*0.2,X:X=0,0),IF(J:J&gt;=20000,J:J*0.2,0))</f>
        <v>0</v>
      </c>
      <c r="Z91" s="65" t="str">
        <f>A91&amp;D91&amp;G91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凤台徐杏伙伴5.1-5.10预收价值保费0，首周预收3000P件数0件，预收拟加佣0元。温馨提示，保单需10日（含）前承保，目前还有0价值保费未承保,开单一件即可获得10%加佣</v>
      </c>
      <c r="AA91" s="68">
        <f>SUMIF(险种!E:E,E:E,险种!Z:Z)</f>
        <v>0</v>
      </c>
      <c r="AB91" s="65"/>
      <c r="AC91" s="68">
        <f>SUMIF(险种!E:E,E:E,险种!AA:AA)</f>
        <v>0</v>
      </c>
      <c r="AD91" s="68">
        <f>SUMIFS(险种!AA:AA,险种!U:U,"有效",险种!E:E,E:E)</f>
        <v>0</v>
      </c>
      <c r="AE91" s="68" t="str">
        <f>A91&amp;D91&amp;G91&amp;"目前获得"&amp;$AC$1&amp;AC:AC&amp;"名，获得"&amp;$AD$1&amp;AD:AD&amp;"名"</f>
        <v>凤台徐杏伙伴目前获得龙虾节预收名额0名，获得龙虾节承保名额0名</v>
      </c>
      <c r="AF91" s="68">
        <f>SUMIF(认购返还案!D:D,E:E,认购返还案!E:E)</f>
        <v>0</v>
      </c>
      <c r="AG91" s="68">
        <f>_xlfn.IFS(AND(U:U&gt;=3000,U:U&lt;5000),AF:AF*0.5,U:U&gt;=5000,AF:AF*1,U:U&lt;3000,0)</f>
        <v>0</v>
      </c>
      <c r="AH91" s="68">
        <f>_xlfn.IFS(AND(V:V&gt;=3000,V:V&lt;5000),AF:AF*0.5,V:V&gt;=5000,AF:AF*1,V:V&lt;3000,0)</f>
        <v>0</v>
      </c>
      <c r="AI91" s="68" t="str">
        <f>A:A&amp;D:D&amp;G:G&amp;$AF$1&amp;AF:AF&amp;"元，目前预收价值"&amp;U:U&amp;"，"&amp;$AG$1&amp;AG:AG&amp;"元，"&amp;$AH$1&amp;AH:AH&amp;"元"</f>
        <v>凤台徐杏伙伴冲锋队缴费金额0元，目前预收价值0，预收拟返还0元，承保拟返还0元</v>
      </c>
      <c r="AJ91" s="68">
        <f>SUMIF(保单!R:R,E:E,保单!BE:BE)*IF(AF:AF&gt;1,1,0)</f>
        <v>0</v>
      </c>
      <c r="AK91" s="68">
        <f>SUMIFS(保单!BE:BE,保单!R:R,E:E,保单!BB:BB,"有效")*IF(AF:AF&gt;1,1,0)</f>
        <v>0</v>
      </c>
      <c r="AL91" s="72" t="str">
        <f>A:A&amp;D:D&amp;G:G&amp;"只要在1-10日承保全部保单，即可获得"&amp;$AJ$1&amp;AJ:AJ&amp;"个"</f>
        <v>凤台徐杏伙伴只要在1-10日承保全部保单，即可获得冲锋队按摩仪0个</v>
      </c>
    </row>
    <row r="92" spans="1:38">
      <c r="A92" s="64" t="s">
        <v>42</v>
      </c>
      <c r="B92" s="64" t="s">
        <v>62</v>
      </c>
      <c r="C92" s="64" t="s">
        <v>86</v>
      </c>
      <c r="D92" s="64" t="s">
        <v>332</v>
      </c>
      <c r="E92" s="64">
        <v>6457945452</v>
      </c>
      <c r="F92" s="64" t="s">
        <v>174</v>
      </c>
      <c r="G92" s="64" t="str">
        <f>IF(OR(F:F="高级经理一级",F:F="业务经理一级"),"主管","伙伴")</f>
        <v>伙伴</v>
      </c>
      <c r="H92" s="65">
        <f>SUMIF(险种!E:E,E:E,险种!R:R)-SUMIFS(险种!R:R,险种!U:U,"终止",险种!E:E,E:E)</f>
        <v>0</v>
      </c>
      <c r="I92" s="65">
        <f>SUMIFS(险种!R:R,险种!U:U,"有效",险种!E:E,E:E)</f>
        <v>0</v>
      </c>
      <c r="J92" s="65">
        <f>ROUND(SUMIF(险种!E:E,E:E,险种!Q:Q)-SUMIFS(险种!Q:Q,险种!U:U,"终止",险种!E:E,E:E),1)</f>
        <v>0</v>
      </c>
      <c r="K92" s="68">
        <f>RANK(J92,J:J)</f>
        <v>22</v>
      </c>
      <c r="L92" s="65">
        <f>ROUND(SUMIFS(险种!Q:Q,险种!U:U,"有效",险种!E:E,E:E),1)</f>
        <v>0</v>
      </c>
      <c r="M92" s="68">
        <f>RANK(L92,L:L,)</f>
        <v>14</v>
      </c>
      <c r="N92" s="68">
        <f>SUMIF(险种!E:E,E:E,险种!W:W)</f>
        <v>0</v>
      </c>
      <c r="O92" s="68">
        <f>IF(N:N&gt;=1,1,0)</f>
        <v>0</v>
      </c>
      <c r="P92" s="65">
        <f>ROUND(SUMIFS(险种!Q:Q,险种!V:V,$P$1,险种!E:E,E:E),1)</f>
        <v>0</v>
      </c>
      <c r="Q92" s="68">
        <f>RANK(P92,$P:$P,0)-1</f>
        <v>5</v>
      </c>
      <c r="R92" s="68" t="str">
        <f>A:A&amp;D:D&amp;G:G&amp;"在"&amp;$P$1&amp;"预收"&amp;P:P&amp;"排名中支第"&amp;Q:Q&amp;"位"</f>
        <v>淮南本部张兴珍伙伴在20210509预收0排名中支第5位</v>
      </c>
      <c r="S92" s="65">
        <f>ROUND(SUMIFS(险种!Q:Q,险种!E:E,E:E,险种!V:V,"&lt;=20210506")-SUMIFS(险种!Q:Q,险种!U:U,"终止",险种!E:E,E:E,险种!V:V,"&lt;=20210506"),1)</f>
        <v>0</v>
      </c>
      <c r="T92" s="65">
        <f>ROUND(SUMIFS(险种!Q:Q,险种!U:U,"有效",险种!E:E,E:E,险种!V:V,"&lt;=20210506"),1)</f>
        <v>0</v>
      </c>
      <c r="U92" s="65">
        <f>ROUND(SUMIFS(险种!Q:Q,险种!E:E,E:E,险种!V:V,"&lt;=20210510")-SUMIFS(险种!Q:Q,险种!U:U,"终止",险种!E:E,E:E,险种!V:V,"&lt;=20210510"),1)</f>
        <v>0</v>
      </c>
      <c r="V92" s="65">
        <f>ROUND(SUMIFS(险种!Q:Q,险种!U:U,"有效",险种!E:E,E:E,险种!V:V,"&lt;=20210510"),1)</f>
        <v>0</v>
      </c>
      <c r="W92" s="65">
        <f t="shared" si="1"/>
        <v>0</v>
      </c>
      <c r="X92" s="68">
        <f>SUMIF(险种!E:E,E:E,险种!Y:Y)</f>
        <v>0</v>
      </c>
      <c r="Y92" s="65">
        <f>MAX(_xlfn.IFS(OR(X:X=1,X:X=2),J:J*0.1,X:X&gt;=3,J:J*0.2,X:X=0,0),IF(J:J&gt;=20000,J:J*0.2,0))</f>
        <v>0</v>
      </c>
      <c r="Z92" s="65" t="str">
        <f>A92&amp;D92&amp;G92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淮南本部张兴珍伙伴5.1-5.10预收价值保费0，首周预收3000P件数0件，预收拟加佣0元。温馨提示，保单需10日（含）前承保，目前还有0价值保费未承保,开单一件即可获得10%加佣</v>
      </c>
      <c r="AA92" s="68">
        <f>SUMIF(险种!E:E,E:E,险种!Z:Z)</f>
        <v>0</v>
      </c>
      <c r="AB92" s="65"/>
      <c r="AC92" s="68">
        <f>SUMIF(险种!E:E,E:E,险种!AA:AA)</f>
        <v>0</v>
      </c>
      <c r="AD92" s="68">
        <f>SUMIFS(险种!AA:AA,险种!U:U,"有效",险种!E:E,E:E)</f>
        <v>0</v>
      </c>
      <c r="AE92" s="68" t="str">
        <f>A92&amp;D92&amp;G92&amp;"目前获得"&amp;$AC$1&amp;AC:AC&amp;"名，获得"&amp;$AD$1&amp;AD:AD&amp;"名"</f>
        <v>淮南本部张兴珍伙伴目前获得龙虾节预收名额0名，获得龙虾节承保名额0名</v>
      </c>
      <c r="AF92" s="68">
        <f>SUMIF(认购返还案!D:D,E:E,认购返还案!E:E)</f>
        <v>0</v>
      </c>
      <c r="AG92" s="68">
        <f>_xlfn.IFS(AND(U:U&gt;=3000,U:U&lt;5000),AF:AF*0.5,U:U&gt;=5000,AF:AF*1,U:U&lt;3000,0)</f>
        <v>0</v>
      </c>
      <c r="AH92" s="68">
        <f>_xlfn.IFS(AND(V:V&gt;=3000,V:V&lt;5000),AF:AF*0.5,V:V&gt;=5000,AF:AF*1,V:V&lt;3000,0)</f>
        <v>0</v>
      </c>
      <c r="AI92" s="68" t="str">
        <f>A:A&amp;D:D&amp;G:G&amp;$AF$1&amp;AF:AF&amp;"元，目前预收价值"&amp;U:U&amp;"，"&amp;$AG$1&amp;AG:AG&amp;"元，"&amp;$AH$1&amp;AH:AH&amp;"元"</f>
        <v>淮南本部张兴珍伙伴冲锋队缴费金额0元，目前预收价值0，预收拟返还0元，承保拟返还0元</v>
      </c>
      <c r="AJ92" s="68">
        <f>SUMIF(保单!R:R,E:E,保单!BE:BE)*IF(AF:AF&gt;1,1,0)</f>
        <v>0</v>
      </c>
      <c r="AK92" s="68">
        <f>SUMIFS(保单!BE:BE,保单!R:R,E:E,保单!BB:BB,"有效")*IF(AF:AF&gt;1,1,0)</f>
        <v>0</v>
      </c>
      <c r="AL92" s="72" t="str">
        <f>A:A&amp;D:D&amp;G:G&amp;"只要在1-10日承保全部保单，即可获得"&amp;$AJ$1&amp;AJ:AJ&amp;"个"</f>
        <v>淮南本部张兴珍伙伴只要在1-10日承保全部保单，即可获得冲锋队按摩仪0个</v>
      </c>
    </row>
    <row r="93" spans="1:38">
      <c r="A93" s="64" t="s">
        <v>48</v>
      </c>
      <c r="B93" s="64" t="s">
        <v>49</v>
      </c>
      <c r="C93" s="64" t="s">
        <v>98</v>
      </c>
      <c r="D93" s="64" t="s">
        <v>333</v>
      </c>
      <c r="E93" s="64">
        <v>6454146112</v>
      </c>
      <c r="F93" s="64" t="s">
        <v>158</v>
      </c>
      <c r="G93" s="64" t="str">
        <f>IF(OR(F:F="高级经理一级",F:F="业务经理一级"),"主管","伙伴")</f>
        <v>伙伴</v>
      </c>
      <c r="H93" s="65">
        <f>SUMIF(险种!E:E,E:E,险种!R:R)-SUMIFS(险种!R:R,险种!U:U,"终止",险种!E:E,E:E)</f>
        <v>0</v>
      </c>
      <c r="I93" s="65">
        <f>SUMIFS(险种!R:R,险种!U:U,"有效",险种!E:E,E:E)</f>
        <v>0</v>
      </c>
      <c r="J93" s="65">
        <f>ROUND(SUMIF(险种!E:E,E:E,险种!Q:Q)-SUMIFS(险种!Q:Q,险种!U:U,"终止",险种!E:E,E:E),1)</f>
        <v>0</v>
      </c>
      <c r="K93" s="68">
        <f>RANK(J93,J:J)</f>
        <v>22</v>
      </c>
      <c r="L93" s="65">
        <f>ROUND(SUMIFS(险种!Q:Q,险种!U:U,"有效",险种!E:E,E:E),1)</f>
        <v>0</v>
      </c>
      <c r="M93" s="68">
        <f>RANK(L93,L:L,)</f>
        <v>14</v>
      </c>
      <c r="N93" s="68">
        <f>SUMIF(险种!E:E,E:E,险种!W:W)</f>
        <v>0</v>
      </c>
      <c r="O93" s="68">
        <f>IF(N:N&gt;=1,1,0)</f>
        <v>0</v>
      </c>
      <c r="P93" s="65">
        <f>ROUND(SUMIFS(险种!Q:Q,险种!V:V,$P$1,险种!E:E,E:E),1)</f>
        <v>0</v>
      </c>
      <c r="Q93" s="68">
        <f>RANK(P93,$P:$P,0)-1</f>
        <v>5</v>
      </c>
      <c r="R93" s="68" t="str">
        <f>A:A&amp;D:D&amp;G:G&amp;"在"&amp;$P$1&amp;"预收"&amp;P:P&amp;"排名中支第"&amp;Q:Q&amp;"位"</f>
        <v>谢家集夏继梅伙伴在20210509预收0排名中支第5位</v>
      </c>
      <c r="S93" s="65">
        <f>ROUND(SUMIFS(险种!Q:Q,险种!E:E,E:E,险种!V:V,"&lt;=20210506")-SUMIFS(险种!Q:Q,险种!U:U,"终止",险种!E:E,E:E,险种!V:V,"&lt;=20210506"),1)</f>
        <v>0</v>
      </c>
      <c r="T93" s="65">
        <f>ROUND(SUMIFS(险种!Q:Q,险种!U:U,"有效",险种!E:E,E:E,险种!V:V,"&lt;=20210506"),1)</f>
        <v>0</v>
      </c>
      <c r="U93" s="65">
        <f>ROUND(SUMIFS(险种!Q:Q,险种!E:E,E:E,险种!V:V,"&lt;=20210510")-SUMIFS(险种!Q:Q,险种!U:U,"终止",险种!E:E,E:E,险种!V:V,"&lt;=20210510"),1)</f>
        <v>0</v>
      </c>
      <c r="V93" s="65">
        <f>ROUND(SUMIFS(险种!Q:Q,险种!U:U,"有效",险种!E:E,E:E,险种!V:V,"&lt;=20210510"),1)</f>
        <v>0</v>
      </c>
      <c r="W93" s="65">
        <f t="shared" si="1"/>
        <v>0</v>
      </c>
      <c r="X93" s="68">
        <f>SUMIF(险种!E:E,E:E,险种!Y:Y)</f>
        <v>0</v>
      </c>
      <c r="Y93" s="65">
        <f>MAX(_xlfn.IFS(OR(X:X=1,X:X=2),J:J*0.1,X:X&gt;=3,J:J*0.2,X:X=0,0),IF(J:J&gt;=20000,J:J*0.2,0))</f>
        <v>0</v>
      </c>
      <c r="Z93" s="65" t="str">
        <f>A93&amp;D93&amp;G93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谢家集夏继梅伙伴5.1-5.10预收价值保费0，首周预收3000P件数0件，预收拟加佣0元。温馨提示，保单需10日（含）前承保，目前还有0价值保费未承保,开单一件即可获得10%加佣</v>
      </c>
      <c r="AA93" s="68">
        <f>SUMIF(险种!E:E,E:E,险种!Z:Z)</f>
        <v>0</v>
      </c>
      <c r="AB93" s="65"/>
      <c r="AC93" s="68">
        <f>SUMIF(险种!E:E,E:E,险种!AA:AA)</f>
        <v>0</v>
      </c>
      <c r="AD93" s="68">
        <f>SUMIFS(险种!AA:AA,险种!U:U,"有效",险种!E:E,E:E)</f>
        <v>0</v>
      </c>
      <c r="AE93" s="68" t="str">
        <f>A93&amp;D93&amp;G93&amp;"目前获得"&amp;$AC$1&amp;AC:AC&amp;"名，获得"&amp;$AD$1&amp;AD:AD&amp;"名"</f>
        <v>谢家集夏继梅伙伴目前获得龙虾节预收名额0名，获得龙虾节承保名额0名</v>
      </c>
      <c r="AF93" s="68">
        <f>SUMIF(认购返还案!D:D,E:E,认购返还案!E:E)</f>
        <v>0</v>
      </c>
      <c r="AG93" s="68">
        <f>_xlfn.IFS(AND(U:U&gt;=3000,U:U&lt;5000),AF:AF*0.5,U:U&gt;=5000,AF:AF*1,U:U&lt;3000,0)</f>
        <v>0</v>
      </c>
      <c r="AH93" s="68">
        <f>_xlfn.IFS(AND(V:V&gt;=3000,V:V&lt;5000),AF:AF*0.5,V:V&gt;=5000,AF:AF*1,V:V&lt;3000,0)</f>
        <v>0</v>
      </c>
      <c r="AI93" s="68" t="str">
        <f>A:A&amp;D:D&amp;G:G&amp;$AF$1&amp;AF:AF&amp;"元，目前预收价值"&amp;U:U&amp;"，"&amp;$AG$1&amp;AG:AG&amp;"元，"&amp;$AH$1&amp;AH:AH&amp;"元"</f>
        <v>谢家集夏继梅伙伴冲锋队缴费金额0元，目前预收价值0，预收拟返还0元，承保拟返还0元</v>
      </c>
      <c r="AJ93" s="68">
        <f>SUMIF(保单!R:R,E:E,保单!BE:BE)*IF(AF:AF&gt;1,1,0)</f>
        <v>0</v>
      </c>
      <c r="AK93" s="68">
        <f>SUMIFS(保单!BE:BE,保单!R:R,E:E,保单!BB:BB,"有效")*IF(AF:AF&gt;1,1,0)</f>
        <v>0</v>
      </c>
      <c r="AL93" s="72" t="str">
        <f>A:A&amp;D:D&amp;G:G&amp;"只要在1-10日承保全部保单，即可获得"&amp;$AJ$1&amp;AJ:AJ&amp;"个"</f>
        <v>谢家集夏继梅伙伴只要在1-10日承保全部保单，即可获得冲锋队按摩仪0个</v>
      </c>
    </row>
    <row r="94" spans="1:38">
      <c r="A94" s="64" t="s">
        <v>42</v>
      </c>
      <c r="B94" s="64" t="s">
        <v>62</v>
      </c>
      <c r="C94" s="64" t="s">
        <v>63</v>
      </c>
      <c r="D94" s="64" t="s">
        <v>334</v>
      </c>
      <c r="E94" s="64">
        <v>6448088632</v>
      </c>
      <c r="F94" s="64" t="s">
        <v>166</v>
      </c>
      <c r="G94" s="64" t="str">
        <f>IF(OR(F:F="高级经理一级",F:F="业务经理一级"),"主管","伙伴")</f>
        <v>伙伴</v>
      </c>
      <c r="H94" s="65">
        <f>SUMIF(险种!E:E,E:E,险种!R:R)-SUMIFS(险种!R:R,险种!U:U,"终止",险种!E:E,E:E)</f>
        <v>0</v>
      </c>
      <c r="I94" s="65">
        <f>SUMIFS(险种!R:R,险种!U:U,"有效",险种!E:E,E:E)</f>
        <v>0</v>
      </c>
      <c r="J94" s="65">
        <f>ROUND(SUMIF(险种!E:E,E:E,险种!Q:Q)-SUMIFS(险种!Q:Q,险种!U:U,"终止",险种!E:E,E:E),1)</f>
        <v>0</v>
      </c>
      <c r="K94" s="68">
        <f>RANK(J94,J:J)</f>
        <v>22</v>
      </c>
      <c r="L94" s="65">
        <f>ROUND(SUMIFS(险种!Q:Q,险种!U:U,"有效",险种!E:E,E:E),1)</f>
        <v>0</v>
      </c>
      <c r="M94" s="68">
        <f>RANK(L94,L:L,)</f>
        <v>14</v>
      </c>
      <c r="N94" s="68">
        <f>SUMIF(险种!E:E,E:E,险种!W:W)</f>
        <v>0</v>
      </c>
      <c r="O94" s="68">
        <f>IF(N:N&gt;=1,1,0)</f>
        <v>0</v>
      </c>
      <c r="P94" s="65">
        <f>ROUND(SUMIFS(险种!Q:Q,险种!V:V,$P$1,险种!E:E,E:E),1)</f>
        <v>0</v>
      </c>
      <c r="Q94" s="68">
        <f>RANK(P94,$P:$P,0)-1</f>
        <v>5</v>
      </c>
      <c r="R94" s="68" t="str">
        <f>A:A&amp;D:D&amp;G:G&amp;"在"&amp;$P$1&amp;"预收"&amp;P:P&amp;"排名中支第"&amp;Q:Q&amp;"位"</f>
        <v>淮南本部褚孝妹伙伴在20210509预收0排名中支第5位</v>
      </c>
      <c r="S94" s="65">
        <f>ROUND(SUMIFS(险种!Q:Q,险种!E:E,E:E,险种!V:V,"&lt;=20210506")-SUMIFS(险种!Q:Q,险种!U:U,"终止",险种!E:E,E:E,险种!V:V,"&lt;=20210506"),1)</f>
        <v>0</v>
      </c>
      <c r="T94" s="65">
        <f>ROUND(SUMIFS(险种!Q:Q,险种!U:U,"有效",险种!E:E,E:E,险种!V:V,"&lt;=20210506"),1)</f>
        <v>0</v>
      </c>
      <c r="U94" s="65">
        <f>ROUND(SUMIFS(险种!Q:Q,险种!E:E,E:E,险种!V:V,"&lt;=20210510")-SUMIFS(险种!Q:Q,险种!U:U,"终止",险种!E:E,E:E,险种!V:V,"&lt;=20210510"),1)</f>
        <v>0</v>
      </c>
      <c r="V94" s="65">
        <f>ROUND(SUMIFS(险种!Q:Q,险种!U:U,"有效",险种!E:E,E:E,险种!V:V,"&lt;=20210510"),1)</f>
        <v>0</v>
      </c>
      <c r="W94" s="65">
        <f t="shared" si="1"/>
        <v>0</v>
      </c>
      <c r="X94" s="68">
        <f>SUMIF(险种!E:E,E:E,险种!Y:Y)</f>
        <v>0</v>
      </c>
      <c r="Y94" s="65">
        <f>MAX(_xlfn.IFS(OR(X:X=1,X:X=2),J:J*0.1,X:X&gt;=3,J:J*0.2,X:X=0,0),IF(J:J&gt;=20000,J:J*0.2,0))</f>
        <v>0</v>
      </c>
      <c r="Z94" s="65" t="str">
        <f>A94&amp;D94&amp;G94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淮南本部褚孝妹伙伴5.1-5.10预收价值保费0，首周预收3000P件数0件，预收拟加佣0元。温馨提示，保单需10日（含）前承保，目前还有0价值保费未承保,开单一件即可获得10%加佣</v>
      </c>
      <c r="AA94" s="68">
        <f>SUMIF(险种!E:E,E:E,险种!Z:Z)</f>
        <v>0</v>
      </c>
      <c r="AB94" s="65"/>
      <c r="AC94" s="68">
        <f>SUMIF(险种!E:E,E:E,险种!AA:AA)</f>
        <v>0</v>
      </c>
      <c r="AD94" s="68">
        <f>SUMIFS(险种!AA:AA,险种!U:U,"有效",险种!E:E,E:E)</f>
        <v>0</v>
      </c>
      <c r="AE94" s="68" t="str">
        <f>A94&amp;D94&amp;G94&amp;"目前获得"&amp;$AC$1&amp;AC:AC&amp;"名，获得"&amp;$AD$1&amp;AD:AD&amp;"名"</f>
        <v>淮南本部褚孝妹伙伴目前获得龙虾节预收名额0名，获得龙虾节承保名额0名</v>
      </c>
      <c r="AF94" s="68">
        <f>SUMIF(认购返还案!D:D,E:E,认购返还案!E:E)</f>
        <v>200</v>
      </c>
      <c r="AG94" s="68">
        <f>_xlfn.IFS(AND(U:U&gt;=3000,U:U&lt;5000),AF:AF*0.5,U:U&gt;=5000,AF:AF*1,U:U&lt;3000,0)</f>
        <v>0</v>
      </c>
      <c r="AH94" s="68">
        <f>_xlfn.IFS(AND(V:V&gt;=3000,V:V&lt;5000),AF:AF*0.5,V:V&gt;=5000,AF:AF*1,V:V&lt;3000,0)</f>
        <v>0</v>
      </c>
      <c r="AI94" s="68" t="str">
        <f>A:A&amp;D:D&amp;G:G&amp;$AF$1&amp;AF:AF&amp;"元，目前预收价值"&amp;U:U&amp;"，"&amp;$AG$1&amp;AG:AG&amp;"元，"&amp;$AH$1&amp;AH:AH&amp;"元"</f>
        <v>淮南本部褚孝妹伙伴冲锋队缴费金额200元，目前预收价值0，预收拟返还0元，承保拟返还0元</v>
      </c>
      <c r="AJ94" s="68">
        <f>SUMIF(保单!R:R,E:E,保单!BE:BE)*IF(AF:AF&gt;1,1,0)</f>
        <v>0</v>
      </c>
      <c r="AK94" s="68">
        <f>SUMIFS(保单!BE:BE,保单!R:R,E:E,保单!BB:BB,"有效")*IF(AF:AF&gt;1,1,0)</f>
        <v>0</v>
      </c>
      <c r="AL94" s="72" t="str">
        <f>A:A&amp;D:D&amp;G:G&amp;"只要在1-10日承保全部保单，即可获得"&amp;$AJ$1&amp;AJ:AJ&amp;"个"</f>
        <v>淮南本部褚孝妹伙伴只要在1-10日承保全部保单，即可获得冲锋队按摩仪0个</v>
      </c>
    </row>
    <row r="95" spans="1:38">
      <c r="A95" s="64" t="s">
        <v>27</v>
      </c>
      <c r="B95" s="64" t="s">
        <v>28</v>
      </c>
      <c r="C95" s="64" t="s">
        <v>29</v>
      </c>
      <c r="D95" s="64" t="s">
        <v>335</v>
      </c>
      <c r="E95" s="64">
        <v>6448056922</v>
      </c>
      <c r="F95" s="64" t="s">
        <v>158</v>
      </c>
      <c r="G95" s="64" t="str">
        <f>IF(OR(F:F="高级经理一级",F:F="业务经理一级"),"主管","伙伴")</f>
        <v>伙伴</v>
      </c>
      <c r="H95" s="65">
        <f>SUMIF(险种!E:E,E:E,险种!R:R)-SUMIFS(险种!R:R,险种!U:U,"终止",险种!E:E,E:E)</f>
        <v>0</v>
      </c>
      <c r="I95" s="65">
        <f>SUMIFS(险种!R:R,险种!U:U,"有效",险种!E:E,E:E)</f>
        <v>0</v>
      </c>
      <c r="J95" s="65">
        <f>ROUND(SUMIF(险种!E:E,E:E,险种!Q:Q)-SUMIFS(险种!Q:Q,险种!U:U,"终止",险种!E:E,E:E),1)</f>
        <v>0</v>
      </c>
      <c r="K95" s="68">
        <f>RANK(J95,J:J)</f>
        <v>22</v>
      </c>
      <c r="L95" s="65">
        <f>ROUND(SUMIFS(险种!Q:Q,险种!U:U,"有效",险种!E:E,E:E),1)</f>
        <v>0</v>
      </c>
      <c r="M95" s="68">
        <f>RANK(L95,L:L,)</f>
        <v>14</v>
      </c>
      <c r="N95" s="68">
        <f>SUMIF(险种!E:E,E:E,险种!W:W)</f>
        <v>0</v>
      </c>
      <c r="O95" s="68">
        <f>IF(N:N&gt;=1,1,0)</f>
        <v>0</v>
      </c>
      <c r="P95" s="65">
        <f>ROUND(SUMIFS(险种!Q:Q,险种!V:V,$P$1,险种!E:E,E:E),1)</f>
        <v>0</v>
      </c>
      <c r="Q95" s="68">
        <f>RANK(P95,$P:$P,0)-1</f>
        <v>5</v>
      </c>
      <c r="R95" s="68" t="str">
        <f>A:A&amp;D:D&amp;G:G&amp;"在"&amp;$P$1&amp;"预收"&amp;P:P&amp;"排名中支第"&amp;Q:Q&amp;"位"</f>
        <v>凤台魏茂盛伙伴在20210509预收0排名中支第5位</v>
      </c>
      <c r="S95" s="65">
        <f>ROUND(SUMIFS(险种!Q:Q,险种!E:E,E:E,险种!V:V,"&lt;=20210506")-SUMIFS(险种!Q:Q,险种!U:U,"终止",险种!E:E,E:E,险种!V:V,"&lt;=20210506"),1)</f>
        <v>0</v>
      </c>
      <c r="T95" s="65">
        <f>ROUND(SUMIFS(险种!Q:Q,险种!U:U,"有效",险种!E:E,E:E,险种!V:V,"&lt;=20210506"),1)</f>
        <v>0</v>
      </c>
      <c r="U95" s="65">
        <f>ROUND(SUMIFS(险种!Q:Q,险种!E:E,E:E,险种!V:V,"&lt;=20210510")-SUMIFS(险种!Q:Q,险种!U:U,"终止",险种!E:E,E:E,险种!V:V,"&lt;=20210510"),1)</f>
        <v>0</v>
      </c>
      <c r="V95" s="65">
        <f>ROUND(SUMIFS(险种!Q:Q,险种!U:U,"有效",险种!E:E,E:E,险种!V:V,"&lt;=20210510"),1)</f>
        <v>0</v>
      </c>
      <c r="W95" s="65">
        <f t="shared" si="1"/>
        <v>0</v>
      </c>
      <c r="X95" s="68">
        <f>SUMIF(险种!E:E,E:E,险种!Y:Y)</f>
        <v>0</v>
      </c>
      <c r="Y95" s="65">
        <f>MAX(_xlfn.IFS(OR(X:X=1,X:X=2),J:J*0.1,X:X&gt;=3,J:J*0.2,X:X=0,0),IF(J:J&gt;=20000,J:J*0.2,0))</f>
        <v>0</v>
      </c>
      <c r="Z95" s="65" t="str">
        <f>A95&amp;D95&amp;G95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凤台魏茂盛伙伴5.1-5.10预收价值保费0，首周预收3000P件数0件，预收拟加佣0元。温馨提示，保单需10日（含）前承保，目前还有0价值保费未承保,开单一件即可获得10%加佣</v>
      </c>
      <c r="AA95" s="68">
        <f>SUMIF(险种!E:E,E:E,险种!Z:Z)</f>
        <v>0</v>
      </c>
      <c r="AB95" s="65"/>
      <c r="AC95" s="68">
        <f>SUMIF(险种!E:E,E:E,险种!AA:AA)</f>
        <v>0</v>
      </c>
      <c r="AD95" s="68">
        <f>SUMIFS(险种!AA:AA,险种!U:U,"有效",险种!E:E,E:E)</f>
        <v>0</v>
      </c>
      <c r="AE95" s="68" t="str">
        <f>A95&amp;D95&amp;G95&amp;"目前获得"&amp;$AC$1&amp;AC:AC&amp;"名，获得"&amp;$AD$1&amp;AD:AD&amp;"名"</f>
        <v>凤台魏茂盛伙伴目前获得龙虾节预收名额0名，获得龙虾节承保名额0名</v>
      </c>
      <c r="AF95" s="68">
        <f>SUMIF(认购返还案!D:D,E:E,认购返还案!E:E)</f>
        <v>0</v>
      </c>
      <c r="AG95" s="68">
        <f>_xlfn.IFS(AND(U:U&gt;=3000,U:U&lt;5000),AF:AF*0.5,U:U&gt;=5000,AF:AF*1,U:U&lt;3000,0)</f>
        <v>0</v>
      </c>
      <c r="AH95" s="68">
        <f>_xlfn.IFS(AND(V:V&gt;=3000,V:V&lt;5000),AF:AF*0.5,V:V&gt;=5000,AF:AF*1,V:V&lt;3000,0)</f>
        <v>0</v>
      </c>
      <c r="AI95" s="68" t="str">
        <f>A:A&amp;D:D&amp;G:G&amp;$AF$1&amp;AF:AF&amp;"元，目前预收价值"&amp;U:U&amp;"，"&amp;$AG$1&amp;AG:AG&amp;"元，"&amp;$AH$1&amp;AH:AH&amp;"元"</f>
        <v>凤台魏茂盛伙伴冲锋队缴费金额0元，目前预收价值0，预收拟返还0元，承保拟返还0元</v>
      </c>
      <c r="AJ95" s="68">
        <f>SUMIF(保单!R:R,E:E,保单!BE:BE)*IF(AF:AF&gt;1,1,0)</f>
        <v>0</v>
      </c>
      <c r="AK95" s="68">
        <f>SUMIFS(保单!BE:BE,保单!R:R,E:E,保单!BB:BB,"有效")*IF(AF:AF&gt;1,1,0)</f>
        <v>0</v>
      </c>
      <c r="AL95" s="72" t="str">
        <f>A:A&amp;D:D&amp;G:G&amp;"只要在1-10日承保全部保单，即可获得"&amp;$AJ$1&amp;AJ:AJ&amp;"个"</f>
        <v>凤台魏茂盛伙伴只要在1-10日承保全部保单，即可获得冲锋队按摩仪0个</v>
      </c>
    </row>
    <row r="96" spans="1:38">
      <c r="A96" s="64" t="s">
        <v>27</v>
      </c>
      <c r="B96" s="64" t="s">
        <v>28</v>
      </c>
      <c r="C96" s="64" t="s">
        <v>29</v>
      </c>
      <c r="D96" s="64" t="s">
        <v>336</v>
      </c>
      <c r="E96" s="64">
        <v>6448005202</v>
      </c>
      <c r="F96" s="64" t="s">
        <v>174</v>
      </c>
      <c r="G96" s="64" t="str">
        <f>IF(OR(F:F="高级经理一级",F:F="业务经理一级"),"主管","伙伴")</f>
        <v>伙伴</v>
      </c>
      <c r="H96" s="65">
        <f>SUMIF(险种!E:E,E:E,险种!R:R)-SUMIFS(险种!R:R,险种!U:U,"终止",险种!E:E,E:E)</f>
        <v>0</v>
      </c>
      <c r="I96" s="65">
        <f>SUMIFS(险种!R:R,险种!U:U,"有效",险种!E:E,E:E)</f>
        <v>0</v>
      </c>
      <c r="J96" s="65">
        <f>ROUND(SUMIF(险种!E:E,E:E,险种!Q:Q)-SUMIFS(险种!Q:Q,险种!U:U,"终止",险种!E:E,E:E),1)</f>
        <v>0</v>
      </c>
      <c r="K96" s="68">
        <f>RANK(J96,J:J)</f>
        <v>22</v>
      </c>
      <c r="L96" s="65">
        <f>ROUND(SUMIFS(险种!Q:Q,险种!U:U,"有效",险种!E:E,E:E),1)</f>
        <v>0</v>
      </c>
      <c r="M96" s="68">
        <f>RANK(L96,L:L,)</f>
        <v>14</v>
      </c>
      <c r="N96" s="68">
        <f>SUMIF(险种!E:E,E:E,险种!W:W)</f>
        <v>0</v>
      </c>
      <c r="O96" s="68">
        <f>IF(N:N&gt;=1,1,0)</f>
        <v>0</v>
      </c>
      <c r="P96" s="65">
        <f>ROUND(SUMIFS(险种!Q:Q,险种!V:V,$P$1,险种!E:E,E:E),1)</f>
        <v>0</v>
      </c>
      <c r="Q96" s="68">
        <f>RANK(P96,$P:$P,0)-1</f>
        <v>5</v>
      </c>
      <c r="R96" s="68" t="str">
        <f>A:A&amp;D:D&amp;G:G&amp;"在"&amp;$P$1&amp;"预收"&amp;P:P&amp;"排名中支第"&amp;Q:Q&amp;"位"</f>
        <v>凤台高秀梅伙伴在20210509预收0排名中支第5位</v>
      </c>
      <c r="S96" s="65">
        <f>ROUND(SUMIFS(险种!Q:Q,险种!E:E,E:E,险种!V:V,"&lt;=20210506")-SUMIFS(险种!Q:Q,险种!U:U,"终止",险种!E:E,E:E,险种!V:V,"&lt;=20210506"),1)</f>
        <v>0</v>
      </c>
      <c r="T96" s="65">
        <f>ROUND(SUMIFS(险种!Q:Q,险种!U:U,"有效",险种!E:E,E:E,险种!V:V,"&lt;=20210506"),1)</f>
        <v>0</v>
      </c>
      <c r="U96" s="65">
        <f>ROUND(SUMIFS(险种!Q:Q,险种!E:E,E:E,险种!V:V,"&lt;=20210510")-SUMIFS(险种!Q:Q,险种!U:U,"终止",险种!E:E,E:E,险种!V:V,"&lt;=20210510"),1)</f>
        <v>0</v>
      </c>
      <c r="V96" s="65">
        <f>ROUND(SUMIFS(险种!Q:Q,险种!U:U,"有效",险种!E:E,E:E,险种!V:V,"&lt;=20210510"),1)</f>
        <v>0</v>
      </c>
      <c r="W96" s="65">
        <f t="shared" si="1"/>
        <v>0</v>
      </c>
      <c r="X96" s="68">
        <f>SUMIF(险种!E:E,E:E,险种!Y:Y)</f>
        <v>0</v>
      </c>
      <c r="Y96" s="65">
        <f>MAX(_xlfn.IFS(OR(X:X=1,X:X=2),J:J*0.1,X:X&gt;=3,J:J*0.2,X:X=0,0),IF(J:J&gt;=20000,J:J*0.2,0))</f>
        <v>0</v>
      </c>
      <c r="Z96" s="65" t="str">
        <f>A96&amp;D96&amp;G96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凤台高秀梅伙伴5.1-5.10预收价值保费0，首周预收3000P件数0件，预收拟加佣0元。温馨提示，保单需10日（含）前承保，目前还有0价值保费未承保,开单一件即可获得10%加佣</v>
      </c>
      <c r="AA96" s="68">
        <f>SUMIF(险种!E:E,E:E,险种!Z:Z)</f>
        <v>0</v>
      </c>
      <c r="AB96" s="65"/>
      <c r="AC96" s="68">
        <f>SUMIF(险种!E:E,E:E,险种!AA:AA)</f>
        <v>0</v>
      </c>
      <c r="AD96" s="68">
        <f>SUMIFS(险种!AA:AA,险种!U:U,"有效",险种!E:E,E:E)</f>
        <v>0</v>
      </c>
      <c r="AE96" s="68" t="str">
        <f>A96&amp;D96&amp;G96&amp;"目前获得"&amp;$AC$1&amp;AC:AC&amp;"名，获得"&amp;$AD$1&amp;AD:AD&amp;"名"</f>
        <v>凤台高秀梅伙伴目前获得龙虾节预收名额0名，获得龙虾节承保名额0名</v>
      </c>
      <c r="AF96" s="68">
        <f>SUMIF(认购返还案!D:D,E:E,认购返还案!E:E)</f>
        <v>0</v>
      </c>
      <c r="AG96" s="68">
        <f>_xlfn.IFS(AND(U:U&gt;=3000,U:U&lt;5000),AF:AF*0.5,U:U&gt;=5000,AF:AF*1,U:U&lt;3000,0)</f>
        <v>0</v>
      </c>
      <c r="AH96" s="68">
        <f>_xlfn.IFS(AND(V:V&gt;=3000,V:V&lt;5000),AF:AF*0.5,V:V&gt;=5000,AF:AF*1,V:V&lt;3000,0)</f>
        <v>0</v>
      </c>
      <c r="AI96" s="68" t="str">
        <f>A:A&amp;D:D&amp;G:G&amp;$AF$1&amp;AF:AF&amp;"元，目前预收价值"&amp;U:U&amp;"，"&amp;$AG$1&amp;AG:AG&amp;"元，"&amp;$AH$1&amp;AH:AH&amp;"元"</f>
        <v>凤台高秀梅伙伴冲锋队缴费金额0元，目前预收价值0，预收拟返还0元，承保拟返还0元</v>
      </c>
      <c r="AJ96" s="68">
        <f>SUMIF(保单!R:R,E:E,保单!BE:BE)*IF(AF:AF&gt;1,1,0)</f>
        <v>0</v>
      </c>
      <c r="AK96" s="68">
        <f>SUMIFS(保单!BE:BE,保单!R:R,E:E,保单!BB:BB,"有效")*IF(AF:AF&gt;1,1,0)</f>
        <v>0</v>
      </c>
      <c r="AL96" s="72" t="str">
        <f>A:A&amp;D:D&amp;G:G&amp;"只要在1-10日承保全部保单，即可获得"&amp;$AJ$1&amp;AJ:AJ&amp;"个"</f>
        <v>凤台高秀梅伙伴只要在1-10日承保全部保单，即可获得冲锋队按摩仪0个</v>
      </c>
    </row>
    <row r="97" spans="1:38">
      <c r="A97" s="64" t="s">
        <v>27</v>
      </c>
      <c r="B97" s="64" t="s">
        <v>28</v>
      </c>
      <c r="C97" s="64" t="s">
        <v>29</v>
      </c>
      <c r="D97" s="64" t="s">
        <v>337</v>
      </c>
      <c r="E97" s="64">
        <v>6447214732</v>
      </c>
      <c r="F97" s="64" t="s">
        <v>174</v>
      </c>
      <c r="G97" s="64" t="str">
        <f>IF(OR(F:F="高级经理一级",F:F="业务经理一级"),"主管","伙伴")</f>
        <v>伙伴</v>
      </c>
      <c r="H97" s="65">
        <f>SUMIF(险种!E:E,E:E,险种!R:R)-SUMIFS(险种!R:R,险种!U:U,"终止",险种!E:E,E:E)</f>
        <v>0</v>
      </c>
      <c r="I97" s="65">
        <f>SUMIFS(险种!R:R,险种!U:U,"有效",险种!E:E,E:E)</f>
        <v>0</v>
      </c>
      <c r="J97" s="65">
        <f>ROUND(SUMIF(险种!E:E,E:E,险种!Q:Q)-SUMIFS(险种!Q:Q,险种!U:U,"终止",险种!E:E,E:E),1)</f>
        <v>0</v>
      </c>
      <c r="K97" s="68">
        <f>RANK(J97,J:J)</f>
        <v>22</v>
      </c>
      <c r="L97" s="65">
        <f>ROUND(SUMIFS(险种!Q:Q,险种!U:U,"有效",险种!E:E,E:E),1)</f>
        <v>0</v>
      </c>
      <c r="M97" s="68">
        <f>RANK(L97,L:L,)</f>
        <v>14</v>
      </c>
      <c r="N97" s="68">
        <f>SUMIF(险种!E:E,E:E,险种!W:W)</f>
        <v>0</v>
      </c>
      <c r="O97" s="68">
        <f>IF(N:N&gt;=1,1,0)</f>
        <v>0</v>
      </c>
      <c r="P97" s="65">
        <f>ROUND(SUMIFS(险种!Q:Q,险种!V:V,$P$1,险种!E:E,E:E),1)</f>
        <v>0</v>
      </c>
      <c r="Q97" s="68">
        <f>RANK(P97,$P:$P,0)-1</f>
        <v>5</v>
      </c>
      <c r="R97" s="68" t="str">
        <f>A:A&amp;D:D&amp;G:G&amp;"在"&amp;$P$1&amp;"预收"&amp;P:P&amp;"排名中支第"&amp;Q:Q&amp;"位"</f>
        <v>凤台万其红伙伴在20210509预收0排名中支第5位</v>
      </c>
      <c r="S97" s="65">
        <f>ROUND(SUMIFS(险种!Q:Q,险种!E:E,E:E,险种!V:V,"&lt;=20210506")-SUMIFS(险种!Q:Q,险种!U:U,"终止",险种!E:E,E:E,险种!V:V,"&lt;=20210506"),1)</f>
        <v>0</v>
      </c>
      <c r="T97" s="65">
        <f>ROUND(SUMIFS(险种!Q:Q,险种!U:U,"有效",险种!E:E,E:E,险种!V:V,"&lt;=20210506"),1)</f>
        <v>0</v>
      </c>
      <c r="U97" s="65">
        <f>ROUND(SUMIFS(险种!Q:Q,险种!E:E,E:E,险种!V:V,"&lt;=20210510")-SUMIFS(险种!Q:Q,险种!U:U,"终止",险种!E:E,E:E,险种!V:V,"&lt;=20210510"),1)</f>
        <v>0</v>
      </c>
      <c r="V97" s="65">
        <f>ROUND(SUMIFS(险种!Q:Q,险种!U:U,"有效",险种!E:E,E:E,险种!V:V,"&lt;=20210510"),1)</f>
        <v>0</v>
      </c>
      <c r="W97" s="65">
        <f t="shared" si="1"/>
        <v>0</v>
      </c>
      <c r="X97" s="68">
        <f>SUMIF(险种!E:E,E:E,险种!Y:Y)</f>
        <v>0</v>
      </c>
      <c r="Y97" s="65">
        <f>MAX(_xlfn.IFS(OR(X:X=1,X:X=2),J:J*0.1,X:X&gt;=3,J:J*0.2,X:X=0,0),IF(J:J&gt;=20000,J:J*0.2,0))</f>
        <v>0</v>
      </c>
      <c r="Z97" s="65" t="str">
        <f>A97&amp;D97&amp;G97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凤台万其红伙伴5.1-5.10预收价值保费0，首周预收3000P件数0件，预收拟加佣0元。温馨提示，保单需10日（含）前承保，目前还有0价值保费未承保,开单一件即可获得10%加佣</v>
      </c>
      <c r="AA97" s="68">
        <f>SUMIF(险种!E:E,E:E,险种!Z:Z)</f>
        <v>0</v>
      </c>
      <c r="AB97" s="65"/>
      <c r="AC97" s="68">
        <f>SUMIF(险种!E:E,E:E,险种!AA:AA)</f>
        <v>0</v>
      </c>
      <c r="AD97" s="68">
        <f>SUMIFS(险种!AA:AA,险种!U:U,"有效",险种!E:E,E:E)</f>
        <v>0</v>
      </c>
      <c r="AE97" s="68" t="str">
        <f>A97&amp;D97&amp;G97&amp;"目前获得"&amp;$AC$1&amp;AC:AC&amp;"名，获得"&amp;$AD$1&amp;AD:AD&amp;"名"</f>
        <v>凤台万其红伙伴目前获得龙虾节预收名额0名，获得龙虾节承保名额0名</v>
      </c>
      <c r="AF97" s="68">
        <f>SUMIF(认购返还案!D:D,E:E,认购返还案!E:E)</f>
        <v>0</v>
      </c>
      <c r="AG97" s="68">
        <f>_xlfn.IFS(AND(U:U&gt;=3000,U:U&lt;5000),AF:AF*0.5,U:U&gt;=5000,AF:AF*1,U:U&lt;3000,0)</f>
        <v>0</v>
      </c>
      <c r="AH97" s="68">
        <f>_xlfn.IFS(AND(V:V&gt;=3000,V:V&lt;5000),AF:AF*0.5,V:V&gt;=5000,AF:AF*1,V:V&lt;3000,0)</f>
        <v>0</v>
      </c>
      <c r="AI97" s="68" t="str">
        <f>A:A&amp;D:D&amp;G:G&amp;$AF$1&amp;AF:AF&amp;"元，目前预收价值"&amp;U:U&amp;"，"&amp;$AG$1&amp;AG:AG&amp;"元，"&amp;$AH$1&amp;AH:AH&amp;"元"</f>
        <v>凤台万其红伙伴冲锋队缴费金额0元，目前预收价值0，预收拟返还0元，承保拟返还0元</v>
      </c>
      <c r="AJ97" s="68">
        <f>SUMIF(保单!R:R,E:E,保单!BE:BE)*IF(AF:AF&gt;1,1,0)</f>
        <v>0</v>
      </c>
      <c r="AK97" s="68">
        <f>SUMIFS(保单!BE:BE,保单!R:R,E:E,保单!BB:BB,"有效")*IF(AF:AF&gt;1,1,0)</f>
        <v>0</v>
      </c>
      <c r="AL97" s="72" t="str">
        <f>A:A&amp;D:D&amp;G:G&amp;"只要在1-10日承保全部保单，即可获得"&amp;$AJ$1&amp;AJ:AJ&amp;"个"</f>
        <v>凤台万其红伙伴只要在1-10日承保全部保单，即可获得冲锋队按摩仪0个</v>
      </c>
    </row>
    <row r="98" spans="1:38">
      <c r="A98" s="64" t="s">
        <v>42</v>
      </c>
      <c r="B98" s="64" t="s">
        <v>62</v>
      </c>
      <c r="C98" s="64" t="s">
        <v>108</v>
      </c>
      <c r="D98" s="64" t="s">
        <v>338</v>
      </c>
      <c r="E98" s="64">
        <v>6442894112</v>
      </c>
      <c r="F98" s="64" t="s">
        <v>168</v>
      </c>
      <c r="G98" s="64" t="str">
        <f>IF(OR(F:F="高级经理一级",F:F="业务经理一级"),"主管","伙伴")</f>
        <v>伙伴</v>
      </c>
      <c r="H98" s="65">
        <f>SUMIF(险种!E:E,E:E,险种!R:R)-SUMIFS(险种!R:R,险种!U:U,"终止",险种!E:E,E:E)</f>
        <v>0</v>
      </c>
      <c r="I98" s="65">
        <f>SUMIFS(险种!R:R,险种!U:U,"有效",险种!E:E,E:E)</f>
        <v>0</v>
      </c>
      <c r="J98" s="65">
        <f>ROUND(SUMIF(险种!E:E,E:E,险种!Q:Q)-SUMIFS(险种!Q:Q,险种!U:U,"终止",险种!E:E,E:E),1)</f>
        <v>0</v>
      </c>
      <c r="K98" s="68">
        <f>RANK(J98,J:J)</f>
        <v>22</v>
      </c>
      <c r="L98" s="65">
        <f>ROUND(SUMIFS(险种!Q:Q,险种!U:U,"有效",险种!E:E,E:E),1)</f>
        <v>0</v>
      </c>
      <c r="M98" s="68">
        <f>RANK(L98,L:L,)</f>
        <v>14</v>
      </c>
      <c r="N98" s="68">
        <f>SUMIF(险种!E:E,E:E,险种!W:W)</f>
        <v>0</v>
      </c>
      <c r="O98" s="68">
        <f>IF(N:N&gt;=1,1,0)</f>
        <v>0</v>
      </c>
      <c r="P98" s="65">
        <f>ROUND(SUMIFS(险种!Q:Q,险种!V:V,$P$1,险种!E:E,E:E),1)</f>
        <v>0</v>
      </c>
      <c r="Q98" s="68">
        <f>RANK(P98,$P:$P,0)-1</f>
        <v>5</v>
      </c>
      <c r="R98" s="68" t="str">
        <f>A:A&amp;D:D&amp;G:G&amp;"在"&amp;$P$1&amp;"预收"&amp;P:P&amp;"排名中支第"&amp;Q:Q&amp;"位"</f>
        <v>淮南本部杨洋伙伴在20210509预收0排名中支第5位</v>
      </c>
      <c r="S98" s="65">
        <f>ROUND(SUMIFS(险种!Q:Q,险种!E:E,E:E,险种!V:V,"&lt;=20210506")-SUMIFS(险种!Q:Q,险种!U:U,"终止",险种!E:E,E:E,险种!V:V,"&lt;=20210506"),1)</f>
        <v>0</v>
      </c>
      <c r="T98" s="65">
        <f>ROUND(SUMIFS(险种!Q:Q,险种!U:U,"有效",险种!E:E,E:E,险种!V:V,"&lt;=20210506"),1)</f>
        <v>0</v>
      </c>
      <c r="U98" s="65">
        <f>ROUND(SUMIFS(险种!Q:Q,险种!E:E,E:E,险种!V:V,"&lt;=20210510")-SUMIFS(险种!Q:Q,险种!U:U,"终止",险种!E:E,E:E,险种!V:V,"&lt;=20210510"),1)</f>
        <v>0</v>
      </c>
      <c r="V98" s="65">
        <f>ROUND(SUMIFS(险种!Q:Q,险种!U:U,"有效",险种!E:E,E:E,险种!V:V,"&lt;=20210510"),1)</f>
        <v>0</v>
      </c>
      <c r="W98" s="65">
        <f t="shared" si="1"/>
        <v>0</v>
      </c>
      <c r="X98" s="68">
        <f>SUMIF(险种!E:E,E:E,险种!Y:Y)</f>
        <v>0</v>
      </c>
      <c r="Y98" s="65">
        <f>MAX(_xlfn.IFS(OR(X:X=1,X:X=2),J:J*0.1,X:X&gt;=3,J:J*0.2,X:X=0,0),IF(J:J&gt;=20000,J:J*0.2,0))</f>
        <v>0</v>
      </c>
      <c r="Z98" s="65" t="str">
        <f>A98&amp;D98&amp;G98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淮南本部杨洋伙伴5.1-5.10预收价值保费0，首周预收3000P件数0件，预收拟加佣0元。温馨提示，保单需10日（含）前承保，目前还有0价值保费未承保,开单一件即可获得10%加佣</v>
      </c>
      <c r="AA98" s="68">
        <f>SUMIF(险种!E:E,E:E,险种!Z:Z)</f>
        <v>0</v>
      </c>
      <c r="AB98" s="65"/>
      <c r="AC98" s="68">
        <f>SUMIF(险种!E:E,E:E,险种!AA:AA)</f>
        <v>0</v>
      </c>
      <c r="AD98" s="68">
        <f>SUMIFS(险种!AA:AA,险种!U:U,"有效",险种!E:E,E:E)</f>
        <v>0</v>
      </c>
      <c r="AE98" s="68" t="str">
        <f>A98&amp;D98&amp;G98&amp;"目前获得"&amp;$AC$1&amp;AC:AC&amp;"名，获得"&amp;$AD$1&amp;AD:AD&amp;"名"</f>
        <v>淮南本部杨洋伙伴目前获得龙虾节预收名额0名，获得龙虾节承保名额0名</v>
      </c>
      <c r="AF98" s="68">
        <f>SUMIF(认购返还案!D:D,E:E,认购返还案!E:E)</f>
        <v>0</v>
      </c>
      <c r="AG98" s="68">
        <f>_xlfn.IFS(AND(U:U&gt;=3000,U:U&lt;5000),AF:AF*0.5,U:U&gt;=5000,AF:AF*1,U:U&lt;3000,0)</f>
        <v>0</v>
      </c>
      <c r="AH98" s="68">
        <f>_xlfn.IFS(AND(V:V&gt;=3000,V:V&lt;5000),AF:AF*0.5,V:V&gt;=5000,AF:AF*1,V:V&lt;3000,0)</f>
        <v>0</v>
      </c>
      <c r="AI98" s="68" t="str">
        <f>A:A&amp;D:D&amp;G:G&amp;$AF$1&amp;AF:AF&amp;"元，目前预收价值"&amp;U:U&amp;"，"&amp;$AG$1&amp;AG:AG&amp;"元，"&amp;$AH$1&amp;AH:AH&amp;"元"</f>
        <v>淮南本部杨洋伙伴冲锋队缴费金额0元，目前预收价值0，预收拟返还0元，承保拟返还0元</v>
      </c>
      <c r="AJ98" s="68">
        <f>SUMIF(保单!R:R,E:E,保单!BE:BE)*IF(AF:AF&gt;1,1,0)</f>
        <v>0</v>
      </c>
      <c r="AK98" s="68">
        <f>SUMIFS(保单!BE:BE,保单!R:R,E:E,保单!BB:BB,"有效")*IF(AF:AF&gt;1,1,0)</f>
        <v>0</v>
      </c>
      <c r="AL98" s="72" t="str">
        <f>A:A&amp;D:D&amp;G:G&amp;"只要在1-10日承保全部保单，即可获得"&amp;$AJ$1&amp;AJ:AJ&amp;"个"</f>
        <v>淮南本部杨洋伙伴只要在1-10日承保全部保单，即可获得冲锋队按摩仪0个</v>
      </c>
    </row>
    <row r="99" spans="1:38">
      <c r="A99" s="64" t="s">
        <v>42</v>
      </c>
      <c r="B99" s="64" t="s">
        <v>66</v>
      </c>
      <c r="C99" s="64" t="s">
        <v>67</v>
      </c>
      <c r="D99" s="64" t="s">
        <v>339</v>
      </c>
      <c r="E99" s="64">
        <v>6441354852</v>
      </c>
      <c r="F99" s="64" t="s">
        <v>168</v>
      </c>
      <c r="G99" s="64" t="str">
        <f>IF(OR(F:F="高级经理一级",F:F="业务经理一级"),"主管","伙伴")</f>
        <v>伙伴</v>
      </c>
      <c r="H99" s="65">
        <f>SUMIF(险种!E:E,E:E,险种!R:R)-SUMIFS(险种!R:R,险种!U:U,"终止",险种!E:E,E:E)</f>
        <v>0</v>
      </c>
      <c r="I99" s="65">
        <f>SUMIFS(险种!R:R,险种!U:U,"有效",险种!E:E,E:E)</f>
        <v>0</v>
      </c>
      <c r="J99" s="65">
        <f>ROUND(SUMIF(险种!E:E,E:E,险种!Q:Q)-SUMIFS(险种!Q:Q,险种!U:U,"终止",险种!E:E,E:E),1)</f>
        <v>0</v>
      </c>
      <c r="K99" s="68">
        <f>RANK(J99,J:J)</f>
        <v>22</v>
      </c>
      <c r="L99" s="65">
        <f>ROUND(SUMIFS(险种!Q:Q,险种!U:U,"有效",险种!E:E,E:E),1)</f>
        <v>0</v>
      </c>
      <c r="M99" s="68">
        <f>RANK(L99,L:L,)</f>
        <v>14</v>
      </c>
      <c r="N99" s="68">
        <f>SUMIF(险种!E:E,E:E,险种!W:W)</f>
        <v>0</v>
      </c>
      <c r="O99" s="68">
        <f>IF(N:N&gt;=1,1,0)</f>
        <v>0</v>
      </c>
      <c r="P99" s="65">
        <f>ROUND(SUMIFS(险种!Q:Q,险种!V:V,$P$1,险种!E:E,E:E),1)</f>
        <v>0</v>
      </c>
      <c r="Q99" s="68">
        <f>RANK(P99,$P:$P,0)-1</f>
        <v>5</v>
      </c>
      <c r="R99" s="68" t="str">
        <f>A:A&amp;D:D&amp;G:G&amp;"在"&amp;$P$1&amp;"预收"&amp;P:P&amp;"排名中支第"&amp;Q:Q&amp;"位"</f>
        <v>淮南本部曹素光伙伴在20210509预收0排名中支第5位</v>
      </c>
      <c r="S99" s="65">
        <f>ROUND(SUMIFS(险种!Q:Q,险种!E:E,E:E,险种!V:V,"&lt;=20210506")-SUMIFS(险种!Q:Q,险种!U:U,"终止",险种!E:E,E:E,险种!V:V,"&lt;=20210506"),1)</f>
        <v>0</v>
      </c>
      <c r="T99" s="65">
        <f>ROUND(SUMIFS(险种!Q:Q,险种!U:U,"有效",险种!E:E,E:E,险种!V:V,"&lt;=20210506"),1)</f>
        <v>0</v>
      </c>
      <c r="U99" s="65">
        <f>ROUND(SUMIFS(险种!Q:Q,险种!E:E,E:E,险种!V:V,"&lt;=20210510")-SUMIFS(险种!Q:Q,险种!U:U,"终止",险种!E:E,E:E,险种!V:V,"&lt;=20210510"),1)</f>
        <v>0</v>
      </c>
      <c r="V99" s="65">
        <f>ROUND(SUMIFS(险种!Q:Q,险种!U:U,"有效",险种!E:E,E:E,险种!V:V,"&lt;=20210510"),1)</f>
        <v>0</v>
      </c>
      <c r="W99" s="65">
        <f t="shared" si="1"/>
        <v>0</v>
      </c>
      <c r="X99" s="68">
        <f>SUMIF(险种!E:E,E:E,险种!Y:Y)</f>
        <v>0</v>
      </c>
      <c r="Y99" s="65">
        <f>MAX(_xlfn.IFS(OR(X:X=1,X:X=2),J:J*0.1,X:X&gt;=3,J:J*0.2,X:X=0,0),IF(J:J&gt;=20000,J:J*0.2,0))</f>
        <v>0</v>
      </c>
      <c r="Z99" s="65" t="str">
        <f>A99&amp;D99&amp;G99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淮南本部曹素光伙伴5.1-5.10预收价值保费0，首周预收3000P件数0件，预收拟加佣0元。温馨提示，保单需10日（含）前承保，目前还有0价值保费未承保,开单一件即可获得10%加佣</v>
      </c>
      <c r="AA99" s="68">
        <f>SUMIF(险种!E:E,E:E,险种!Z:Z)</f>
        <v>0</v>
      </c>
      <c r="AB99" s="65"/>
      <c r="AC99" s="68">
        <f>SUMIF(险种!E:E,E:E,险种!AA:AA)</f>
        <v>0</v>
      </c>
      <c r="AD99" s="68">
        <f>SUMIFS(险种!AA:AA,险种!U:U,"有效",险种!E:E,E:E)</f>
        <v>0</v>
      </c>
      <c r="AE99" s="68" t="str">
        <f>A99&amp;D99&amp;G99&amp;"目前获得"&amp;$AC$1&amp;AC:AC&amp;"名，获得"&amp;$AD$1&amp;AD:AD&amp;"名"</f>
        <v>淮南本部曹素光伙伴目前获得龙虾节预收名额0名，获得龙虾节承保名额0名</v>
      </c>
      <c r="AF99" s="68">
        <f>SUMIF(认购返还案!D:D,E:E,认购返还案!E:E)</f>
        <v>0</v>
      </c>
      <c r="AG99" s="68">
        <f>_xlfn.IFS(AND(U:U&gt;=3000,U:U&lt;5000),AF:AF*0.5,U:U&gt;=5000,AF:AF*1,U:U&lt;3000,0)</f>
        <v>0</v>
      </c>
      <c r="AH99" s="68">
        <f>_xlfn.IFS(AND(V:V&gt;=3000,V:V&lt;5000),AF:AF*0.5,V:V&gt;=5000,AF:AF*1,V:V&lt;3000,0)</f>
        <v>0</v>
      </c>
      <c r="AI99" s="68" t="str">
        <f>A:A&amp;D:D&amp;G:G&amp;$AF$1&amp;AF:AF&amp;"元，目前预收价值"&amp;U:U&amp;"，"&amp;$AG$1&amp;AG:AG&amp;"元，"&amp;$AH$1&amp;AH:AH&amp;"元"</f>
        <v>淮南本部曹素光伙伴冲锋队缴费金额0元，目前预收价值0，预收拟返还0元，承保拟返还0元</v>
      </c>
      <c r="AJ99" s="68">
        <f>SUMIF(保单!R:R,E:E,保单!BE:BE)*IF(AF:AF&gt;1,1,0)</f>
        <v>0</v>
      </c>
      <c r="AK99" s="68">
        <f>SUMIFS(保单!BE:BE,保单!R:R,E:E,保单!BB:BB,"有效")*IF(AF:AF&gt;1,1,0)</f>
        <v>0</v>
      </c>
      <c r="AL99" s="72" t="str">
        <f>A:A&amp;D:D&amp;G:G&amp;"只要在1-10日承保全部保单，即可获得"&amp;$AJ$1&amp;AJ:AJ&amp;"个"</f>
        <v>淮南本部曹素光伙伴只要在1-10日承保全部保单，即可获得冲锋队按摩仪0个</v>
      </c>
    </row>
    <row r="100" spans="1:38">
      <c r="A100" s="64" t="s">
        <v>42</v>
      </c>
      <c r="B100" s="64" t="s">
        <v>62</v>
      </c>
      <c r="C100" s="64" t="s">
        <v>63</v>
      </c>
      <c r="D100" s="64" t="s">
        <v>340</v>
      </c>
      <c r="E100" s="64">
        <v>6441321272</v>
      </c>
      <c r="F100" s="64" t="s">
        <v>174</v>
      </c>
      <c r="G100" s="64" t="str">
        <f>IF(OR(F:F="高级经理一级",F:F="业务经理一级"),"主管","伙伴")</f>
        <v>伙伴</v>
      </c>
      <c r="H100" s="65">
        <f>SUMIF(险种!E:E,E:E,险种!R:R)-SUMIFS(险种!R:R,险种!U:U,"终止",险种!E:E,E:E)</f>
        <v>0</v>
      </c>
      <c r="I100" s="65">
        <f>SUMIFS(险种!R:R,险种!U:U,"有效",险种!E:E,E:E)</f>
        <v>0</v>
      </c>
      <c r="J100" s="65">
        <f>ROUND(SUMIF(险种!E:E,E:E,险种!Q:Q)-SUMIFS(险种!Q:Q,险种!U:U,"终止",险种!E:E,E:E),1)</f>
        <v>0</v>
      </c>
      <c r="K100" s="68">
        <f>RANK(J100,J:J)</f>
        <v>22</v>
      </c>
      <c r="L100" s="65">
        <f>ROUND(SUMIFS(险种!Q:Q,险种!U:U,"有效",险种!E:E,E:E),1)</f>
        <v>0</v>
      </c>
      <c r="M100" s="68">
        <f>RANK(L100,L:L,)</f>
        <v>14</v>
      </c>
      <c r="N100" s="68">
        <f>SUMIF(险种!E:E,E:E,险种!W:W)</f>
        <v>0</v>
      </c>
      <c r="O100" s="68">
        <f>IF(N:N&gt;=1,1,0)</f>
        <v>0</v>
      </c>
      <c r="P100" s="65">
        <f>ROUND(SUMIFS(险种!Q:Q,险种!V:V,$P$1,险种!E:E,E:E),1)</f>
        <v>0</v>
      </c>
      <c r="Q100" s="68">
        <f>RANK(P100,$P:$P,0)-1</f>
        <v>5</v>
      </c>
      <c r="R100" s="68" t="str">
        <f>A:A&amp;D:D&amp;G:G&amp;"在"&amp;$P$1&amp;"预收"&amp;P:P&amp;"排名中支第"&amp;Q:Q&amp;"位"</f>
        <v>淮南本部谷玲伙伴在20210509预收0排名中支第5位</v>
      </c>
      <c r="S100" s="65">
        <f>ROUND(SUMIFS(险种!Q:Q,险种!E:E,E:E,险种!V:V,"&lt;=20210506")-SUMIFS(险种!Q:Q,险种!U:U,"终止",险种!E:E,E:E,险种!V:V,"&lt;=20210506"),1)</f>
        <v>0</v>
      </c>
      <c r="T100" s="65">
        <f>ROUND(SUMIFS(险种!Q:Q,险种!U:U,"有效",险种!E:E,E:E,险种!V:V,"&lt;=20210506"),1)</f>
        <v>0</v>
      </c>
      <c r="U100" s="65">
        <f>ROUND(SUMIFS(险种!Q:Q,险种!E:E,E:E,险种!V:V,"&lt;=20210510")-SUMIFS(险种!Q:Q,险种!U:U,"终止",险种!E:E,E:E,险种!V:V,"&lt;=20210510"),1)</f>
        <v>0</v>
      </c>
      <c r="V100" s="65">
        <f>ROUND(SUMIFS(险种!Q:Q,险种!U:U,"有效",险种!E:E,E:E,险种!V:V,"&lt;=20210510"),1)</f>
        <v>0</v>
      </c>
      <c r="W100" s="65">
        <f t="shared" si="1"/>
        <v>0</v>
      </c>
      <c r="X100" s="68">
        <f>SUMIF(险种!E:E,E:E,险种!Y:Y)</f>
        <v>0</v>
      </c>
      <c r="Y100" s="65">
        <f>MAX(_xlfn.IFS(OR(X:X=1,X:X=2),J:J*0.1,X:X&gt;=3,J:J*0.2,X:X=0,0),IF(J:J&gt;=20000,J:J*0.2,0))</f>
        <v>0</v>
      </c>
      <c r="Z100" s="65" t="str">
        <f>A100&amp;D100&amp;G100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淮南本部谷玲伙伴5.1-5.10预收价值保费0，首周预收3000P件数0件，预收拟加佣0元。温馨提示，保单需10日（含）前承保，目前还有0价值保费未承保,开单一件即可获得10%加佣</v>
      </c>
      <c r="AA100" s="68">
        <f>SUMIF(险种!E:E,E:E,险种!Z:Z)</f>
        <v>0</v>
      </c>
      <c r="AB100" s="65"/>
      <c r="AC100" s="68">
        <f>SUMIF(险种!E:E,E:E,险种!AA:AA)</f>
        <v>0</v>
      </c>
      <c r="AD100" s="68">
        <f>SUMIFS(险种!AA:AA,险种!U:U,"有效",险种!E:E,E:E)</f>
        <v>0</v>
      </c>
      <c r="AE100" s="68" t="str">
        <f>A100&amp;D100&amp;G100&amp;"目前获得"&amp;$AC$1&amp;AC:AC&amp;"名，获得"&amp;$AD$1&amp;AD:AD&amp;"名"</f>
        <v>淮南本部谷玲伙伴目前获得龙虾节预收名额0名，获得龙虾节承保名额0名</v>
      </c>
      <c r="AF100" s="68">
        <f>SUMIF(认购返还案!D:D,E:E,认购返还案!E:E)</f>
        <v>0</v>
      </c>
      <c r="AG100" s="68">
        <f>_xlfn.IFS(AND(U:U&gt;=3000,U:U&lt;5000),AF:AF*0.5,U:U&gt;=5000,AF:AF*1,U:U&lt;3000,0)</f>
        <v>0</v>
      </c>
      <c r="AH100" s="68">
        <f>_xlfn.IFS(AND(V:V&gt;=3000,V:V&lt;5000),AF:AF*0.5,V:V&gt;=5000,AF:AF*1,V:V&lt;3000,0)</f>
        <v>0</v>
      </c>
      <c r="AI100" s="68" t="str">
        <f>A:A&amp;D:D&amp;G:G&amp;$AF$1&amp;AF:AF&amp;"元，目前预收价值"&amp;U:U&amp;"，"&amp;$AG$1&amp;AG:AG&amp;"元，"&amp;$AH$1&amp;AH:AH&amp;"元"</f>
        <v>淮南本部谷玲伙伴冲锋队缴费金额0元，目前预收价值0，预收拟返还0元，承保拟返还0元</v>
      </c>
      <c r="AJ100" s="68">
        <f>SUMIF(保单!R:R,E:E,保单!BE:BE)*IF(AF:AF&gt;1,1,0)</f>
        <v>0</v>
      </c>
      <c r="AK100" s="68">
        <f>SUMIFS(保单!BE:BE,保单!R:R,E:E,保单!BB:BB,"有效")*IF(AF:AF&gt;1,1,0)</f>
        <v>0</v>
      </c>
      <c r="AL100" s="72" t="str">
        <f>A:A&amp;D:D&amp;G:G&amp;"只要在1-10日承保全部保单，即可获得"&amp;$AJ$1&amp;AJ:AJ&amp;"个"</f>
        <v>淮南本部谷玲伙伴只要在1-10日承保全部保单，即可获得冲锋队按摩仪0个</v>
      </c>
    </row>
    <row r="101" spans="1:38">
      <c r="A101" s="64" t="s">
        <v>27</v>
      </c>
      <c r="B101" s="64" t="s">
        <v>28</v>
      </c>
      <c r="C101" s="64" t="s">
        <v>29</v>
      </c>
      <c r="D101" s="64" t="s">
        <v>341</v>
      </c>
      <c r="E101" s="64">
        <v>6438319742</v>
      </c>
      <c r="F101" s="64" t="s">
        <v>168</v>
      </c>
      <c r="G101" s="64" t="str">
        <f>IF(OR(F:F="高级经理一级",F:F="业务经理一级"),"主管","伙伴")</f>
        <v>伙伴</v>
      </c>
      <c r="H101" s="65">
        <f>SUMIF(险种!E:E,E:E,险种!R:R)-SUMIFS(险种!R:R,险种!U:U,"终止",险种!E:E,E:E)</f>
        <v>0</v>
      </c>
      <c r="I101" s="65">
        <f>SUMIFS(险种!R:R,险种!U:U,"有效",险种!E:E,E:E)</f>
        <v>0</v>
      </c>
      <c r="J101" s="65">
        <f>ROUND(SUMIF(险种!E:E,E:E,险种!Q:Q)-SUMIFS(险种!Q:Q,险种!U:U,"终止",险种!E:E,E:E),1)</f>
        <v>0</v>
      </c>
      <c r="K101" s="68">
        <f>RANK(J101,J:J)</f>
        <v>22</v>
      </c>
      <c r="L101" s="65">
        <f>ROUND(SUMIFS(险种!Q:Q,险种!U:U,"有效",险种!E:E,E:E),1)</f>
        <v>0</v>
      </c>
      <c r="M101" s="68">
        <f>RANK(L101,L:L,)</f>
        <v>14</v>
      </c>
      <c r="N101" s="68">
        <f>SUMIF(险种!E:E,E:E,险种!W:W)</f>
        <v>0</v>
      </c>
      <c r="O101" s="68">
        <f>IF(N:N&gt;=1,1,0)</f>
        <v>0</v>
      </c>
      <c r="P101" s="65">
        <f>ROUND(SUMIFS(险种!Q:Q,险种!V:V,$P$1,险种!E:E,E:E),1)</f>
        <v>0</v>
      </c>
      <c r="Q101" s="68">
        <f>RANK(P101,$P:$P,0)-1</f>
        <v>5</v>
      </c>
      <c r="R101" s="68" t="str">
        <f>A:A&amp;D:D&amp;G:G&amp;"在"&amp;$P$1&amp;"预收"&amp;P:P&amp;"排名中支第"&amp;Q:Q&amp;"位"</f>
        <v>凤台米莲伙伴在20210509预收0排名中支第5位</v>
      </c>
      <c r="S101" s="65">
        <f>ROUND(SUMIFS(险种!Q:Q,险种!E:E,E:E,险种!V:V,"&lt;=20210506")-SUMIFS(险种!Q:Q,险种!U:U,"终止",险种!E:E,E:E,险种!V:V,"&lt;=20210506"),1)</f>
        <v>0</v>
      </c>
      <c r="T101" s="65">
        <f>ROUND(SUMIFS(险种!Q:Q,险种!U:U,"有效",险种!E:E,E:E,险种!V:V,"&lt;=20210506"),1)</f>
        <v>0</v>
      </c>
      <c r="U101" s="65">
        <f>ROUND(SUMIFS(险种!Q:Q,险种!E:E,E:E,险种!V:V,"&lt;=20210510")-SUMIFS(险种!Q:Q,险种!U:U,"终止",险种!E:E,E:E,险种!V:V,"&lt;=20210510"),1)</f>
        <v>0</v>
      </c>
      <c r="V101" s="65">
        <f>ROUND(SUMIFS(险种!Q:Q,险种!U:U,"有效",险种!E:E,E:E,险种!V:V,"&lt;=20210510"),1)</f>
        <v>0</v>
      </c>
      <c r="W101" s="65">
        <f t="shared" si="1"/>
        <v>0</v>
      </c>
      <c r="X101" s="68">
        <f>SUMIF(险种!E:E,E:E,险种!Y:Y)</f>
        <v>0</v>
      </c>
      <c r="Y101" s="65">
        <f>MAX(_xlfn.IFS(OR(X:X=1,X:X=2),J:J*0.1,X:X&gt;=3,J:J*0.2,X:X=0,0),IF(J:J&gt;=20000,J:J*0.2,0))</f>
        <v>0</v>
      </c>
      <c r="Z101" s="65" t="str">
        <f>A101&amp;D101&amp;G101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凤台米莲伙伴5.1-5.10预收价值保费0，首周预收3000P件数0件，预收拟加佣0元。温馨提示，保单需10日（含）前承保，目前还有0价值保费未承保,开单一件即可获得10%加佣</v>
      </c>
      <c r="AA101" s="68">
        <f>SUMIF(险种!E:E,E:E,险种!Z:Z)</f>
        <v>0</v>
      </c>
      <c r="AB101" s="65"/>
      <c r="AC101" s="68">
        <f>SUMIF(险种!E:E,E:E,险种!AA:AA)</f>
        <v>0</v>
      </c>
      <c r="AD101" s="68">
        <f>SUMIFS(险种!AA:AA,险种!U:U,"有效",险种!E:E,E:E)</f>
        <v>0</v>
      </c>
      <c r="AE101" s="68" t="str">
        <f>A101&amp;D101&amp;G101&amp;"目前获得"&amp;$AC$1&amp;AC:AC&amp;"名，获得"&amp;$AD$1&amp;AD:AD&amp;"名"</f>
        <v>凤台米莲伙伴目前获得龙虾节预收名额0名，获得龙虾节承保名额0名</v>
      </c>
      <c r="AF101" s="68">
        <f>SUMIF(认购返还案!D:D,E:E,认购返还案!E:E)</f>
        <v>200</v>
      </c>
      <c r="AG101" s="68">
        <f>_xlfn.IFS(AND(U:U&gt;=3000,U:U&lt;5000),AF:AF*0.5,U:U&gt;=5000,AF:AF*1,U:U&lt;3000,0)</f>
        <v>0</v>
      </c>
      <c r="AH101" s="68">
        <f>_xlfn.IFS(AND(V:V&gt;=3000,V:V&lt;5000),AF:AF*0.5,V:V&gt;=5000,AF:AF*1,V:V&lt;3000,0)</f>
        <v>0</v>
      </c>
      <c r="AI101" s="68" t="str">
        <f>A:A&amp;D:D&amp;G:G&amp;$AF$1&amp;AF:AF&amp;"元，目前预收价值"&amp;U:U&amp;"，"&amp;$AG$1&amp;AG:AG&amp;"元，"&amp;$AH$1&amp;AH:AH&amp;"元"</f>
        <v>凤台米莲伙伴冲锋队缴费金额200元，目前预收价值0，预收拟返还0元，承保拟返还0元</v>
      </c>
      <c r="AJ101" s="68">
        <f>SUMIF(保单!R:R,E:E,保单!BE:BE)*IF(AF:AF&gt;1,1,0)</f>
        <v>0</v>
      </c>
      <c r="AK101" s="68">
        <f>SUMIFS(保单!BE:BE,保单!R:R,E:E,保单!BB:BB,"有效")*IF(AF:AF&gt;1,1,0)</f>
        <v>0</v>
      </c>
      <c r="AL101" s="72" t="str">
        <f>A:A&amp;D:D&amp;G:G&amp;"只要在1-10日承保全部保单，即可获得"&amp;$AJ$1&amp;AJ:AJ&amp;"个"</f>
        <v>凤台米莲伙伴只要在1-10日承保全部保单，即可获得冲锋队按摩仪0个</v>
      </c>
    </row>
    <row r="102" spans="1:38">
      <c r="A102" s="64" t="s">
        <v>27</v>
      </c>
      <c r="B102" s="64" t="s">
        <v>28</v>
      </c>
      <c r="C102" s="64" t="s">
        <v>29</v>
      </c>
      <c r="D102" s="64" t="s">
        <v>342</v>
      </c>
      <c r="E102" s="64">
        <v>6439051292</v>
      </c>
      <c r="F102" s="64" t="s">
        <v>158</v>
      </c>
      <c r="G102" s="64" t="str">
        <f>IF(OR(F:F="高级经理一级",F:F="业务经理一级"),"主管","伙伴")</f>
        <v>伙伴</v>
      </c>
      <c r="H102" s="65">
        <f>SUMIF(险种!E:E,E:E,险种!R:R)-SUMIFS(险种!R:R,险种!U:U,"终止",险种!E:E,E:E)</f>
        <v>0</v>
      </c>
      <c r="I102" s="65">
        <f>SUMIFS(险种!R:R,险种!U:U,"有效",险种!E:E,E:E)</f>
        <v>0</v>
      </c>
      <c r="J102" s="65">
        <f>ROUND(SUMIF(险种!E:E,E:E,险种!Q:Q)-SUMIFS(险种!Q:Q,险种!U:U,"终止",险种!E:E,E:E),1)</f>
        <v>0</v>
      </c>
      <c r="K102" s="68">
        <f>RANK(J102,J:J)</f>
        <v>22</v>
      </c>
      <c r="L102" s="65">
        <f>ROUND(SUMIFS(险种!Q:Q,险种!U:U,"有效",险种!E:E,E:E),1)</f>
        <v>0</v>
      </c>
      <c r="M102" s="68">
        <f>RANK(L102,L:L,)</f>
        <v>14</v>
      </c>
      <c r="N102" s="68">
        <f>SUMIF(险种!E:E,E:E,险种!W:W)</f>
        <v>0</v>
      </c>
      <c r="O102" s="68">
        <f>IF(N:N&gt;=1,1,0)</f>
        <v>0</v>
      </c>
      <c r="P102" s="65">
        <f>ROUND(SUMIFS(险种!Q:Q,险种!V:V,$P$1,险种!E:E,E:E),1)</f>
        <v>0</v>
      </c>
      <c r="Q102" s="68">
        <f>RANK(P102,$P:$P,0)-1</f>
        <v>5</v>
      </c>
      <c r="R102" s="68" t="str">
        <f>A:A&amp;D:D&amp;G:G&amp;"在"&amp;$P$1&amp;"预收"&amp;P:P&amp;"排名中支第"&amp;Q:Q&amp;"位"</f>
        <v>凤台胡程程伙伴在20210509预收0排名中支第5位</v>
      </c>
      <c r="S102" s="65">
        <f>ROUND(SUMIFS(险种!Q:Q,险种!E:E,E:E,险种!V:V,"&lt;=20210506")-SUMIFS(险种!Q:Q,险种!U:U,"终止",险种!E:E,E:E,险种!V:V,"&lt;=20210506"),1)</f>
        <v>0</v>
      </c>
      <c r="T102" s="65">
        <f>ROUND(SUMIFS(险种!Q:Q,险种!U:U,"有效",险种!E:E,E:E,险种!V:V,"&lt;=20210506"),1)</f>
        <v>0</v>
      </c>
      <c r="U102" s="65">
        <f>ROUND(SUMIFS(险种!Q:Q,险种!E:E,E:E,险种!V:V,"&lt;=20210510")-SUMIFS(险种!Q:Q,险种!U:U,"终止",险种!E:E,E:E,险种!V:V,"&lt;=20210510"),1)</f>
        <v>0</v>
      </c>
      <c r="V102" s="65">
        <f>ROUND(SUMIFS(险种!Q:Q,险种!U:U,"有效",险种!E:E,E:E,险种!V:V,"&lt;=20210510"),1)</f>
        <v>0</v>
      </c>
      <c r="W102" s="65">
        <f t="shared" si="1"/>
        <v>0</v>
      </c>
      <c r="X102" s="68">
        <f>SUMIF(险种!E:E,E:E,险种!Y:Y)</f>
        <v>0</v>
      </c>
      <c r="Y102" s="65">
        <f>MAX(_xlfn.IFS(OR(X:X=1,X:X=2),J:J*0.1,X:X&gt;=3,J:J*0.2,X:X=0,0),IF(J:J&gt;=20000,J:J*0.2,0))</f>
        <v>0</v>
      </c>
      <c r="Z102" s="65" t="str">
        <f>A102&amp;D102&amp;G102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凤台胡程程伙伴5.1-5.10预收价值保费0，首周预收3000P件数0件，预收拟加佣0元。温馨提示，保单需10日（含）前承保，目前还有0价值保费未承保,开单一件即可获得10%加佣</v>
      </c>
      <c r="AA102" s="68">
        <f>SUMIF(险种!E:E,E:E,险种!Z:Z)</f>
        <v>0</v>
      </c>
      <c r="AB102" s="65"/>
      <c r="AC102" s="68">
        <f>SUMIF(险种!E:E,E:E,险种!AA:AA)</f>
        <v>0</v>
      </c>
      <c r="AD102" s="68">
        <f>SUMIFS(险种!AA:AA,险种!U:U,"有效",险种!E:E,E:E)</f>
        <v>0</v>
      </c>
      <c r="AE102" s="68" t="str">
        <f>A102&amp;D102&amp;G102&amp;"目前获得"&amp;$AC$1&amp;AC:AC&amp;"名，获得"&amp;$AD$1&amp;AD:AD&amp;"名"</f>
        <v>凤台胡程程伙伴目前获得龙虾节预收名额0名，获得龙虾节承保名额0名</v>
      </c>
      <c r="AF102" s="68">
        <f>SUMIF(认购返还案!D:D,E:E,认购返还案!E:E)</f>
        <v>0</v>
      </c>
      <c r="AG102" s="68">
        <f>_xlfn.IFS(AND(U:U&gt;=3000,U:U&lt;5000),AF:AF*0.5,U:U&gt;=5000,AF:AF*1,U:U&lt;3000,0)</f>
        <v>0</v>
      </c>
      <c r="AH102" s="68">
        <f>_xlfn.IFS(AND(V:V&gt;=3000,V:V&lt;5000),AF:AF*0.5,V:V&gt;=5000,AF:AF*1,V:V&lt;3000,0)</f>
        <v>0</v>
      </c>
      <c r="AI102" s="68" t="str">
        <f>A:A&amp;D:D&amp;G:G&amp;$AF$1&amp;AF:AF&amp;"元，目前预收价值"&amp;U:U&amp;"，"&amp;$AG$1&amp;AG:AG&amp;"元，"&amp;$AH$1&amp;AH:AH&amp;"元"</f>
        <v>凤台胡程程伙伴冲锋队缴费金额0元，目前预收价值0，预收拟返还0元，承保拟返还0元</v>
      </c>
      <c r="AJ102" s="68">
        <f>SUMIF(保单!R:R,E:E,保单!BE:BE)*IF(AF:AF&gt;1,1,0)</f>
        <v>0</v>
      </c>
      <c r="AK102" s="68">
        <f>SUMIFS(保单!BE:BE,保单!R:R,E:E,保单!BB:BB,"有效")*IF(AF:AF&gt;1,1,0)</f>
        <v>0</v>
      </c>
      <c r="AL102" s="72" t="str">
        <f>A:A&amp;D:D&amp;G:G&amp;"只要在1-10日承保全部保单，即可获得"&amp;$AJ$1&amp;AJ:AJ&amp;"个"</f>
        <v>凤台胡程程伙伴只要在1-10日承保全部保单，即可获得冲锋队按摩仪0个</v>
      </c>
    </row>
    <row r="103" spans="1:38">
      <c r="A103" s="64" t="s">
        <v>42</v>
      </c>
      <c r="B103" s="64" t="s">
        <v>66</v>
      </c>
      <c r="C103" s="64" t="s">
        <v>343</v>
      </c>
      <c r="D103" s="64" t="s">
        <v>344</v>
      </c>
      <c r="E103" s="64">
        <v>6438293432</v>
      </c>
      <c r="F103" s="64" t="s">
        <v>158</v>
      </c>
      <c r="G103" s="64" t="str">
        <f>IF(OR(F:F="高级经理一级",F:F="业务经理一级"),"主管","伙伴")</f>
        <v>伙伴</v>
      </c>
      <c r="H103" s="65">
        <f>SUMIF(险种!E:E,E:E,险种!R:R)-SUMIFS(险种!R:R,险种!U:U,"终止",险种!E:E,E:E)</f>
        <v>0</v>
      </c>
      <c r="I103" s="65">
        <f>SUMIFS(险种!R:R,险种!U:U,"有效",险种!E:E,E:E)</f>
        <v>0</v>
      </c>
      <c r="J103" s="65">
        <f>ROUND(SUMIF(险种!E:E,E:E,险种!Q:Q)-SUMIFS(险种!Q:Q,险种!U:U,"终止",险种!E:E,E:E),1)</f>
        <v>0</v>
      </c>
      <c r="K103" s="68">
        <f>RANK(J103,J:J)</f>
        <v>22</v>
      </c>
      <c r="L103" s="65">
        <f>ROUND(SUMIFS(险种!Q:Q,险种!U:U,"有效",险种!E:E,E:E),1)</f>
        <v>0</v>
      </c>
      <c r="M103" s="68">
        <f>RANK(L103,L:L,)</f>
        <v>14</v>
      </c>
      <c r="N103" s="68">
        <f>SUMIF(险种!E:E,E:E,险种!W:W)</f>
        <v>0</v>
      </c>
      <c r="O103" s="68">
        <f>IF(N:N&gt;=1,1,0)</f>
        <v>0</v>
      </c>
      <c r="P103" s="65">
        <f>ROUND(SUMIFS(险种!Q:Q,险种!V:V,$P$1,险种!E:E,E:E),1)</f>
        <v>0</v>
      </c>
      <c r="Q103" s="68">
        <f>RANK(P103,$P:$P,0)-1</f>
        <v>5</v>
      </c>
      <c r="R103" s="68" t="str">
        <f>A:A&amp;D:D&amp;G:G&amp;"在"&amp;$P$1&amp;"预收"&amp;P:P&amp;"排名中支第"&amp;Q:Q&amp;"位"</f>
        <v>淮南本部刘卫国伙伴在20210509预收0排名中支第5位</v>
      </c>
      <c r="S103" s="65">
        <f>ROUND(SUMIFS(险种!Q:Q,险种!E:E,E:E,险种!V:V,"&lt;=20210506")-SUMIFS(险种!Q:Q,险种!U:U,"终止",险种!E:E,E:E,险种!V:V,"&lt;=20210506"),1)</f>
        <v>0</v>
      </c>
      <c r="T103" s="65">
        <f>ROUND(SUMIFS(险种!Q:Q,险种!U:U,"有效",险种!E:E,E:E,险种!V:V,"&lt;=20210506"),1)</f>
        <v>0</v>
      </c>
      <c r="U103" s="65">
        <f>ROUND(SUMIFS(险种!Q:Q,险种!E:E,E:E,险种!V:V,"&lt;=20210510")-SUMIFS(险种!Q:Q,险种!U:U,"终止",险种!E:E,E:E,险种!V:V,"&lt;=20210510"),1)</f>
        <v>0</v>
      </c>
      <c r="V103" s="65">
        <f>ROUND(SUMIFS(险种!Q:Q,险种!U:U,"有效",险种!E:E,E:E,险种!V:V,"&lt;=20210510"),1)</f>
        <v>0</v>
      </c>
      <c r="W103" s="65">
        <f t="shared" si="1"/>
        <v>0</v>
      </c>
      <c r="X103" s="68">
        <f>SUMIF(险种!E:E,E:E,险种!Y:Y)</f>
        <v>0</v>
      </c>
      <c r="Y103" s="65">
        <f>MAX(_xlfn.IFS(OR(X:X=1,X:X=2),J:J*0.1,X:X&gt;=3,J:J*0.2,X:X=0,0),IF(J:J&gt;=20000,J:J*0.2,0))</f>
        <v>0</v>
      </c>
      <c r="Z103" s="65" t="str">
        <f>A103&amp;D103&amp;G103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淮南本部刘卫国伙伴5.1-5.10预收价值保费0，首周预收3000P件数0件，预收拟加佣0元。温馨提示，保单需10日（含）前承保，目前还有0价值保费未承保,开单一件即可获得10%加佣</v>
      </c>
      <c r="AA103" s="68">
        <f>SUMIF(险种!E:E,E:E,险种!Z:Z)</f>
        <v>0</v>
      </c>
      <c r="AB103" s="65"/>
      <c r="AC103" s="68">
        <f>SUMIF(险种!E:E,E:E,险种!AA:AA)</f>
        <v>0</v>
      </c>
      <c r="AD103" s="68">
        <f>SUMIFS(险种!AA:AA,险种!U:U,"有效",险种!E:E,E:E)</f>
        <v>0</v>
      </c>
      <c r="AE103" s="68" t="str">
        <f>A103&amp;D103&amp;G103&amp;"目前获得"&amp;$AC$1&amp;AC:AC&amp;"名，获得"&amp;$AD$1&amp;AD:AD&amp;"名"</f>
        <v>淮南本部刘卫国伙伴目前获得龙虾节预收名额0名，获得龙虾节承保名额0名</v>
      </c>
      <c r="AF103" s="68">
        <f>SUMIF(认购返还案!D:D,E:E,认购返还案!E:E)</f>
        <v>0</v>
      </c>
      <c r="AG103" s="68">
        <f>_xlfn.IFS(AND(U:U&gt;=3000,U:U&lt;5000),AF:AF*0.5,U:U&gt;=5000,AF:AF*1,U:U&lt;3000,0)</f>
        <v>0</v>
      </c>
      <c r="AH103" s="68">
        <f>_xlfn.IFS(AND(V:V&gt;=3000,V:V&lt;5000),AF:AF*0.5,V:V&gt;=5000,AF:AF*1,V:V&lt;3000,0)</f>
        <v>0</v>
      </c>
      <c r="AI103" s="68" t="str">
        <f>A:A&amp;D:D&amp;G:G&amp;$AF$1&amp;AF:AF&amp;"元，目前预收价值"&amp;U:U&amp;"，"&amp;$AG$1&amp;AG:AG&amp;"元，"&amp;$AH$1&amp;AH:AH&amp;"元"</f>
        <v>淮南本部刘卫国伙伴冲锋队缴费金额0元，目前预收价值0，预收拟返还0元，承保拟返还0元</v>
      </c>
      <c r="AJ103" s="68">
        <f>SUMIF(保单!R:R,E:E,保单!BE:BE)*IF(AF:AF&gt;1,1,0)</f>
        <v>0</v>
      </c>
      <c r="AK103" s="68">
        <f>SUMIFS(保单!BE:BE,保单!R:R,E:E,保单!BB:BB,"有效")*IF(AF:AF&gt;1,1,0)</f>
        <v>0</v>
      </c>
      <c r="AL103" s="72" t="str">
        <f>A:A&amp;D:D&amp;G:G&amp;"只要在1-10日承保全部保单，即可获得"&amp;$AJ$1&amp;AJ:AJ&amp;"个"</f>
        <v>淮南本部刘卫国伙伴只要在1-10日承保全部保单，即可获得冲锋队按摩仪0个</v>
      </c>
    </row>
    <row r="104" spans="1:38">
      <c r="A104" s="64" t="s">
        <v>42</v>
      </c>
      <c r="B104" s="64" t="s">
        <v>62</v>
      </c>
      <c r="C104" s="64" t="s">
        <v>108</v>
      </c>
      <c r="D104" s="64" t="s">
        <v>345</v>
      </c>
      <c r="E104" s="64">
        <v>6438929852</v>
      </c>
      <c r="F104" s="64" t="s">
        <v>168</v>
      </c>
      <c r="G104" s="64" t="str">
        <f>IF(OR(F:F="高级经理一级",F:F="业务经理一级"),"主管","伙伴")</f>
        <v>伙伴</v>
      </c>
      <c r="H104" s="65">
        <f>SUMIF(险种!E:E,E:E,险种!R:R)-SUMIFS(险种!R:R,险种!U:U,"终止",险种!E:E,E:E)</f>
        <v>0</v>
      </c>
      <c r="I104" s="65">
        <f>SUMIFS(险种!R:R,险种!U:U,"有效",险种!E:E,E:E)</f>
        <v>0</v>
      </c>
      <c r="J104" s="65">
        <f>ROUND(SUMIF(险种!E:E,E:E,险种!Q:Q)-SUMIFS(险种!Q:Q,险种!U:U,"终止",险种!E:E,E:E),1)</f>
        <v>0</v>
      </c>
      <c r="K104" s="68">
        <f>RANK(J104,J:J)</f>
        <v>22</v>
      </c>
      <c r="L104" s="65">
        <f>ROUND(SUMIFS(险种!Q:Q,险种!U:U,"有效",险种!E:E,E:E),1)</f>
        <v>0</v>
      </c>
      <c r="M104" s="68">
        <f>RANK(L104,L:L,)</f>
        <v>14</v>
      </c>
      <c r="N104" s="68">
        <f>SUMIF(险种!E:E,E:E,险种!W:W)</f>
        <v>0</v>
      </c>
      <c r="O104" s="68">
        <f>IF(N:N&gt;=1,1,0)</f>
        <v>0</v>
      </c>
      <c r="P104" s="65">
        <f>ROUND(SUMIFS(险种!Q:Q,险种!V:V,$P$1,险种!E:E,E:E),1)</f>
        <v>0</v>
      </c>
      <c r="Q104" s="68">
        <f>RANK(P104,$P:$P,0)-1</f>
        <v>5</v>
      </c>
      <c r="R104" s="68" t="str">
        <f>A:A&amp;D:D&amp;G:G&amp;"在"&amp;$P$1&amp;"预收"&amp;P:P&amp;"排名中支第"&amp;Q:Q&amp;"位"</f>
        <v>淮南本部周蓓伙伴在20210509预收0排名中支第5位</v>
      </c>
      <c r="S104" s="65">
        <f>ROUND(SUMIFS(险种!Q:Q,险种!E:E,E:E,险种!V:V,"&lt;=20210506")-SUMIFS(险种!Q:Q,险种!U:U,"终止",险种!E:E,E:E,险种!V:V,"&lt;=20210506"),1)</f>
        <v>0</v>
      </c>
      <c r="T104" s="65">
        <f>ROUND(SUMIFS(险种!Q:Q,险种!U:U,"有效",险种!E:E,E:E,险种!V:V,"&lt;=20210506"),1)</f>
        <v>0</v>
      </c>
      <c r="U104" s="65">
        <f>ROUND(SUMIFS(险种!Q:Q,险种!E:E,E:E,险种!V:V,"&lt;=20210510")-SUMIFS(险种!Q:Q,险种!U:U,"终止",险种!E:E,E:E,险种!V:V,"&lt;=20210510"),1)</f>
        <v>0</v>
      </c>
      <c r="V104" s="65">
        <f>ROUND(SUMIFS(险种!Q:Q,险种!U:U,"有效",险种!E:E,E:E,险种!V:V,"&lt;=20210510"),1)</f>
        <v>0</v>
      </c>
      <c r="W104" s="65">
        <f t="shared" si="1"/>
        <v>0</v>
      </c>
      <c r="X104" s="68">
        <f>SUMIF(险种!E:E,E:E,险种!Y:Y)</f>
        <v>0</v>
      </c>
      <c r="Y104" s="65">
        <f>MAX(_xlfn.IFS(OR(X:X=1,X:X=2),J:J*0.1,X:X&gt;=3,J:J*0.2,X:X=0,0),IF(J:J&gt;=20000,J:J*0.2,0))</f>
        <v>0</v>
      </c>
      <c r="Z104" s="65" t="str">
        <f>A104&amp;D104&amp;G104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淮南本部周蓓伙伴5.1-5.10预收价值保费0，首周预收3000P件数0件，预收拟加佣0元。温馨提示，保单需10日（含）前承保，目前还有0价值保费未承保,开单一件即可获得10%加佣</v>
      </c>
      <c r="AA104" s="68">
        <f>SUMIF(险种!E:E,E:E,险种!Z:Z)</f>
        <v>0</v>
      </c>
      <c r="AB104" s="65"/>
      <c r="AC104" s="68">
        <f>SUMIF(险种!E:E,E:E,险种!AA:AA)</f>
        <v>0</v>
      </c>
      <c r="AD104" s="68">
        <f>SUMIFS(险种!AA:AA,险种!U:U,"有效",险种!E:E,E:E)</f>
        <v>0</v>
      </c>
      <c r="AE104" s="68" t="str">
        <f>A104&amp;D104&amp;G104&amp;"目前获得"&amp;$AC$1&amp;AC:AC&amp;"名，获得"&amp;$AD$1&amp;AD:AD&amp;"名"</f>
        <v>淮南本部周蓓伙伴目前获得龙虾节预收名额0名，获得龙虾节承保名额0名</v>
      </c>
      <c r="AF104" s="68">
        <f>SUMIF(认购返还案!D:D,E:E,认购返还案!E:E)</f>
        <v>0</v>
      </c>
      <c r="AG104" s="68">
        <f>_xlfn.IFS(AND(U:U&gt;=3000,U:U&lt;5000),AF:AF*0.5,U:U&gt;=5000,AF:AF*1,U:U&lt;3000,0)</f>
        <v>0</v>
      </c>
      <c r="AH104" s="68">
        <f>_xlfn.IFS(AND(V:V&gt;=3000,V:V&lt;5000),AF:AF*0.5,V:V&gt;=5000,AF:AF*1,V:V&lt;3000,0)</f>
        <v>0</v>
      </c>
      <c r="AI104" s="68" t="str">
        <f>A:A&amp;D:D&amp;G:G&amp;$AF$1&amp;AF:AF&amp;"元，目前预收价值"&amp;U:U&amp;"，"&amp;$AG$1&amp;AG:AG&amp;"元，"&amp;$AH$1&amp;AH:AH&amp;"元"</f>
        <v>淮南本部周蓓伙伴冲锋队缴费金额0元，目前预收价值0，预收拟返还0元，承保拟返还0元</v>
      </c>
      <c r="AJ104" s="68">
        <f>SUMIF(保单!R:R,E:E,保单!BE:BE)*IF(AF:AF&gt;1,1,0)</f>
        <v>0</v>
      </c>
      <c r="AK104" s="68">
        <f>SUMIFS(保单!BE:BE,保单!R:R,E:E,保单!BB:BB,"有效")*IF(AF:AF&gt;1,1,0)</f>
        <v>0</v>
      </c>
      <c r="AL104" s="72" t="str">
        <f>A:A&amp;D:D&amp;G:G&amp;"只要在1-10日承保全部保单，即可获得"&amp;$AJ$1&amp;AJ:AJ&amp;"个"</f>
        <v>淮南本部周蓓伙伴只要在1-10日承保全部保单，即可获得冲锋队按摩仪0个</v>
      </c>
    </row>
    <row r="105" spans="1:38">
      <c r="A105" s="64" t="s">
        <v>27</v>
      </c>
      <c r="B105" s="64" t="s">
        <v>28</v>
      </c>
      <c r="C105" s="64" t="s">
        <v>29</v>
      </c>
      <c r="D105" s="64" t="s">
        <v>346</v>
      </c>
      <c r="E105" s="64">
        <v>6438661492</v>
      </c>
      <c r="F105" s="64" t="s">
        <v>158</v>
      </c>
      <c r="G105" s="64" t="str">
        <f>IF(OR(F:F="高级经理一级",F:F="业务经理一级"),"主管","伙伴")</f>
        <v>伙伴</v>
      </c>
      <c r="H105" s="65">
        <f>SUMIF(险种!E:E,E:E,险种!R:R)-SUMIFS(险种!R:R,险种!U:U,"终止",险种!E:E,E:E)</f>
        <v>0</v>
      </c>
      <c r="I105" s="65">
        <f>SUMIFS(险种!R:R,险种!U:U,"有效",险种!E:E,E:E)</f>
        <v>0</v>
      </c>
      <c r="J105" s="65">
        <f>ROUND(SUMIF(险种!E:E,E:E,险种!Q:Q)-SUMIFS(险种!Q:Q,险种!U:U,"终止",险种!E:E,E:E),1)</f>
        <v>0</v>
      </c>
      <c r="K105" s="68">
        <f>RANK(J105,J:J)</f>
        <v>22</v>
      </c>
      <c r="L105" s="65">
        <f>ROUND(SUMIFS(险种!Q:Q,险种!U:U,"有效",险种!E:E,E:E),1)</f>
        <v>0</v>
      </c>
      <c r="M105" s="68">
        <f>RANK(L105,L:L,)</f>
        <v>14</v>
      </c>
      <c r="N105" s="68">
        <f>SUMIF(险种!E:E,E:E,险种!W:W)</f>
        <v>0</v>
      </c>
      <c r="O105" s="68">
        <f>IF(N:N&gt;=1,1,0)</f>
        <v>0</v>
      </c>
      <c r="P105" s="65">
        <f>ROUND(SUMIFS(险种!Q:Q,险种!V:V,$P$1,险种!E:E,E:E),1)</f>
        <v>0</v>
      </c>
      <c r="Q105" s="68">
        <f>RANK(P105,$P:$P,0)-1</f>
        <v>5</v>
      </c>
      <c r="R105" s="68" t="str">
        <f>A:A&amp;D:D&amp;G:G&amp;"在"&amp;$P$1&amp;"预收"&amp;P:P&amp;"排名中支第"&amp;Q:Q&amp;"位"</f>
        <v>凤台王秀芹伙伴在20210509预收0排名中支第5位</v>
      </c>
      <c r="S105" s="65">
        <f>ROUND(SUMIFS(险种!Q:Q,险种!E:E,E:E,险种!V:V,"&lt;=20210506")-SUMIFS(险种!Q:Q,险种!U:U,"终止",险种!E:E,E:E,险种!V:V,"&lt;=20210506"),1)</f>
        <v>0</v>
      </c>
      <c r="T105" s="65">
        <f>ROUND(SUMIFS(险种!Q:Q,险种!U:U,"有效",险种!E:E,E:E,险种!V:V,"&lt;=20210506"),1)</f>
        <v>0</v>
      </c>
      <c r="U105" s="65">
        <f>ROUND(SUMIFS(险种!Q:Q,险种!E:E,E:E,险种!V:V,"&lt;=20210510")-SUMIFS(险种!Q:Q,险种!U:U,"终止",险种!E:E,E:E,险种!V:V,"&lt;=20210510"),1)</f>
        <v>0</v>
      </c>
      <c r="V105" s="65">
        <f>ROUND(SUMIFS(险种!Q:Q,险种!U:U,"有效",险种!E:E,E:E,险种!V:V,"&lt;=20210510"),1)</f>
        <v>0</v>
      </c>
      <c r="W105" s="65">
        <f t="shared" si="1"/>
        <v>0</v>
      </c>
      <c r="X105" s="68">
        <f>SUMIF(险种!E:E,E:E,险种!Y:Y)</f>
        <v>0</v>
      </c>
      <c r="Y105" s="65">
        <f>MAX(_xlfn.IFS(OR(X:X=1,X:X=2),J:J*0.1,X:X&gt;=3,J:J*0.2,X:X=0,0),IF(J:J&gt;=20000,J:J*0.2,0))</f>
        <v>0</v>
      </c>
      <c r="Z105" s="65" t="str">
        <f>A105&amp;D105&amp;G105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凤台王秀芹伙伴5.1-5.10预收价值保费0，首周预收3000P件数0件，预收拟加佣0元。温馨提示，保单需10日（含）前承保，目前还有0价值保费未承保,开单一件即可获得10%加佣</v>
      </c>
      <c r="AA105" s="68">
        <f>SUMIF(险种!E:E,E:E,险种!Z:Z)</f>
        <v>0</v>
      </c>
      <c r="AB105" s="65"/>
      <c r="AC105" s="68">
        <f>SUMIF(险种!E:E,E:E,险种!AA:AA)</f>
        <v>0</v>
      </c>
      <c r="AD105" s="68">
        <f>SUMIFS(险种!AA:AA,险种!U:U,"有效",险种!E:E,E:E)</f>
        <v>0</v>
      </c>
      <c r="AE105" s="68" t="str">
        <f>A105&amp;D105&amp;G105&amp;"目前获得"&amp;$AC$1&amp;AC:AC&amp;"名，获得"&amp;$AD$1&amp;AD:AD&amp;"名"</f>
        <v>凤台王秀芹伙伴目前获得龙虾节预收名额0名，获得龙虾节承保名额0名</v>
      </c>
      <c r="AF105" s="68">
        <f>SUMIF(认购返还案!D:D,E:E,认购返还案!E:E)</f>
        <v>0</v>
      </c>
      <c r="AG105" s="68">
        <f>_xlfn.IFS(AND(U:U&gt;=3000,U:U&lt;5000),AF:AF*0.5,U:U&gt;=5000,AF:AF*1,U:U&lt;3000,0)</f>
        <v>0</v>
      </c>
      <c r="AH105" s="68">
        <f>_xlfn.IFS(AND(V:V&gt;=3000,V:V&lt;5000),AF:AF*0.5,V:V&gt;=5000,AF:AF*1,V:V&lt;3000,0)</f>
        <v>0</v>
      </c>
      <c r="AI105" s="68" t="str">
        <f>A:A&amp;D:D&amp;G:G&amp;$AF$1&amp;AF:AF&amp;"元，目前预收价值"&amp;U:U&amp;"，"&amp;$AG$1&amp;AG:AG&amp;"元，"&amp;$AH$1&amp;AH:AH&amp;"元"</f>
        <v>凤台王秀芹伙伴冲锋队缴费金额0元，目前预收价值0，预收拟返还0元，承保拟返还0元</v>
      </c>
      <c r="AJ105" s="68">
        <f>SUMIF(保单!R:R,E:E,保单!BE:BE)*IF(AF:AF&gt;1,1,0)</f>
        <v>0</v>
      </c>
      <c r="AK105" s="68">
        <f>SUMIFS(保单!BE:BE,保单!R:R,E:E,保单!BB:BB,"有效")*IF(AF:AF&gt;1,1,0)</f>
        <v>0</v>
      </c>
      <c r="AL105" s="72" t="str">
        <f>A:A&amp;D:D&amp;G:G&amp;"只要在1-10日承保全部保单，即可获得"&amp;$AJ$1&amp;AJ:AJ&amp;"个"</f>
        <v>凤台王秀芹伙伴只要在1-10日承保全部保单，即可获得冲锋队按摩仪0个</v>
      </c>
    </row>
    <row r="106" spans="1:38">
      <c r="A106" s="64" t="s">
        <v>27</v>
      </c>
      <c r="B106" s="64" t="s">
        <v>37</v>
      </c>
      <c r="C106" s="64" t="s">
        <v>226</v>
      </c>
      <c r="D106" s="64" t="s">
        <v>347</v>
      </c>
      <c r="E106" s="64">
        <v>6438544552</v>
      </c>
      <c r="F106" s="64" t="s">
        <v>158</v>
      </c>
      <c r="G106" s="64" t="str">
        <f>IF(OR(F:F="高级经理一级",F:F="业务经理一级"),"主管","伙伴")</f>
        <v>伙伴</v>
      </c>
      <c r="H106" s="65">
        <f>SUMIF(险种!E:E,E:E,险种!R:R)-SUMIFS(险种!R:R,险种!U:U,"终止",险种!E:E,E:E)</f>
        <v>0</v>
      </c>
      <c r="I106" s="65">
        <f>SUMIFS(险种!R:R,险种!U:U,"有效",险种!E:E,E:E)</f>
        <v>0</v>
      </c>
      <c r="J106" s="65">
        <f>ROUND(SUMIF(险种!E:E,E:E,险种!Q:Q)-SUMIFS(险种!Q:Q,险种!U:U,"终止",险种!E:E,E:E),1)</f>
        <v>0</v>
      </c>
      <c r="K106" s="68">
        <f>RANK(J106,J:J)</f>
        <v>22</v>
      </c>
      <c r="L106" s="65">
        <f>ROUND(SUMIFS(险种!Q:Q,险种!U:U,"有效",险种!E:E,E:E),1)</f>
        <v>0</v>
      </c>
      <c r="M106" s="68">
        <f>RANK(L106,L:L,)</f>
        <v>14</v>
      </c>
      <c r="N106" s="68">
        <f>SUMIF(险种!E:E,E:E,险种!W:W)</f>
        <v>0</v>
      </c>
      <c r="O106" s="68">
        <f>IF(N:N&gt;=1,1,0)</f>
        <v>0</v>
      </c>
      <c r="P106" s="65">
        <f>ROUND(SUMIFS(险种!Q:Q,险种!V:V,$P$1,险种!E:E,E:E),1)</f>
        <v>0</v>
      </c>
      <c r="Q106" s="68">
        <f>RANK(P106,$P:$P,0)-1</f>
        <v>5</v>
      </c>
      <c r="R106" s="68" t="str">
        <f>A:A&amp;D:D&amp;G:G&amp;"在"&amp;$P$1&amp;"预收"&amp;P:P&amp;"排名中支第"&amp;Q:Q&amp;"位"</f>
        <v>凤台彭丽杰伙伴在20210509预收0排名中支第5位</v>
      </c>
      <c r="S106" s="65">
        <f>ROUND(SUMIFS(险种!Q:Q,险种!E:E,E:E,险种!V:V,"&lt;=20210506")-SUMIFS(险种!Q:Q,险种!U:U,"终止",险种!E:E,E:E,险种!V:V,"&lt;=20210506"),1)</f>
        <v>0</v>
      </c>
      <c r="T106" s="65">
        <f>ROUND(SUMIFS(险种!Q:Q,险种!U:U,"有效",险种!E:E,E:E,险种!V:V,"&lt;=20210506"),1)</f>
        <v>0</v>
      </c>
      <c r="U106" s="65">
        <f>ROUND(SUMIFS(险种!Q:Q,险种!E:E,E:E,险种!V:V,"&lt;=20210510")-SUMIFS(险种!Q:Q,险种!U:U,"终止",险种!E:E,E:E,险种!V:V,"&lt;=20210510"),1)</f>
        <v>0</v>
      </c>
      <c r="V106" s="65">
        <f>ROUND(SUMIFS(险种!Q:Q,险种!U:U,"有效",险种!E:E,E:E,险种!V:V,"&lt;=20210510"),1)</f>
        <v>0</v>
      </c>
      <c r="W106" s="65">
        <f t="shared" si="1"/>
        <v>0</v>
      </c>
      <c r="X106" s="68">
        <f>SUMIF(险种!E:E,E:E,险种!Y:Y)</f>
        <v>0</v>
      </c>
      <c r="Y106" s="65">
        <f>MAX(_xlfn.IFS(OR(X:X=1,X:X=2),J:J*0.1,X:X&gt;=3,J:J*0.2,X:X=0,0),IF(J:J&gt;=20000,J:J*0.2,0))</f>
        <v>0</v>
      </c>
      <c r="Z106" s="65" t="str">
        <f>A106&amp;D106&amp;G106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凤台彭丽杰伙伴5.1-5.10预收价值保费0，首周预收3000P件数0件，预收拟加佣0元。温馨提示，保单需10日（含）前承保，目前还有0价值保费未承保,开单一件即可获得10%加佣</v>
      </c>
      <c r="AA106" s="68">
        <f>SUMIF(险种!E:E,E:E,险种!Z:Z)</f>
        <v>0</v>
      </c>
      <c r="AB106" s="65"/>
      <c r="AC106" s="68">
        <f>SUMIF(险种!E:E,E:E,险种!AA:AA)</f>
        <v>0</v>
      </c>
      <c r="AD106" s="68">
        <f>SUMIFS(险种!AA:AA,险种!U:U,"有效",险种!E:E,E:E)</f>
        <v>0</v>
      </c>
      <c r="AE106" s="68" t="str">
        <f>A106&amp;D106&amp;G106&amp;"目前获得"&amp;$AC$1&amp;AC:AC&amp;"名，获得"&amp;$AD$1&amp;AD:AD&amp;"名"</f>
        <v>凤台彭丽杰伙伴目前获得龙虾节预收名额0名，获得龙虾节承保名额0名</v>
      </c>
      <c r="AF106" s="68">
        <f>SUMIF(认购返还案!D:D,E:E,认购返还案!E:E)</f>
        <v>200</v>
      </c>
      <c r="AG106" s="68">
        <f>_xlfn.IFS(AND(U:U&gt;=3000,U:U&lt;5000),AF:AF*0.5,U:U&gt;=5000,AF:AF*1,U:U&lt;3000,0)</f>
        <v>0</v>
      </c>
      <c r="AH106" s="68">
        <f>_xlfn.IFS(AND(V:V&gt;=3000,V:V&lt;5000),AF:AF*0.5,V:V&gt;=5000,AF:AF*1,V:V&lt;3000,0)</f>
        <v>0</v>
      </c>
      <c r="AI106" s="68" t="str">
        <f>A:A&amp;D:D&amp;G:G&amp;$AF$1&amp;AF:AF&amp;"元，目前预收价值"&amp;U:U&amp;"，"&amp;$AG$1&amp;AG:AG&amp;"元，"&amp;$AH$1&amp;AH:AH&amp;"元"</f>
        <v>凤台彭丽杰伙伴冲锋队缴费金额200元，目前预收价值0，预收拟返还0元，承保拟返还0元</v>
      </c>
      <c r="AJ106" s="68">
        <f>SUMIF(保单!R:R,E:E,保单!BE:BE)*IF(AF:AF&gt;1,1,0)</f>
        <v>0</v>
      </c>
      <c r="AK106" s="68">
        <f>SUMIFS(保单!BE:BE,保单!R:R,E:E,保单!BB:BB,"有效")*IF(AF:AF&gt;1,1,0)</f>
        <v>0</v>
      </c>
      <c r="AL106" s="72" t="str">
        <f>A:A&amp;D:D&amp;G:G&amp;"只要在1-10日承保全部保单，即可获得"&amp;$AJ$1&amp;AJ:AJ&amp;"个"</f>
        <v>凤台彭丽杰伙伴只要在1-10日承保全部保单，即可获得冲锋队按摩仪0个</v>
      </c>
    </row>
    <row r="107" spans="1:38">
      <c r="A107" s="64" t="s">
        <v>27</v>
      </c>
      <c r="B107" s="64" t="s">
        <v>28</v>
      </c>
      <c r="C107" s="64" t="s">
        <v>29</v>
      </c>
      <c r="D107" s="64" t="s">
        <v>348</v>
      </c>
      <c r="E107" s="64">
        <v>6437396892</v>
      </c>
      <c r="F107" s="64" t="s">
        <v>158</v>
      </c>
      <c r="G107" s="64" t="str">
        <f>IF(OR(F:F="高级经理一级",F:F="业务经理一级"),"主管","伙伴")</f>
        <v>伙伴</v>
      </c>
      <c r="H107" s="65">
        <f>SUMIF(险种!E:E,E:E,险种!R:R)-SUMIFS(险种!R:R,险种!U:U,"终止",险种!E:E,E:E)</f>
        <v>0</v>
      </c>
      <c r="I107" s="65">
        <f>SUMIFS(险种!R:R,险种!U:U,"有效",险种!E:E,E:E)</f>
        <v>0</v>
      </c>
      <c r="J107" s="65">
        <f>ROUND(SUMIF(险种!E:E,E:E,险种!Q:Q)-SUMIFS(险种!Q:Q,险种!U:U,"终止",险种!E:E,E:E),1)</f>
        <v>0</v>
      </c>
      <c r="K107" s="68">
        <f>RANK(J107,J:J)</f>
        <v>22</v>
      </c>
      <c r="L107" s="65">
        <f>ROUND(SUMIFS(险种!Q:Q,险种!U:U,"有效",险种!E:E,E:E),1)</f>
        <v>0</v>
      </c>
      <c r="M107" s="68">
        <f>RANK(L107,L:L,)</f>
        <v>14</v>
      </c>
      <c r="N107" s="68">
        <f>SUMIF(险种!E:E,E:E,险种!W:W)</f>
        <v>0</v>
      </c>
      <c r="O107" s="68">
        <f>IF(N:N&gt;=1,1,0)</f>
        <v>0</v>
      </c>
      <c r="P107" s="65">
        <f>ROUND(SUMIFS(险种!Q:Q,险种!V:V,$P$1,险种!E:E,E:E),1)</f>
        <v>0</v>
      </c>
      <c r="Q107" s="68">
        <f>RANK(P107,$P:$P,0)-1</f>
        <v>5</v>
      </c>
      <c r="R107" s="68" t="str">
        <f>A:A&amp;D:D&amp;G:G&amp;"在"&amp;$P$1&amp;"预收"&amp;P:P&amp;"排名中支第"&amp;Q:Q&amp;"位"</f>
        <v>凤台陈尚伙伴在20210509预收0排名中支第5位</v>
      </c>
      <c r="S107" s="65">
        <f>ROUND(SUMIFS(险种!Q:Q,险种!E:E,E:E,险种!V:V,"&lt;=20210506")-SUMIFS(险种!Q:Q,险种!U:U,"终止",险种!E:E,E:E,险种!V:V,"&lt;=20210506"),1)</f>
        <v>0</v>
      </c>
      <c r="T107" s="65">
        <f>ROUND(SUMIFS(险种!Q:Q,险种!U:U,"有效",险种!E:E,E:E,险种!V:V,"&lt;=20210506"),1)</f>
        <v>0</v>
      </c>
      <c r="U107" s="65">
        <f>ROUND(SUMIFS(险种!Q:Q,险种!E:E,E:E,险种!V:V,"&lt;=20210510")-SUMIFS(险种!Q:Q,险种!U:U,"终止",险种!E:E,E:E,险种!V:V,"&lt;=20210510"),1)</f>
        <v>0</v>
      </c>
      <c r="V107" s="65">
        <f>ROUND(SUMIFS(险种!Q:Q,险种!U:U,"有效",险种!E:E,E:E,险种!V:V,"&lt;=20210510"),1)</f>
        <v>0</v>
      </c>
      <c r="W107" s="65">
        <f t="shared" si="1"/>
        <v>0</v>
      </c>
      <c r="X107" s="68">
        <f>SUMIF(险种!E:E,E:E,险种!Y:Y)</f>
        <v>0</v>
      </c>
      <c r="Y107" s="65">
        <f>MAX(_xlfn.IFS(OR(X:X=1,X:X=2),J:J*0.1,X:X&gt;=3,J:J*0.2,X:X=0,0),IF(J:J&gt;=20000,J:J*0.2,0))</f>
        <v>0</v>
      </c>
      <c r="Z107" s="65" t="str">
        <f>A107&amp;D107&amp;G107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凤台陈尚伙伴5.1-5.10预收价值保费0，首周预收3000P件数0件，预收拟加佣0元。温馨提示，保单需10日（含）前承保，目前还有0价值保费未承保,开单一件即可获得10%加佣</v>
      </c>
      <c r="AA107" s="68">
        <f>SUMIF(险种!E:E,E:E,险种!Z:Z)</f>
        <v>0</v>
      </c>
      <c r="AB107" s="65"/>
      <c r="AC107" s="68">
        <f>SUMIF(险种!E:E,E:E,险种!AA:AA)</f>
        <v>0</v>
      </c>
      <c r="AD107" s="68">
        <f>SUMIFS(险种!AA:AA,险种!U:U,"有效",险种!E:E,E:E)</f>
        <v>0</v>
      </c>
      <c r="AE107" s="68" t="str">
        <f>A107&amp;D107&amp;G107&amp;"目前获得"&amp;$AC$1&amp;AC:AC&amp;"名，获得"&amp;$AD$1&amp;AD:AD&amp;"名"</f>
        <v>凤台陈尚伙伴目前获得龙虾节预收名额0名，获得龙虾节承保名额0名</v>
      </c>
      <c r="AF107" s="68">
        <f>SUMIF(认购返还案!D:D,E:E,认购返还案!E:E)</f>
        <v>0</v>
      </c>
      <c r="AG107" s="68">
        <f>_xlfn.IFS(AND(U:U&gt;=3000,U:U&lt;5000),AF:AF*0.5,U:U&gt;=5000,AF:AF*1,U:U&lt;3000,0)</f>
        <v>0</v>
      </c>
      <c r="AH107" s="68">
        <f>_xlfn.IFS(AND(V:V&gt;=3000,V:V&lt;5000),AF:AF*0.5,V:V&gt;=5000,AF:AF*1,V:V&lt;3000,0)</f>
        <v>0</v>
      </c>
      <c r="AI107" s="68" t="str">
        <f>A:A&amp;D:D&amp;G:G&amp;$AF$1&amp;AF:AF&amp;"元，目前预收价值"&amp;U:U&amp;"，"&amp;$AG$1&amp;AG:AG&amp;"元，"&amp;$AH$1&amp;AH:AH&amp;"元"</f>
        <v>凤台陈尚伙伴冲锋队缴费金额0元，目前预收价值0，预收拟返还0元，承保拟返还0元</v>
      </c>
      <c r="AJ107" s="68">
        <f>SUMIF(保单!R:R,E:E,保单!BE:BE)*IF(AF:AF&gt;1,1,0)</f>
        <v>0</v>
      </c>
      <c r="AK107" s="68">
        <f>SUMIFS(保单!BE:BE,保单!R:R,E:E,保单!BB:BB,"有效")*IF(AF:AF&gt;1,1,0)</f>
        <v>0</v>
      </c>
      <c r="AL107" s="72" t="str">
        <f>A:A&amp;D:D&amp;G:G&amp;"只要在1-10日承保全部保单，即可获得"&amp;$AJ$1&amp;AJ:AJ&amp;"个"</f>
        <v>凤台陈尚伙伴只要在1-10日承保全部保单，即可获得冲锋队按摩仪0个</v>
      </c>
    </row>
    <row r="108" spans="1:38">
      <c r="A108" s="64" t="s">
        <v>27</v>
      </c>
      <c r="B108" s="64" t="s">
        <v>28</v>
      </c>
      <c r="C108" s="64" t="s">
        <v>29</v>
      </c>
      <c r="D108" s="64" t="s">
        <v>349</v>
      </c>
      <c r="E108" s="64">
        <v>6434539442</v>
      </c>
      <c r="F108" s="64" t="s">
        <v>158</v>
      </c>
      <c r="G108" s="64" t="str">
        <f>IF(OR(F:F="高级经理一级",F:F="业务经理一级"),"主管","伙伴")</f>
        <v>伙伴</v>
      </c>
      <c r="H108" s="65">
        <f>SUMIF(险种!E:E,E:E,险种!R:R)-SUMIFS(险种!R:R,险种!U:U,"终止",险种!E:E,E:E)</f>
        <v>0</v>
      </c>
      <c r="I108" s="65">
        <f>SUMIFS(险种!R:R,险种!U:U,"有效",险种!E:E,E:E)</f>
        <v>0</v>
      </c>
      <c r="J108" s="65">
        <f>ROUND(SUMIF(险种!E:E,E:E,险种!Q:Q)-SUMIFS(险种!Q:Q,险种!U:U,"终止",险种!E:E,E:E),1)</f>
        <v>0</v>
      </c>
      <c r="K108" s="68">
        <f>RANK(J108,J:J)</f>
        <v>22</v>
      </c>
      <c r="L108" s="65">
        <f>ROUND(SUMIFS(险种!Q:Q,险种!U:U,"有效",险种!E:E,E:E),1)</f>
        <v>0</v>
      </c>
      <c r="M108" s="68">
        <f>RANK(L108,L:L,)</f>
        <v>14</v>
      </c>
      <c r="N108" s="68">
        <f>SUMIF(险种!E:E,E:E,险种!W:W)</f>
        <v>0</v>
      </c>
      <c r="O108" s="68">
        <f>IF(N:N&gt;=1,1,0)</f>
        <v>0</v>
      </c>
      <c r="P108" s="65">
        <f>ROUND(SUMIFS(险种!Q:Q,险种!V:V,$P$1,险种!E:E,E:E),1)</f>
        <v>0</v>
      </c>
      <c r="Q108" s="68">
        <f>RANK(P108,$P:$P,0)-1</f>
        <v>5</v>
      </c>
      <c r="R108" s="68" t="str">
        <f>A:A&amp;D:D&amp;G:G&amp;"在"&amp;$P$1&amp;"预收"&amp;P:P&amp;"排名中支第"&amp;Q:Q&amp;"位"</f>
        <v>凤台陈斌伙伴在20210509预收0排名中支第5位</v>
      </c>
      <c r="S108" s="65">
        <f>ROUND(SUMIFS(险种!Q:Q,险种!E:E,E:E,险种!V:V,"&lt;=20210506")-SUMIFS(险种!Q:Q,险种!U:U,"终止",险种!E:E,E:E,险种!V:V,"&lt;=20210506"),1)</f>
        <v>0</v>
      </c>
      <c r="T108" s="65">
        <f>ROUND(SUMIFS(险种!Q:Q,险种!U:U,"有效",险种!E:E,E:E,险种!V:V,"&lt;=20210506"),1)</f>
        <v>0</v>
      </c>
      <c r="U108" s="65">
        <f>ROUND(SUMIFS(险种!Q:Q,险种!E:E,E:E,险种!V:V,"&lt;=20210510")-SUMIFS(险种!Q:Q,险种!U:U,"终止",险种!E:E,E:E,险种!V:V,"&lt;=20210510"),1)</f>
        <v>0</v>
      </c>
      <c r="V108" s="65">
        <f>ROUND(SUMIFS(险种!Q:Q,险种!U:U,"有效",险种!E:E,E:E,险种!V:V,"&lt;=20210510"),1)</f>
        <v>0</v>
      </c>
      <c r="W108" s="65">
        <f t="shared" si="1"/>
        <v>0</v>
      </c>
      <c r="X108" s="68">
        <f>SUMIF(险种!E:E,E:E,险种!Y:Y)</f>
        <v>0</v>
      </c>
      <c r="Y108" s="65">
        <f>MAX(_xlfn.IFS(OR(X:X=1,X:X=2),J:J*0.1,X:X&gt;=3,J:J*0.2,X:X=0,0),IF(J:J&gt;=20000,J:J*0.2,0))</f>
        <v>0</v>
      </c>
      <c r="Z108" s="65" t="str">
        <f>A108&amp;D108&amp;G108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凤台陈斌伙伴5.1-5.10预收价值保费0，首周预收3000P件数0件，预收拟加佣0元。温馨提示，保单需10日（含）前承保，目前还有0价值保费未承保,开单一件即可获得10%加佣</v>
      </c>
      <c r="AA108" s="68">
        <f>SUMIF(险种!E:E,E:E,险种!Z:Z)</f>
        <v>0</v>
      </c>
      <c r="AB108" s="65"/>
      <c r="AC108" s="68">
        <f>SUMIF(险种!E:E,E:E,险种!AA:AA)</f>
        <v>0</v>
      </c>
      <c r="AD108" s="68">
        <f>SUMIFS(险种!AA:AA,险种!U:U,"有效",险种!E:E,E:E)</f>
        <v>0</v>
      </c>
      <c r="AE108" s="68" t="str">
        <f>A108&amp;D108&amp;G108&amp;"目前获得"&amp;$AC$1&amp;AC:AC&amp;"名，获得"&amp;$AD$1&amp;AD:AD&amp;"名"</f>
        <v>凤台陈斌伙伴目前获得龙虾节预收名额0名，获得龙虾节承保名额0名</v>
      </c>
      <c r="AF108" s="68">
        <f>SUMIF(认购返还案!D:D,E:E,认购返还案!E:E)</f>
        <v>0</v>
      </c>
      <c r="AG108" s="68">
        <f>_xlfn.IFS(AND(U:U&gt;=3000,U:U&lt;5000),AF:AF*0.5,U:U&gt;=5000,AF:AF*1,U:U&lt;3000,0)</f>
        <v>0</v>
      </c>
      <c r="AH108" s="68">
        <f>_xlfn.IFS(AND(V:V&gt;=3000,V:V&lt;5000),AF:AF*0.5,V:V&gt;=5000,AF:AF*1,V:V&lt;3000,0)</f>
        <v>0</v>
      </c>
      <c r="AI108" s="68" t="str">
        <f>A:A&amp;D:D&amp;G:G&amp;$AF$1&amp;AF:AF&amp;"元，目前预收价值"&amp;U:U&amp;"，"&amp;$AG$1&amp;AG:AG&amp;"元，"&amp;$AH$1&amp;AH:AH&amp;"元"</f>
        <v>凤台陈斌伙伴冲锋队缴费金额0元，目前预收价值0，预收拟返还0元，承保拟返还0元</v>
      </c>
      <c r="AJ108" s="68">
        <f>SUMIF(保单!R:R,E:E,保单!BE:BE)*IF(AF:AF&gt;1,1,0)</f>
        <v>0</v>
      </c>
      <c r="AK108" s="68">
        <f>SUMIFS(保单!BE:BE,保单!R:R,E:E,保单!BB:BB,"有效")*IF(AF:AF&gt;1,1,0)</f>
        <v>0</v>
      </c>
      <c r="AL108" s="72" t="str">
        <f>A:A&amp;D:D&amp;G:G&amp;"只要在1-10日承保全部保单，即可获得"&amp;$AJ$1&amp;AJ:AJ&amp;"个"</f>
        <v>凤台陈斌伙伴只要在1-10日承保全部保单，即可获得冲锋队按摩仪0个</v>
      </c>
    </row>
    <row r="109" spans="1:38">
      <c r="A109" s="64" t="s">
        <v>27</v>
      </c>
      <c r="B109" s="64" t="s">
        <v>28</v>
      </c>
      <c r="C109" s="64" t="s">
        <v>29</v>
      </c>
      <c r="D109" s="64" t="s">
        <v>350</v>
      </c>
      <c r="E109" s="64">
        <v>6434509532</v>
      </c>
      <c r="F109" s="64" t="s">
        <v>168</v>
      </c>
      <c r="G109" s="64" t="str">
        <f>IF(OR(F:F="高级经理一级",F:F="业务经理一级"),"主管","伙伴")</f>
        <v>伙伴</v>
      </c>
      <c r="H109" s="65">
        <f>SUMIF(险种!E:E,E:E,险种!R:R)-SUMIFS(险种!R:R,险种!U:U,"终止",险种!E:E,E:E)</f>
        <v>0</v>
      </c>
      <c r="I109" s="65">
        <f>SUMIFS(险种!R:R,险种!U:U,"有效",险种!E:E,E:E)</f>
        <v>0</v>
      </c>
      <c r="J109" s="65">
        <f>ROUND(SUMIF(险种!E:E,E:E,险种!Q:Q)-SUMIFS(险种!Q:Q,险种!U:U,"终止",险种!E:E,E:E),1)</f>
        <v>0</v>
      </c>
      <c r="K109" s="68">
        <f>RANK(J109,J:J)</f>
        <v>22</v>
      </c>
      <c r="L109" s="65">
        <f>ROUND(SUMIFS(险种!Q:Q,险种!U:U,"有效",险种!E:E,E:E),1)</f>
        <v>0</v>
      </c>
      <c r="M109" s="68">
        <f>RANK(L109,L:L,)</f>
        <v>14</v>
      </c>
      <c r="N109" s="68">
        <f>SUMIF(险种!E:E,E:E,险种!W:W)</f>
        <v>0</v>
      </c>
      <c r="O109" s="68">
        <f>IF(N:N&gt;=1,1,0)</f>
        <v>0</v>
      </c>
      <c r="P109" s="65">
        <f>ROUND(SUMIFS(险种!Q:Q,险种!V:V,$P$1,险种!E:E,E:E),1)</f>
        <v>0</v>
      </c>
      <c r="Q109" s="68">
        <f>RANK(P109,$P:$P,0)-1</f>
        <v>5</v>
      </c>
      <c r="R109" s="68" t="str">
        <f>A:A&amp;D:D&amp;G:G&amp;"在"&amp;$P$1&amp;"预收"&amp;P:P&amp;"排名中支第"&amp;Q:Q&amp;"位"</f>
        <v>凤台叶艳伙伴在20210509预收0排名中支第5位</v>
      </c>
      <c r="S109" s="65">
        <f>ROUND(SUMIFS(险种!Q:Q,险种!E:E,E:E,险种!V:V,"&lt;=20210506")-SUMIFS(险种!Q:Q,险种!U:U,"终止",险种!E:E,E:E,险种!V:V,"&lt;=20210506"),1)</f>
        <v>0</v>
      </c>
      <c r="T109" s="65">
        <f>ROUND(SUMIFS(险种!Q:Q,险种!U:U,"有效",险种!E:E,E:E,险种!V:V,"&lt;=20210506"),1)</f>
        <v>0</v>
      </c>
      <c r="U109" s="65">
        <f>ROUND(SUMIFS(险种!Q:Q,险种!E:E,E:E,险种!V:V,"&lt;=20210510")-SUMIFS(险种!Q:Q,险种!U:U,"终止",险种!E:E,E:E,险种!V:V,"&lt;=20210510"),1)</f>
        <v>0</v>
      </c>
      <c r="V109" s="65">
        <f>ROUND(SUMIFS(险种!Q:Q,险种!U:U,"有效",险种!E:E,E:E,险种!V:V,"&lt;=20210510"),1)</f>
        <v>0</v>
      </c>
      <c r="W109" s="65">
        <f t="shared" si="1"/>
        <v>0</v>
      </c>
      <c r="X109" s="68">
        <f>SUMIF(险种!E:E,E:E,险种!Y:Y)</f>
        <v>0</v>
      </c>
      <c r="Y109" s="65">
        <f>MAX(_xlfn.IFS(OR(X:X=1,X:X=2),J:J*0.1,X:X&gt;=3,J:J*0.2,X:X=0,0),IF(J:J&gt;=20000,J:J*0.2,0))</f>
        <v>0</v>
      </c>
      <c r="Z109" s="65" t="str">
        <f>A109&amp;D109&amp;G109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凤台叶艳伙伴5.1-5.10预收价值保费0，首周预收3000P件数0件，预收拟加佣0元。温馨提示，保单需10日（含）前承保，目前还有0价值保费未承保,开单一件即可获得10%加佣</v>
      </c>
      <c r="AA109" s="68">
        <f>SUMIF(险种!E:E,E:E,险种!Z:Z)</f>
        <v>0</v>
      </c>
      <c r="AB109" s="65"/>
      <c r="AC109" s="68">
        <f>SUMIF(险种!E:E,E:E,险种!AA:AA)</f>
        <v>0</v>
      </c>
      <c r="AD109" s="68">
        <f>SUMIFS(险种!AA:AA,险种!U:U,"有效",险种!E:E,E:E)</f>
        <v>0</v>
      </c>
      <c r="AE109" s="68" t="str">
        <f>A109&amp;D109&amp;G109&amp;"目前获得"&amp;$AC$1&amp;AC:AC&amp;"名，获得"&amp;$AD$1&amp;AD:AD&amp;"名"</f>
        <v>凤台叶艳伙伴目前获得龙虾节预收名额0名，获得龙虾节承保名额0名</v>
      </c>
      <c r="AF109" s="68">
        <f>SUMIF(认购返还案!D:D,E:E,认购返还案!E:E)</f>
        <v>200</v>
      </c>
      <c r="AG109" s="68">
        <f>_xlfn.IFS(AND(U:U&gt;=3000,U:U&lt;5000),AF:AF*0.5,U:U&gt;=5000,AF:AF*1,U:U&lt;3000,0)</f>
        <v>0</v>
      </c>
      <c r="AH109" s="68">
        <f>_xlfn.IFS(AND(V:V&gt;=3000,V:V&lt;5000),AF:AF*0.5,V:V&gt;=5000,AF:AF*1,V:V&lt;3000,0)</f>
        <v>0</v>
      </c>
      <c r="AI109" s="68" t="str">
        <f>A:A&amp;D:D&amp;G:G&amp;$AF$1&amp;AF:AF&amp;"元，目前预收价值"&amp;U:U&amp;"，"&amp;$AG$1&amp;AG:AG&amp;"元，"&amp;$AH$1&amp;AH:AH&amp;"元"</f>
        <v>凤台叶艳伙伴冲锋队缴费金额200元，目前预收价值0，预收拟返还0元，承保拟返还0元</v>
      </c>
      <c r="AJ109" s="68">
        <f>SUMIF(保单!R:R,E:E,保单!BE:BE)*IF(AF:AF&gt;1,1,0)</f>
        <v>0</v>
      </c>
      <c r="AK109" s="68">
        <f>SUMIFS(保单!BE:BE,保单!R:R,E:E,保单!BB:BB,"有效")*IF(AF:AF&gt;1,1,0)</f>
        <v>0</v>
      </c>
      <c r="AL109" s="72" t="str">
        <f>A:A&amp;D:D&amp;G:G&amp;"只要在1-10日承保全部保单，即可获得"&amp;$AJ$1&amp;AJ:AJ&amp;"个"</f>
        <v>凤台叶艳伙伴只要在1-10日承保全部保单，即可获得冲锋队按摩仪0个</v>
      </c>
    </row>
    <row r="110" spans="1:38">
      <c r="A110" s="64" t="s">
        <v>42</v>
      </c>
      <c r="B110" s="64" t="s">
        <v>62</v>
      </c>
      <c r="C110" s="64" t="s">
        <v>228</v>
      </c>
      <c r="D110" s="64" t="s">
        <v>351</v>
      </c>
      <c r="E110" s="64">
        <v>6433744402</v>
      </c>
      <c r="F110" s="64" t="s">
        <v>174</v>
      </c>
      <c r="G110" s="64" t="str">
        <f>IF(OR(F:F="高级经理一级",F:F="业务经理一级"),"主管","伙伴")</f>
        <v>伙伴</v>
      </c>
      <c r="H110" s="65">
        <f>SUMIF(险种!E:E,E:E,险种!R:R)-SUMIFS(险种!R:R,险种!U:U,"终止",险种!E:E,E:E)</f>
        <v>0</v>
      </c>
      <c r="I110" s="65">
        <f>SUMIFS(险种!R:R,险种!U:U,"有效",险种!E:E,E:E)</f>
        <v>0</v>
      </c>
      <c r="J110" s="65">
        <f>ROUND(SUMIF(险种!E:E,E:E,险种!Q:Q)-SUMIFS(险种!Q:Q,险种!U:U,"终止",险种!E:E,E:E),1)</f>
        <v>0</v>
      </c>
      <c r="K110" s="68">
        <f>RANK(J110,J:J)</f>
        <v>22</v>
      </c>
      <c r="L110" s="65">
        <f>ROUND(SUMIFS(险种!Q:Q,险种!U:U,"有效",险种!E:E,E:E),1)</f>
        <v>0</v>
      </c>
      <c r="M110" s="68">
        <f>RANK(L110,L:L,)</f>
        <v>14</v>
      </c>
      <c r="N110" s="68">
        <f>SUMIF(险种!E:E,E:E,险种!W:W)</f>
        <v>0</v>
      </c>
      <c r="O110" s="68">
        <f>IF(N:N&gt;=1,1,0)</f>
        <v>0</v>
      </c>
      <c r="P110" s="65">
        <f>ROUND(SUMIFS(险种!Q:Q,险种!V:V,$P$1,险种!E:E,E:E),1)</f>
        <v>0</v>
      </c>
      <c r="Q110" s="68">
        <f>RANK(P110,$P:$P,0)-1</f>
        <v>5</v>
      </c>
      <c r="R110" s="68" t="str">
        <f>A:A&amp;D:D&amp;G:G&amp;"在"&amp;$P$1&amp;"预收"&amp;P:P&amp;"排名中支第"&amp;Q:Q&amp;"位"</f>
        <v>淮南本部王宏伙伴在20210509预收0排名中支第5位</v>
      </c>
      <c r="S110" s="65">
        <f>ROUND(SUMIFS(险种!Q:Q,险种!E:E,E:E,险种!V:V,"&lt;=20210506")-SUMIFS(险种!Q:Q,险种!U:U,"终止",险种!E:E,E:E,险种!V:V,"&lt;=20210506"),1)</f>
        <v>0</v>
      </c>
      <c r="T110" s="65">
        <f>ROUND(SUMIFS(险种!Q:Q,险种!U:U,"有效",险种!E:E,E:E,险种!V:V,"&lt;=20210506"),1)</f>
        <v>0</v>
      </c>
      <c r="U110" s="65">
        <f>ROUND(SUMIFS(险种!Q:Q,险种!E:E,E:E,险种!V:V,"&lt;=20210510")-SUMIFS(险种!Q:Q,险种!U:U,"终止",险种!E:E,E:E,险种!V:V,"&lt;=20210510"),1)</f>
        <v>0</v>
      </c>
      <c r="V110" s="65">
        <f>ROUND(SUMIFS(险种!Q:Q,险种!U:U,"有效",险种!E:E,E:E,险种!V:V,"&lt;=20210510"),1)</f>
        <v>0</v>
      </c>
      <c r="W110" s="65">
        <f t="shared" si="1"/>
        <v>0</v>
      </c>
      <c r="X110" s="68">
        <f>SUMIF(险种!E:E,E:E,险种!Y:Y)</f>
        <v>0</v>
      </c>
      <c r="Y110" s="65">
        <f>MAX(_xlfn.IFS(OR(X:X=1,X:X=2),J:J*0.1,X:X&gt;=3,J:J*0.2,X:X=0,0),IF(J:J&gt;=20000,J:J*0.2,0))</f>
        <v>0</v>
      </c>
      <c r="Z110" s="65" t="str">
        <f>A110&amp;D110&amp;G110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淮南本部王宏伙伴5.1-5.10预收价值保费0，首周预收3000P件数0件，预收拟加佣0元。温馨提示，保单需10日（含）前承保，目前还有0价值保费未承保,开单一件即可获得10%加佣</v>
      </c>
      <c r="AA110" s="68">
        <f>SUMIF(险种!E:E,E:E,险种!Z:Z)</f>
        <v>0</v>
      </c>
      <c r="AB110" s="65"/>
      <c r="AC110" s="68">
        <f>SUMIF(险种!E:E,E:E,险种!AA:AA)</f>
        <v>0</v>
      </c>
      <c r="AD110" s="68">
        <f>SUMIFS(险种!AA:AA,险种!U:U,"有效",险种!E:E,E:E)</f>
        <v>0</v>
      </c>
      <c r="AE110" s="68" t="str">
        <f>A110&amp;D110&amp;G110&amp;"目前获得"&amp;$AC$1&amp;AC:AC&amp;"名，获得"&amp;$AD$1&amp;AD:AD&amp;"名"</f>
        <v>淮南本部王宏伙伴目前获得龙虾节预收名额0名，获得龙虾节承保名额0名</v>
      </c>
      <c r="AF110" s="68">
        <f>SUMIF(认购返还案!D:D,E:E,认购返还案!E:E)</f>
        <v>0</v>
      </c>
      <c r="AG110" s="68">
        <f>_xlfn.IFS(AND(U:U&gt;=3000,U:U&lt;5000),AF:AF*0.5,U:U&gt;=5000,AF:AF*1,U:U&lt;3000,0)</f>
        <v>0</v>
      </c>
      <c r="AH110" s="68">
        <f>_xlfn.IFS(AND(V:V&gt;=3000,V:V&lt;5000),AF:AF*0.5,V:V&gt;=5000,AF:AF*1,V:V&lt;3000,0)</f>
        <v>0</v>
      </c>
      <c r="AI110" s="68" t="str">
        <f>A:A&amp;D:D&amp;G:G&amp;$AF$1&amp;AF:AF&amp;"元，目前预收价值"&amp;U:U&amp;"，"&amp;$AG$1&amp;AG:AG&amp;"元，"&amp;$AH$1&amp;AH:AH&amp;"元"</f>
        <v>淮南本部王宏伙伴冲锋队缴费金额0元，目前预收价值0，预收拟返还0元，承保拟返还0元</v>
      </c>
      <c r="AJ110" s="68">
        <f>SUMIF(保单!R:R,E:E,保单!BE:BE)*IF(AF:AF&gt;1,1,0)</f>
        <v>0</v>
      </c>
      <c r="AK110" s="68">
        <f>SUMIFS(保单!BE:BE,保单!R:R,E:E,保单!BB:BB,"有效")*IF(AF:AF&gt;1,1,0)</f>
        <v>0</v>
      </c>
      <c r="AL110" s="72" t="str">
        <f>A:A&amp;D:D&amp;G:G&amp;"只要在1-10日承保全部保单，即可获得"&amp;$AJ$1&amp;AJ:AJ&amp;"个"</f>
        <v>淮南本部王宏伙伴只要在1-10日承保全部保单，即可获得冲锋队按摩仪0个</v>
      </c>
    </row>
    <row r="111" spans="1:38">
      <c r="A111" s="64" t="s">
        <v>27</v>
      </c>
      <c r="B111" s="64" t="s">
        <v>28</v>
      </c>
      <c r="C111" s="64" t="s">
        <v>29</v>
      </c>
      <c r="D111" s="64" t="s">
        <v>352</v>
      </c>
      <c r="E111" s="64">
        <v>6426650732</v>
      </c>
      <c r="F111" s="64" t="s">
        <v>174</v>
      </c>
      <c r="G111" s="64" t="str">
        <f>IF(OR(F:F="高级经理一级",F:F="业务经理一级"),"主管","伙伴")</f>
        <v>伙伴</v>
      </c>
      <c r="H111" s="65">
        <f>SUMIF(险种!E:E,E:E,险种!R:R)-SUMIFS(险种!R:R,险种!U:U,"终止",险种!E:E,E:E)</f>
        <v>0</v>
      </c>
      <c r="I111" s="65">
        <f>SUMIFS(险种!R:R,险种!U:U,"有效",险种!E:E,E:E)</f>
        <v>0</v>
      </c>
      <c r="J111" s="65">
        <f>ROUND(SUMIF(险种!E:E,E:E,险种!Q:Q)-SUMIFS(险种!Q:Q,险种!U:U,"终止",险种!E:E,E:E),1)</f>
        <v>0</v>
      </c>
      <c r="K111" s="68">
        <f>RANK(J111,J:J)</f>
        <v>22</v>
      </c>
      <c r="L111" s="65">
        <f>ROUND(SUMIFS(险种!Q:Q,险种!U:U,"有效",险种!E:E,E:E),1)</f>
        <v>0</v>
      </c>
      <c r="M111" s="68">
        <f>RANK(L111,L:L,)</f>
        <v>14</v>
      </c>
      <c r="N111" s="68">
        <f>SUMIF(险种!E:E,E:E,险种!W:W)</f>
        <v>0</v>
      </c>
      <c r="O111" s="68">
        <f>IF(N:N&gt;=1,1,0)</f>
        <v>0</v>
      </c>
      <c r="P111" s="65">
        <f>ROUND(SUMIFS(险种!Q:Q,险种!V:V,$P$1,险种!E:E,E:E),1)</f>
        <v>0</v>
      </c>
      <c r="Q111" s="68">
        <f>RANK(P111,$P:$P,0)-1</f>
        <v>5</v>
      </c>
      <c r="R111" s="68" t="str">
        <f>A:A&amp;D:D&amp;G:G&amp;"在"&amp;$P$1&amp;"预收"&amp;P:P&amp;"排名中支第"&amp;Q:Q&amp;"位"</f>
        <v>凤台高岑伙伴在20210509预收0排名中支第5位</v>
      </c>
      <c r="S111" s="65">
        <f>ROUND(SUMIFS(险种!Q:Q,险种!E:E,E:E,险种!V:V,"&lt;=20210506")-SUMIFS(险种!Q:Q,险种!U:U,"终止",险种!E:E,E:E,险种!V:V,"&lt;=20210506"),1)</f>
        <v>0</v>
      </c>
      <c r="T111" s="65">
        <f>ROUND(SUMIFS(险种!Q:Q,险种!U:U,"有效",险种!E:E,E:E,险种!V:V,"&lt;=20210506"),1)</f>
        <v>0</v>
      </c>
      <c r="U111" s="65">
        <f>ROUND(SUMIFS(险种!Q:Q,险种!E:E,E:E,险种!V:V,"&lt;=20210510")-SUMIFS(险种!Q:Q,险种!U:U,"终止",险种!E:E,E:E,险种!V:V,"&lt;=20210510"),1)</f>
        <v>0</v>
      </c>
      <c r="V111" s="65">
        <f>ROUND(SUMIFS(险种!Q:Q,险种!U:U,"有效",险种!E:E,E:E,险种!V:V,"&lt;=20210510"),1)</f>
        <v>0</v>
      </c>
      <c r="W111" s="65">
        <f t="shared" si="1"/>
        <v>0</v>
      </c>
      <c r="X111" s="68">
        <f>SUMIF(险种!E:E,E:E,险种!Y:Y)</f>
        <v>0</v>
      </c>
      <c r="Y111" s="65">
        <f>MAX(_xlfn.IFS(OR(X:X=1,X:X=2),J:J*0.1,X:X&gt;=3,J:J*0.2,X:X=0,0),IF(J:J&gt;=20000,J:J*0.2,0))</f>
        <v>0</v>
      </c>
      <c r="Z111" s="65" t="str">
        <f>A111&amp;D111&amp;G111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凤台高岑伙伴5.1-5.10预收价值保费0，首周预收3000P件数0件，预收拟加佣0元。温馨提示，保单需10日（含）前承保，目前还有0价值保费未承保,开单一件即可获得10%加佣</v>
      </c>
      <c r="AA111" s="68">
        <f>SUMIF(险种!E:E,E:E,险种!Z:Z)</f>
        <v>0</v>
      </c>
      <c r="AB111" s="65"/>
      <c r="AC111" s="68">
        <f>SUMIF(险种!E:E,E:E,险种!AA:AA)</f>
        <v>0</v>
      </c>
      <c r="AD111" s="68">
        <f>SUMIFS(险种!AA:AA,险种!U:U,"有效",险种!E:E,E:E)</f>
        <v>0</v>
      </c>
      <c r="AE111" s="68" t="str">
        <f>A111&amp;D111&amp;G111&amp;"目前获得"&amp;$AC$1&amp;AC:AC&amp;"名，获得"&amp;$AD$1&amp;AD:AD&amp;"名"</f>
        <v>凤台高岑伙伴目前获得龙虾节预收名额0名，获得龙虾节承保名额0名</v>
      </c>
      <c r="AF111" s="68">
        <f>SUMIF(认购返还案!D:D,E:E,认购返还案!E:E)</f>
        <v>0</v>
      </c>
      <c r="AG111" s="68">
        <f>_xlfn.IFS(AND(U:U&gt;=3000,U:U&lt;5000),AF:AF*0.5,U:U&gt;=5000,AF:AF*1,U:U&lt;3000,0)</f>
        <v>0</v>
      </c>
      <c r="AH111" s="68">
        <f>_xlfn.IFS(AND(V:V&gt;=3000,V:V&lt;5000),AF:AF*0.5,V:V&gt;=5000,AF:AF*1,V:V&lt;3000,0)</f>
        <v>0</v>
      </c>
      <c r="AI111" s="68" t="str">
        <f>A:A&amp;D:D&amp;G:G&amp;$AF$1&amp;AF:AF&amp;"元，目前预收价值"&amp;U:U&amp;"，"&amp;$AG$1&amp;AG:AG&amp;"元，"&amp;$AH$1&amp;AH:AH&amp;"元"</f>
        <v>凤台高岑伙伴冲锋队缴费金额0元，目前预收价值0，预收拟返还0元，承保拟返还0元</v>
      </c>
      <c r="AJ111" s="68">
        <f>SUMIF(保单!R:R,E:E,保单!BE:BE)*IF(AF:AF&gt;1,1,0)</f>
        <v>0</v>
      </c>
      <c r="AK111" s="68">
        <f>SUMIFS(保单!BE:BE,保单!R:R,E:E,保单!BB:BB,"有效")*IF(AF:AF&gt;1,1,0)</f>
        <v>0</v>
      </c>
      <c r="AL111" s="72" t="str">
        <f>A:A&amp;D:D&amp;G:G&amp;"只要在1-10日承保全部保单，即可获得"&amp;$AJ$1&amp;AJ:AJ&amp;"个"</f>
        <v>凤台高岑伙伴只要在1-10日承保全部保单，即可获得冲锋队按摩仪0个</v>
      </c>
    </row>
    <row r="112" spans="1:38">
      <c r="A112" s="64" t="s">
        <v>27</v>
      </c>
      <c r="B112" s="64" t="s">
        <v>28</v>
      </c>
      <c r="C112" s="64" t="s">
        <v>29</v>
      </c>
      <c r="D112" s="64" t="s">
        <v>353</v>
      </c>
      <c r="E112" s="64">
        <v>6426594512</v>
      </c>
      <c r="F112" s="64" t="s">
        <v>174</v>
      </c>
      <c r="G112" s="64" t="str">
        <f>IF(OR(F:F="高级经理一级",F:F="业务经理一级"),"主管","伙伴")</f>
        <v>伙伴</v>
      </c>
      <c r="H112" s="65">
        <f>SUMIF(险种!E:E,E:E,险种!R:R)-SUMIFS(险种!R:R,险种!U:U,"终止",险种!E:E,E:E)</f>
        <v>0</v>
      </c>
      <c r="I112" s="65">
        <f>SUMIFS(险种!R:R,险种!U:U,"有效",险种!E:E,E:E)</f>
        <v>0</v>
      </c>
      <c r="J112" s="65">
        <f>ROUND(SUMIF(险种!E:E,E:E,险种!Q:Q)-SUMIFS(险种!Q:Q,险种!U:U,"终止",险种!E:E,E:E),1)</f>
        <v>0</v>
      </c>
      <c r="K112" s="68">
        <f>RANK(J112,J:J)</f>
        <v>22</v>
      </c>
      <c r="L112" s="65">
        <f>ROUND(SUMIFS(险种!Q:Q,险种!U:U,"有效",险种!E:E,E:E),1)</f>
        <v>0</v>
      </c>
      <c r="M112" s="68">
        <f>RANK(L112,L:L,)</f>
        <v>14</v>
      </c>
      <c r="N112" s="68">
        <f>SUMIF(险种!E:E,E:E,险种!W:W)</f>
        <v>0</v>
      </c>
      <c r="O112" s="68">
        <f>IF(N:N&gt;=1,1,0)</f>
        <v>0</v>
      </c>
      <c r="P112" s="65">
        <f>ROUND(SUMIFS(险种!Q:Q,险种!V:V,$P$1,险种!E:E,E:E),1)</f>
        <v>0</v>
      </c>
      <c r="Q112" s="68">
        <f>RANK(P112,$P:$P,0)-1</f>
        <v>5</v>
      </c>
      <c r="R112" s="68" t="str">
        <f>A:A&amp;D:D&amp;G:G&amp;"在"&amp;$P$1&amp;"预收"&amp;P:P&amp;"排名中支第"&amp;Q:Q&amp;"位"</f>
        <v>凤台刘庆楠伙伴在20210509预收0排名中支第5位</v>
      </c>
      <c r="S112" s="65">
        <f>ROUND(SUMIFS(险种!Q:Q,险种!E:E,E:E,险种!V:V,"&lt;=20210506")-SUMIFS(险种!Q:Q,险种!U:U,"终止",险种!E:E,E:E,险种!V:V,"&lt;=20210506"),1)</f>
        <v>0</v>
      </c>
      <c r="T112" s="65">
        <f>ROUND(SUMIFS(险种!Q:Q,险种!U:U,"有效",险种!E:E,E:E,险种!V:V,"&lt;=20210506"),1)</f>
        <v>0</v>
      </c>
      <c r="U112" s="65">
        <f>ROUND(SUMIFS(险种!Q:Q,险种!E:E,E:E,险种!V:V,"&lt;=20210510")-SUMIFS(险种!Q:Q,险种!U:U,"终止",险种!E:E,E:E,险种!V:V,"&lt;=20210510"),1)</f>
        <v>0</v>
      </c>
      <c r="V112" s="65">
        <f>ROUND(SUMIFS(险种!Q:Q,险种!U:U,"有效",险种!E:E,E:E,险种!V:V,"&lt;=20210510"),1)</f>
        <v>0</v>
      </c>
      <c r="W112" s="65">
        <f t="shared" si="1"/>
        <v>0</v>
      </c>
      <c r="X112" s="68">
        <f>SUMIF(险种!E:E,E:E,险种!Y:Y)</f>
        <v>0</v>
      </c>
      <c r="Y112" s="65">
        <f>MAX(_xlfn.IFS(OR(X:X=1,X:X=2),J:J*0.1,X:X&gt;=3,J:J*0.2,X:X=0,0),IF(J:J&gt;=20000,J:J*0.2,0))</f>
        <v>0</v>
      </c>
      <c r="Z112" s="65" t="str">
        <f>A112&amp;D112&amp;G112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凤台刘庆楠伙伴5.1-5.10预收价值保费0，首周预收3000P件数0件，预收拟加佣0元。温馨提示，保单需10日（含）前承保，目前还有0价值保费未承保,开单一件即可获得10%加佣</v>
      </c>
      <c r="AA112" s="68">
        <f>SUMIF(险种!E:E,E:E,险种!Z:Z)</f>
        <v>0</v>
      </c>
      <c r="AB112" s="65"/>
      <c r="AC112" s="68">
        <f>SUMIF(险种!E:E,E:E,险种!AA:AA)</f>
        <v>0</v>
      </c>
      <c r="AD112" s="68">
        <f>SUMIFS(险种!AA:AA,险种!U:U,"有效",险种!E:E,E:E)</f>
        <v>0</v>
      </c>
      <c r="AE112" s="68" t="str">
        <f>A112&amp;D112&amp;G112&amp;"目前获得"&amp;$AC$1&amp;AC:AC&amp;"名，获得"&amp;$AD$1&amp;AD:AD&amp;"名"</f>
        <v>凤台刘庆楠伙伴目前获得龙虾节预收名额0名，获得龙虾节承保名额0名</v>
      </c>
      <c r="AF112" s="68">
        <f>SUMIF(认购返还案!D:D,E:E,认购返还案!E:E)</f>
        <v>0</v>
      </c>
      <c r="AG112" s="68">
        <f>_xlfn.IFS(AND(U:U&gt;=3000,U:U&lt;5000),AF:AF*0.5,U:U&gt;=5000,AF:AF*1,U:U&lt;3000,0)</f>
        <v>0</v>
      </c>
      <c r="AH112" s="68">
        <f>_xlfn.IFS(AND(V:V&gt;=3000,V:V&lt;5000),AF:AF*0.5,V:V&gt;=5000,AF:AF*1,V:V&lt;3000,0)</f>
        <v>0</v>
      </c>
      <c r="AI112" s="68" t="str">
        <f>A:A&amp;D:D&amp;G:G&amp;$AF$1&amp;AF:AF&amp;"元，目前预收价值"&amp;U:U&amp;"，"&amp;$AG$1&amp;AG:AG&amp;"元，"&amp;$AH$1&amp;AH:AH&amp;"元"</f>
        <v>凤台刘庆楠伙伴冲锋队缴费金额0元，目前预收价值0，预收拟返还0元，承保拟返还0元</v>
      </c>
      <c r="AJ112" s="68">
        <f>SUMIF(保单!R:R,E:E,保单!BE:BE)*IF(AF:AF&gt;1,1,0)</f>
        <v>0</v>
      </c>
      <c r="AK112" s="68">
        <f>SUMIFS(保单!BE:BE,保单!R:R,E:E,保单!BB:BB,"有效")*IF(AF:AF&gt;1,1,0)</f>
        <v>0</v>
      </c>
      <c r="AL112" s="72" t="str">
        <f>A:A&amp;D:D&amp;G:G&amp;"只要在1-10日承保全部保单，即可获得"&amp;$AJ$1&amp;AJ:AJ&amp;"个"</f>
        <v>凤台刘庆楠伙伴只要在1-10日承保全部保单，即可获得冲锋队按摩仪0个</v>
      </c>
    </row>
    <row r="113" spans="1:38">
      <c r="A113" s="64" t="s">
        <v>27</v>
      </c>
      <c r="B113" s="64" t="s">
        <v>28</v>
      </c>
      <c r="C113" s="64" t="s">
        <v>29</v>
      </c>
      <c r="D113" s="64" t="s">
        <v>354</v>
      </c>
      <c r="E113" s="64">
        <v>6426549162</v>
      </c>
      <c r="F113" s="64" t="s">
        <v>174</v>
      </c>
      <c r="G113" s="64" t="str">
        <f>IF(OR(F:F="高级经理一级",F:F="业务经理一级"),"主管","伙伴")</f>
        <v>伙伴</v>
      </c>
      <c r="H113" s="65">
        <f>SUMIF(险种!E:E,E:E,险种!R:R)-SUMIFS(险种!R:R,险种!U:U,"终止",险种!E:E,E:E)</f>
        <v>0</v>
      </c>
      <c r="I113" s="65">
        <f>SUMIFS(险种!R:R,险种!U:U,"有效",险种!E:E,E:E)</f>
        <v>0</v>
      </c>
      <c r="J113" s="65">
        <f>ROUND(SUMIF(险种!E:E,E:E,险种!Q:Q)-SUMIFS(险种!Q:Q,险种!U:U,"终止",险种!E:E,E:E),1)</f>
        <v>0</v>
      </c>
      <c r="K113" s="68">
        <f>RANK(J113,J:J)</f>
        <v>22</v>
      </c>
      <c r="L113" s="65">
        <f>ROUND(SUMIFS(险种!Q:Q,险种!U:U,"有效",险种!E:E,E:E),1)</f>
        <v>0</v>
      </c>
      <c r="M113" s="68">
        <f>RANK(L113,L:L,)</f>
        <v>14</v>
      </c>
      <c r="N113" s="68">
        <f>SUMIF(险种!E:E,E:E,险种!W:W)</f>
        <v>0</v>
      </c>
      <c r="O113" s="68">
        <f>IF(N:N&gt;=1,1,0)</f>
        <v>0</v>
      </c>
      <c r="P113" s="65">
        <f>ROUND(SUMIFS(险种!Q:Q,险种!V:V,$P$1,险种!E:E,E:E),1)</f>
        <v>0</v>
      </c>
      <c r="Q113" s="68">
        <f>RANK(P113,$P:$P,0)-1</f>
        <v>5</v>
      </c>
      <c r="R113" s="68" t="str">
        <f>A:A&amp;D:D&amp;G:G&amp;"在"&amp;$P$1&amp;"预收"&amp;P:P&amp;"排名中支第"&amp;Q:Q&amp;"位"</f>
        <v>凤台高菊秋伙伴在20210509预收0排名中支第5位</v>
      </c>
      <c r="S113" s="65">
        <f>ROUND(SUMIFS(险种!Q:Q,险种!E:E,E:E,险种!V:V,"&lt;=20210506")-SUMIFS(险种!Q:Q,险种!U:U,"终止",险种!E:E,E:E,险种!V:V,"&lt;=20210506"),1)</f>
        <v>0</v>
      </c>
      <c r="T113" s="65">
        <f>ROUND(SUMIFS(险种!Q:Q,险种!U:U,"有效",险种!E:E,E:E,险种!V:V,"&lt;=20210506"),1)</f>
        <v>0</v>
      </c>
      <c r="U113" s="65">
        <f>ROUND(SUMIFS(险种!Q:Q,险种!E:E,E:E,险种!V:V,"&lt;=20210510")-SUMIFS(险种!Q:Q,险种!U:U,"终止",险种!E:E,E:E,险种!V:V,"&lt;=20210510"),1)</f>
        <v>0</v>
      </c>
      <c r="V113" s="65">
        <f>ROUND(SUMIFS(险种!Q:Q,险种!U:U,"有效",险种!E:E,E:E,险种!V:V,"&lt;=20210510"),1)</f>
        <v>0</v>
      </c>
      <c r="W113" s="65">
        <f t="shared" si="1"/>
        <v>0</v>
      </c>
      <c r="X113" s="68">
        <f>SUMIF(险种!E:E,E:E,险种!Y:Y)</f>
        <v>0</v>
      </c>
      <c r="Y113" s="65">
        <f>MAX(_xlfn.IFS(OR(X:X=1,X:X=2),J:J*0.1,X:X&gt;=3,J:J*0.2,X:X=0,0),IF(J:J&gt;=20000,J:J*0.2,0))</f>
        <v>0</v>
      </c>
      <c r="Z113" s="65" t="str">
        <f>A113&amp;D113&amp;G113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凤台高菊秋伙伴5.1-5.10预收价值保费0，首周预收3000P件数0件，预收拟加佣0元。温馨提示，保单需10日（含）前承保，目前还有0价值保费未承保,开单一件即可获得10%加佣</v>
      </c>
      <c r="AA113" s="68">
        <f>SUMIF(险种!E:E,E:E,险种!Z:Z)</f>
        <v>0</v>
      </c>
      <c r="AB113" s="65"/>
      <c r="AC113" s="68">
        <f>SUMIF(险种!E:E,E:E,险种!AA:AA)</f>
        <v>0</v>
      </c>
      <c r="AD113" s="68">
        <f>SUMIFS(险种!AA:AA,险种!U:U,"有效",险种!E:E,E:E)</f>
        <v>0</v>
      </c>
      <c r="AE113" s="68" t="str">
        <f>A113&amp;D113&amp;G113&amp;"目前获得"&amp;$AC$1&amp;AC:AC&amp;"名，获得"&amp;$AD$1&amp;AD:AD&amp;"名"</f>
        <v>凤台高菊秋伙伴目前获得龙虾节预收名额0名，获得龙虾节承保名额0名</v>
      </c>
      <c r="AF113" s="68">
        <f>SUMIF(认购返还案!D:D,E:E,认购返还案!E:E)</f>
        <v>0</v>
      </c>
      <c r="AG113" s="68">
        <f>_xlfn.IFS(AND(U:U&gt;=3000,U:U&lt;5000),AF:AF*0.5,U:U&gt;=5000,AF:AF*1,U:U&lt;3000,0)</f>
        <v>0</v>
      </c>
      <c r="AH113" s="68">
        <f>_xlfn.IFS(AND(V:V&gt;=3000,V:V&lt;5000),AF:AF*0.5,V:V&gt;=5000,AF:AF*1,V:V&lt;3000,0)</f>
        <v>0</v>
      </c>
      <c r="AI113" s="68" t="str">
        <f>A:A&amp;D:D&amp;G:G&amp;$AF$1&amp;AF:AF&amp;"元，目前预收价值"&amp;U:U&amp;"，"&amp;$AG$1&amp;AG:AG&amp;"元，"&amp;$AH$1&amp;AH:AH&amp;"元"</f>
        <v>凤台高菊秋伙伴冲锋队缴费金额0元，目前预收价值0，预收拟返还0元，承保拟返还0元</v>
      </c>
      <c r="AJ113" s="68">
        <f>SUMIF(保单!R:R,E:E,保单!BE:BE)*IF(AF:AF&gt;1,1,0)</f>
        <v>0</v>
      </c>
      <c r="AK113" s="68">
        <f>SUMIFS(保单!BE:BE,保单!R:R,E:E,保单!BB:BB,"有效")*IF(AF:AF&gt;1,1,0)</f>
        <v>0</v>
      </c>
      <c r="AL113" s="72" t="str">
        <f>A:A&amp;D:D&amp;G:G&amp;"只要在1-10日承保全部保单，即可获得"&amp;$AJ$1&amp;AJ:AJ&amp;"个"</f>
        <v>凤台高菊秋伙伴只要在1-10日承保全部保单，即可获得冲锋队按摩仪0个</v>
      </c>
    </row>
    <row r="114" spans="1:38">
      <c r="A114" s="64" t="s">
        <v>27</v>
      </c>
      <c r="B114" s="64" t="s">
        <v>28</v>
      </c>
      <c r="C114" s="64" t="s">
        <v>29</v>
      </c>
      <c r="D114" s="64" t="s">
        <v>355</v>
      </c>
      <c r="E114" s="64">
        <v>6426493912</v>
      </c>
      <c r="F114" s="64" t="s">
        <v>158</v>
      </c>
      <c r="G114" s="64" t="str">
        <f>IF(OR(F:F="高级经理一级",F:F="业务经理一级"),"主管","伙伴")</f>
        <v>伙伴</v>
      </c>
      <c r="H114" s="65">
        <f>SUMIF(险种!E:E,E:E,险种!R:R)-SUMIFS(险种!R:R,险种!U:U,"终止",险种!E:E,E:E)</f>
        <v>0</v>
      </c>
      <c r="I114" s="65">
        <f>SUMIFS(险种!R:R,险种!U:U,"有效",险种!E:E,E:E)</f>
        <v>0</v>
      </c>
      <c r="J114" s="65">
        <f>ROUND(SUMIF(险种!E:E,E:E,险种!Q:Q)-SUMIFS(险种!Q:Q,险种!U:U,"终止",险种!E:E,E:E),1)</f>
        <v>0</v>
      </c>
      <c r="K114" s="68">
        <f>RANK(J114,J:J)</f>
        <v>22</v>
      </c>
      <c r="L114" s="65">
        <f>ROUND(SUMIFS(险种!Q:Q,险种!U:U,"有效",险种!E:E,E:E),1)</f>
        <v>0</v>
      </c>
      <c r="M114" s="68">
        <f>RANK(L114,L:L,)</f>
        <v>14</v>
      </c>
      <c r="N114" s="68">
        <f>SUMIF(险种!E:E,E:E,险种!W:W)</f>
        <v>0</v>
      </c>
      <c r="O114" s="68">
        <f>IF(N:N&gt;=1,1,0)</f>
        <v>0</v>
      </c>
      <c r="P114" s="65">
        <f>ROUND(SUMIFS(险种!Q:Q,险种!V:V,$P$1,险种!E:E,E:E),1)</f>
        <v>0</v>
      </c>
      <c r="Q114" s="68">
        <f>RANK(P114,$P:$P,0)-1</f>
        <v>5</v>
      </c>
      <c r="R114" s="68" t="str">
        <f>A:A&amp;D:D&amp;G:G&amp;"在"&amp;$P$1&amp;"预收"&amp;P:P&amp;"排名中支第"&amp;Q:Q&amp;"位"</f>
        <v>凤台吕荣刚伙伴在20210509预收0排名中支第5位</v>
      </c>
      <c r="S114" s="65">
        <f>ROUND(SUMIFS(险种!Q:Q,险种!E:E,E:E,险种!V:V,"&lt;=20210506")-SUMIFS(险种!Q:Q,险种!U:U,"终止",险种!E:E,E:E,险种!V:V,"&lt;=20210506"),1)</f>
        <v>0</v>
      </c>
      <c r="T114" s="65">
        <f>ROUND(SUMIFS(险种!Q:Q,险种!U:U,"有效",险种!E:E,E:E,险种!V:V,"&lt;=20210506"),1)</f>
        <v>0</v>
      </c>
      <c r="U114" s="65">
        <f>ROUND(SUMIFS(险种!Q:Q,险种!E:E,E:E,险种!V:V,"&lt;=20210510")-SUMIFS(险种!Q:Q,险种!U:U,"终止",险种!E:E,E:E,险种!V:V,"&lt;=20210510"),1)</f>
        <v>0</v>
      </c>
      <c r="V114" s="65">
        <f>ROUND(SUMIFS(险种!Q:Q,险种!U:U,"有效",险种!E:E,E:E,险种!V:V,"&lt;=20210510"),1)</f>
        <v>0</v>
      </c>
      <c r="W114" s="65">
        <f t="shared" si="1"/>
        <v>0</v>
      </c>
      <c r="X114" s="68">
        <f>SUMIF(险种!E:E,E:E,险种!Y:Y)</f>
        <v>0</v>
      </c>
      <c r="Y114" s="65">
        <f>MAX(_xlfn.IFS(OR(X:X=1,X:X=2),J:J*0.1,X:X&gt;=3,J:J*0.2,X:X=0,0),IF(J:J&gt;=20000,J:J*0.2,0))</f>
        <v>0</v>
      </c>
      <c r="Z114" s="65" t="str">
        <f>A114&amp;D114&amp;G114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凤台吕荣刚伙伴5.1-5.10预收价值保费0，首周预收3000P件数0件，预收拟加佣0元。温馨提示，保单需10日（含）前承保，目前还有0价值保费未承保,开单一件即可获得10%加佣</v>
      </c>
      <c r="AA114" s="68">
        <f>SUMIF(险种!E:E,E:E,险种!Z:Z)</f>
        <v>0</v>
      </c>
      <c r="AB114" s="65"/>
      <c r="AC114" s="68">
        <f>SUMIF(险种!E:E,E:E,险种!AA:AA)</f>
        <v>0</v>
      </c>
      <c r="AD114" s="68">
        <f>SUMIFS(险种!AA:AA,险种!U:U,"有效",险种!E:E,E:E)</f>
        <v>0</v>
      </c>
      <c r="AE114" s="68" t="str">
        <f>A114&amp;D114&amp;G114&amp;"目前获得"&amp;$AC$1&amp;AC:AC&amp;"名，获得"&amp;$AD$1&amp;AD:AD&amp;"名"</f>
        <v>凤台吕荣刚伙伴目前获得龙虾节预收名额0名，获得龙虾节承保名额0名</v>
      </c>
      <c r="AF114" s="68">
        <f>SUMIF(认购返还案!D:D,E:E,认购返还案!E:E)</f>
        <v>0</v>
      </c>
      <c r="AG114" s="68">
        <f>_xlfn.IFS(AND(U:U&gt;=3000,U:U&lt;5000),AF:AF*0.5,U:U&gt;=5000,AF:AF*1,U:U&lt;3000,0)</f>
        <v>0</v>
      </c>
      <c r="AH114" s="68">
        <f>_xlfn.IFS(AND(V:V&gt;=3000,V:V&lt;5000),AF:AF*0.5,V:V&gt;=5000,AF:AF*1,V:V&lt;3000,0)</f>
        <v>0</v>
      </c>
      <c r="AI114" s="68" t="str">
        <f>A:A&amp;D:D&amp;G:G&amp;$AF$1&amp;AF:AF&amp;"元，目前预收价值"&amp;U:U&amp;"，"&amp;$AG$1&amp;AG:AG&amp;"元，"&amp;$AH$1&amp;AH:AH&amp;"元"</f>
        <v>凤台吕荣刚伙伴冲锋队缴费金额0元，目前预收价值0，预收拟返还0元，承保拟返还0元</v>
      </c>
      <c r="AJ114" s="68">
        <f>SUMIF(保单!R:R,E:E,保单!BE:BE)*IF(AF:AF&gt;1,1,0)</f>
        <v>0</v>
      </c>
      <c r="AK114" s="68">
        <f>SUMIFS(保单!BE:BE,保单!R:R,E:E,保单!BB:BB,"有效")*IF(AF:AF&gt;1,1,0)</f>
        <v>0</v>
      </c>
      <c r="AL114" s="72" t="str">
        <f>A:A&amp;D:D&amp;G:G&amp;"只要在1-10日承保全部保单，即可获得"&amp;$AJ$1&amp;AJ:AJ&amp;"个"</f>
        <v>凤台吕荣刚伙伴只要在1-10日承保全部保单，即可获得冲锋队按摩仪0个</v>
      </c>
    </row>
    <row r="115" spans="1:38">
      <c r="A115" s="64" t="s">
        <v>27</v>
      </c>
      <c r="B115" s="64" t="s">
        <v>100</v>
      </c>
      <c r="C115" s="64" t="s">
        <v>101</v>
      </c>
      <c r="D115" s="64" t="s">
        <v>356</v>
      </c>
      <c r="E115" s="64">
        <v>6426457632</v>
      </c>
      <c r="F115" s="64" t="s">
        <v>174</v>
      </c>
      <c r="G115" s="64" t="str">
        <f>IF(OR(F:F="高级经理一级",F:F="业务经理一级"),"主管","伙伴")</f>
        <v>伙伴</v>
      </c>
      <c r="H115" s="65">
        <f>SUMIF(险种!E:E,E:E,险种!R:R)-SUMIFS(险种!R:R,险种!U:U,"终止",险种!E:E,E:E)</f>
        <v>0</v>
      </c>
      <c r="I115" s="65">
        <f>SUMIFS(险种!R:R,险种!U:U,"有效",险种!E:E,E:E)</f>
        <v>0</v>
      </c>
      <c r="J115" s="65">
        <f>ROUND(SUMIF(险种!E:E,E:E,险种!Q:Q)-SUMIFS(险种!Q:Q,险种!U:U,"终止",险种!E:E,E:E),1)</f>
        <v>0</v>
      </c>
      <c r="K115" s="68">
        <f>RANK(J115,J:J)</f>
        <v>22</v>
      </c>
      <c r="L115" s="65">
        <f>ROUND(SUMIFS(险种!Q:Q,险种!U:U,"有效",险种!E:E,E:E),1)</f>
        <v>0</v>
      </c>
      <c r="M115" s="68">
        <f>RANK(L115,L:L,)</f>
        <v>14</v>
      </c>
      <c r="N115" s="68">
        <f>SUMIF(险种!E:E,E:E,险种!W:W)</f>
        <v>0</v>
      </c>
      <c r="O115" s="68">
        <f>IF(N:N&gt;=1,1,0)</f>
        <v>0</v>
      </c>
      <c r="P115" s="65">
        <f>ROUND(SUMIFS(险种!Q:Q,险种!V:V,$P$1,险种!E:E,E:E),1)</f>
        <v>0</v>
      </c>
      <c r="Q115" s="68">
        <f>RANK(P115,$P:$P,0)-1</f>
        <v>5</v>
      </c>
      <c r="R115" s="68" t="str">
        <f>A:A&amp;D:D&amp;G:G&amp;"在"&amp;$P$1&amp;"预收"&amp;P:P&amp;"排名中支第"&amp;Q:Q&amp;"位"</f>
        <v>凤台陈利娜伙伴在20210509预收0排名中支第5位</v>
      </c>
      <c r="S115" s="65">
        <f>ROUND(SUMIFS(险种!Q:Q,险种!E:E,E:E,险种!V:V,"&lt;=20210506")-SUMIFS(险种!Q:Q,险种!U:U,"终止",险种!E:E,E:E,险种!V:V,"&lt;=20210506"),1)</f>
        <v>0</v>
      </c>
      <c r="T115" s="65">
        <f>ROUND(SUMIFS(险种!Q:Q,险种!U:U,"有效",险种!E:E,E:E,险种!V:V,"&lt;=20210506"),1)</f>
        <v>0</v>
      </c>
      <c r="U115" s="65">
        <f>ROUND(SUMIFS(险种!Q:Q,险种!E:E,E:E,险种!V:V,"&lt;=20210510")-SUMIFS(险种!Q:Q,险种!U:U,"终止",险种!E:E,E:E,险种!V:V,"&lt;=20210510"),1)</f>
        <v>0</v>
      </c>
      <c r="V115" s="65">
        <f>ROUND(SUMIFS(险种!Q:Q,险种!U:U,"有效",险种!E:E,E:E,险种!V:V,"&lt;=20210510"),1)</f>
        <v>0</v>
      </c>
      <c r="W115" s="65">
        <f t="shared" si="1"/>
        <v>0</v>
      </c>
      <c r="X115" s="68">
        <f>SUMIF(险种!E:E,E:E,险种!Y:Y)</f>
        <v>0</v>
      </c>
      <c r="Y115" s="65">
        <f>MAX(_xlfn.IFS(OR(X:X=1,X:X=2),J:J*0.1,X:X&gt;=3,J:J*0.2,X:X=0,0),IF(J:J&gt;=20000,J:J*0.2,0))</f>
        <v>0</v>
      </c>
      <c r="Z115" s="65" t="str">
        <f>A115&amp;D115&amp;G115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凤台陈利娜伙伴5.1-5.10预收价值保费0，首周预收3000P件数0件，预收拟加佣0元。温馨提示，保单需10日（含）前承保，目前还有0价值保费未承保,开单一件即可获得10%加佣</v>
      </c>
      <c r="AA115" s="68">
        <f>SUMIF(险种!E:E,E:E,险种!Z:Z)</f>
        <v>0</v>
      </c>
      <c r="AB115" s="65"/>
      <c r="AC115" s="68">
        <f>SUMIF(险种!E:E,E:E,险种!AA:AA)</f>
        <v>0</v>
      </c>
      <c r="AD115" s="68">
        <f>SUMIFS(险种!AA:AA,险种!U:U,"有效",险种!E:E,E:E)</f>
        <v>0</v>
      </c>
      <c r="AE115" s="68" t="str">
        <f>A115&amp;D115&amp;G115&amp;"目前获得"&amp;$AC$1&amp;AC:AC&amp;"名，获得"&amp;$AD$1&amp;AD:AD&amp;"名"</f>
        <v>凤台陈利娜伙伴目前获得龙虾节预收名额0名，获得龙虾节承保名额0名</v>
      </c>
      <c r="AF115" s="68">
        <f>SUMIF(认购返还案!D:D,E:E,认购返还案!E:E)</f>
        <v>0</v>
      </c>
      <c r="AG115" s="68">
        <f>_xlfn.IFS(AND(U:U&gt;=3000,U:U&lt;5000),AF:AF*0.5,U:U&gt;=5000,AF:AF*1,U:U&lt;3000,0)</f>
        <v>0</v>
      </c>
      <c r="AH115" s="68">
        <f>_xlfn.IFS(AND(V:V&gt;=3000,V:V&lt;5000),AF:AF*0.5,V:V&gt;=5000,AF:AF*1,V:V&lt;3000,0)</f>
        <v>0</v>
      </c>
      <c r="AI115" s="68" t="str">
        <f>A:A&amp;D:D&amp;G:G&amp;$AF$1&amp;AF:AF&amp;"元，目前预收价值"&amp;U:U&amp;"，"&amp;$AG$1&amp;AG:AG&amp;"元，"&amp;$AH$1&amp;AH:AH&amp;"元"</f>
        <v>凤台陈利娜伙伴冲锋队缴费金额0元，目前预收价值0，预收拟返还0元，承保拟返还0元</v>
      </c>
      <c r="AJ115" s="68">
        <f>SUMIF(保单!R:R,E:E,保单!BE:BE)*IF(AF:AF&gt;1,1,0)</f>
        <v>0</v>
      </c>
      <c r="AK115" s="68">
        <f>SUMIFS(保单!BE:BE,保单!R:R,E:E,保单!BB:BB,"有效")*IF(AF:AF&gt;1,1,0)</f>
        <v>0</v>
      </c>
      <c r="AL115" s="72" t="str">
        <f>A:A&amp;D:D&amp;G:G&amp;"只要在1-10日承保全部保单，即可获得"&amp;$AJ$1&amp;AJ:AJ&amp;"个"</f>
        <v>凤台陈利娜伙伴只要在1-10日承保全部保单，即可获得冲锋队按摩仪0个</v>
      </c>
    </row>
    <row r="116" spans="1:38">
      <c r="A116" s="64" t="s">
        <v>27</v>
      </c>
      <c r="B116" s="64" t="s">
        <v>28</v>
      </c>
      <c r="C116" s="64" t="s">
        <v>29</v>
      </c>
      <c r="D116" s="64" t="s">
        <v>357</v>
      </c>
      <c r="E116" s="64">
        <v>6426273602</v>
      </c>
      <c r="F116" s="64" t="s">
        <v>174</v>
      </c>
      <c r="G116" s="64" t="str">
        <f>IF(OR(F:F="高级经理一级",F:F="业务经理一级"),"主管","伙伴")</f>
        <v>伙伴</v>
      </c>
      <c r="H116" s="65">
        <f>SUMIF(险种!E:E,E:E,险种!R:R)-SUMIFS(险种!R:R,险种!U:U,"终止",险种!E:E,E:E)</f>
        <v>0</v>
      </c>
      <c r="I116" s="65">
        <f>SUMIFS(险种!R:R,险种!U:U,"有效",险种!E:E,E:E)</f>
        <v>0</v>
      </c>
      <c r="J116" s="65">
        <f>ROUND(SUMIF(险种!E:E,E:E,险种!Q:Q)-SUMIFS(险种!Q:Q,险种!U:U,"终止",险种!E:E,E:E),1)</f>
        <v>0</v>
      </c>
      <c r="K116" s="68">
        <f>RANK(J116,J:J)</f>
        <v>22</v>
      </c>
      <c r="L116" s="65">
        <f>ROUND(SUMIFS(险种!Q:Q,险种!U:U,"有效",险种!E:E,E:E),1)</f>
        <v>0</v>
      </c>
      <c r="M116" s="68">
        <f>RANK(L116,L:L,)</f>
        <v>14</v>
      </c>
      <c r="N116" s="68">
        <f>SUMIF(险种!E:E,E:E,险种!W:W)</f>
        <v>0</v>
      </c>
      <c r="O116" s="68">
        <f>IF(N:N&gt;=1,1,0)</f>
        <v>0</v>
      </c>
      <c r="P116" s="65">
        <f>ROUND(SUMIFS(险种!Q:Q,险种!V:V,$P$1,险种!E:E,E:E),1)</f>
        <v>0</v>
      </c>
      <c r="Q116" s="68">
        <f>RANK(P116,$P:$P,0)-1</f>
        <v>5</v>
      </c>
      <c r="R116" s="68" t="str">
        <f>A:A&amp;D:D&amp;G:G&amp;"在"&amp;$P$1&amp;"预收"&amp;P:P&amp;"排名中支第"&amp;Q:Q&amp;"位"</f>
        <v>凤台冯春莲伙伴在20210509预收0排名中支第5位</v>
      </c>
      <c r="S116" s="65">
        <f>ROUND(SUMIFS(险种!Q:Q,险种!E:E,E:E,险种!V:V,"&lt;=20210506")-SUMIFS(险种!Q:Q,险种!U:U,"终止",险种!E:E,E:E,险种!V:V,"&lt;=20210506"),1)</f>
        <v>0</v>
      </c>
      <c r="T116" s="65">
        <f>ROUND(SUMIFS(险种!Q:Q,险种!U:U,"有效",险种!E:E,E:E,险种!V:V,"&lt;=20210506"),1)</f>
        <v>0</v>
      </c>
      <c r="U116" s="65">
        <f>ROUND(SUMIFS(险种!Q:Q,险种!E:E,E:E,险种!V:V,"&lt;=20210510")-SUMIFS(险种!Q:Q,险种!U:U,"终止",险种!E:E,E:E,险种!V:V,"&lt;=20210510"),1)</f>
        <v>0</v>
      </c>
      <c r="V116" s="65">
        <f>ROUND(SUMIFS(险种!Q:Q,险种!U:U,"有效",险种!E:E,E:E,险种!V:V,"&lt;=20210510"),1)</f>
        <v>0</v>
      </c>
      <c r="W116" s="65">
        <f t="shared" si="1"/>
        <v>0</v>
      </c>
      <c r="X116" s="68">
        <f>SUMIF(险种!E:E,E:E,险种!Y:Y)</f>
        <v>0</v>
      </c>
      <c r="Y116" s="65">
        <f>MAX(_xlfn.IFS(OR(X:X=1,X:X=2),J:J*0.1,X:X&gt;=3,J:J*0.2,X:X=0,0),IF(J:J&gt;=20000,J:J*0.2,0))</f>
        <v>0</v>
      </c>
      <c r="Z116" s="65" t="str">
        <f>A116&amp;D116&amp;G116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凤台冯春莲伙伴5.1-5.10预收价值保费0，首周预收3000P件数0件，预收拟加佣0元。温馨提示，保单需10日（含）前承保，目前还有0价值保费未承保,开单一件即可获得10%加佣</v>
      </c>
      <c r="AA116" s="68">
        <f>SUMIF(险种!E:E,E:E,险种!Z:Z)</f>
        <v>0</v>
      </c>
      <c r="AB116" s="65"/>
      <c r="AC116" s="68">
        <f>SUMIF(险种!E:E,E:E,险种!AA:AA)</f>
        <v>0</v>
      </c>
      <c r="AD116" s="68">
        <f>SUMIFS(险种!AA:AA,险种!U:U,"有效",险种!E:E,E:E)</f>
        <v>0</v>
      </c>
      <c r="AE116" s="68" t="str">
        <f>A116&amp;D116&amp;G116&amp;"目前获得"&amp;$AC$1&amp;AC:AC&amp;"名，获得"&amp;$AD$1&amp;AD:AD&amp;"名"</f>
        <v>凤台冯春莲伙伴目前获得龙虾节预收名额0名，获得龙虾节承保名额0名</v>
      </c>
      <c r="AF116" s="68">
        <f>SUMIF(认购返还案!D:D,E:E,认购返还案!E:E)</f>
        <v>0</v>
      </c>
      <c r="AG116" s="68">
        <f>_xlfn.IFS(AND(U:U&gt;=3000,U:U&lt;5000),AF:AF*0.5,U:U&gt;=5000,AF:AF*1,U:U&lt;3000,0)</f>
        <v>0</v>
      </c>
      <c r="AH116" s="68">
        <f>_xlfn.IFS(AND(V:V&gt;=3000,V:V&lt;5000),AF:AF*0.5,V:V&gt;=5000,AF:AF*1,V:V&lt;3000,0)</f>
        <v>0</v>
      </c>
      <c r="AI116" s="68" t="str">
        <f>A:A&amp;D:D&amp;G:G&amp;$AF$1&amp;AF:AF&amp;"元，目前预收价值"&amp;U:U&amp;"，"&amp;$AG$1&amp;AG:AG&amp;"元，"&amp;$AH$1&amp;AH:AH&amp;"元"</f>
        <v>凤台冯春莲伙伴冲锋队缴费金额0元，目前预收价值0，预收拟返还0元，承保拟返还0元</v>
      </c>
      <c r="AJ116" s="68">
        <f>SUMIF(保单!R:R,E:E,保单!BE:BE)*IF(AF:AF&gt;1,1,0)</f>
        <v>0</v>
      </c>
      <c r="AK116" s="68">
        <f>SUMIFS(保单!BE:BE,保单!R:R,E:E,保单!BB:BB,"有效")*IF(AF:AF&gt;1,1,0)</f>
        <v>0</v>
      </c>
      <c r="AL116" s="72" t="str">
        <f>A:A&amp;D:D&amp;G:G&amp;"只要在1-10日承保全部保单，即可获得"&amp;$AJ$1&amp;AJ:AJ&amp;"个"</f>
        <v>凤台冯春莲伙伴只要在1-10日承保全部保单，即可获得冲锋队按摩仪0个</v>
      </c>
    </row>
    <row r="117" spans="1:38">
      <c r="A117" s="64" t="s">
        <v>27</v>
      </c>
      <c r="B117" s="64" t="s">
        <v>100</v>
      </c>
      <c r="C117" s="64" t="s">
        <v>101</v>
      </c>
      <c r="D117" s="64" t="s">
        <v>358</v>
      </c>
      <c r="E117" s="64">
        <v>6426223752</v>
      </c>
      <c r="F117" s="64" t="s">
        <v>158</v>
      </c>
      <c r="G117" s="64" t="str">
        <f>IF(OR(F:F="高级经理一级",F:F="业务经理一级"),"主管","伙伴")</f>
        <v>伙伴</v>
      </c>
      <c r="H117" s="65">
        <f>SUMIF(险种!E:E,E:E,险种!R:R)-SUMIFS(险种!R:R,险种!U:U,"终止",险种!E:E,E:E)</f>
        <v>0</v>
      </c>
      <c r="I117" s="65">
        <f>SUMIFS(险种!R:R,险种!U:U,"有效",险种!E:E,E:E)</f>
        <v>0</v>
      </c>
      <c r="J117" s="65">
        <f>ROUND(SUMIF(险种!E:E,E:E,险种!Q:Q)-SUMIFS(险种!Q:Q,险种!U:U,"终止",险种!E:E,E:E),1)</f>
        <v>0</v>
      </c>
      <c r="K117" s="68">
        <f>RANK(J117,J:J)</f>
        <v>22</v>
      </c>
      <c r="L117" s="65">
        <f>ROUND(SUMIFS(险种!Q:Q,险种!U:U,"有效",险种!E:E,E:E),1)</f>
        <v>0</v>
      </c>
      <c r="M117" s="68">
        <f>RANK(L117,L:L,)</f>
        <v>14</v>
      </c>
      <c r="N117" s="68">
        <f>SUMIF(险种!E:E,E:E,险种!W:W)</f>
        <v>0</v>
      </c>
      <c r="O117" s="68">
        <f>IF(N:N&gt;=1,1,0)</f>
        <v>0</v>
      </c>
      <c r="P117" s="65">
        <f>ROUND(SUMIFS(险种!Q:Q,险种!V:V,$P$1,险种!E:E,E:E),1)</f>
        <v>0</v>
      </c>
      <c r="Q117" s="68">
        <f>RANK(P117,$P:$P,0)-1</f>
        <v>5</v>
      </c>
      <c r="R117" s="68" t="str">
        <f>A:A&amp;D:D&amp;G:G&amp;"在"&amp;$P$1&amp;"预收"&amp;P:P&amp;"排名中支第"&amp;Q:Q&amp;"位"</f>
        <v>凤台潘明月伙伴在20210509预收0排名中支第5位</v>
      </c>
      <c r="S117" s="65">
        <f>ROUND(SUMIFS(险种!Q:Q,险种!E:E,E:E,险种!V:V,"&lt;=20210506")-SUMIFS(险种!Q:Q,险种!U:U,"终止",险种!E:E,E:E,险种!V:V,"&lt;=20210506"),1)</f>
        <v>0</v>
      </c>
      <c r="T117" s="65">
        <f>ROUND(SUMIFS(险种!Q:Q,险种!U:U,"有效",险种!E:E,E:E,险种!V:V,"&lt;=20210506"),1)</f>
        <v>0</v>
      </c>
      <c r="U117" s="65">
        <f>ROUND(SUMIFS(险种!Q:Q,险种!E:E,E:E,险种!V:V,"&lt;=20210510")-SUMIFS(险种!Q:Q,险种!U:U,"终止",险种!E:E,E:E,险种!V:V,"&lt;=20210510"),1)</f>
        <v>0</v>
      </c>
      <c r="V117" s="65">
        <f>ROUND(SUMIFS(险种!Q:Q,险种!U:U,"有效",险种!E:E,E:E,险种!V:V,"&lt;=20210510"),1)</f>
        <v>0</v>
      </c>
      <c r="W117" s="65">
        <f t="shared" si="1"/>
        <v>0</v>
      </c>
      <c r="X117" s="68">
        <f>SUMIF(险种!E:E,E:E,险种!Y:Y)</f>
        <v>0</v>
      </c>
      <c r="Y117" s="65">
        <f>MAX(_xlfn.IFS(OR(X:X=1,X:X=2),J:J*0.1,X:X&gt;=3,J:J*0.2,X:X=0,0),IF(J:J&gt;=20000,J:J*0.2,0))</f>
        <v>0</v>
      </c>
      <c r="Z117" s="65" t="str">
        <f>A117&amp;D117&amp;G117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凤台潘明月伙伴5.1-5.10预收价值保费0，首周预收3000P件数0件，预收拟加佣0元。温馨提示，保单需10日（含）前承保，目前还有0价值保费未承保,开单一件即可获得10%加佣</v>
      </c>
      <c r="AA117" s="68">
        <f>SUMIF(险种!E:E,E:E,险种!Z:Z)</f>
        <v>0</v>
      </c>
      <c r="AB117" s="65"/>
      <c r="AC117" s="68">
        <f>SUMIF(险种!E:E,E:E,险种!AA:AA)</f>
        <v>0</v>
      </c>
      <c r="AD117" s="68">
        <f>SUMIFS(险种!AA:AA,险种!U:U,"有效",险种!E:E,E:E)</f>
        <v>0</v>
      </c>
      <c r="AE117" s="68" t="str">
        <f>A117&amp;D117&amp;G117&amp;"目前获得"&amp;$AC$1&amp;AC:AC&amp;"名，获得"&amp;$AD$1&amp;AD:AD&amp;"名"</f>
        <v>凤台潘明月伙伴目前获得龙虾节预收名额0名，获得龙虾节承保名额0名</v>
      </c>
      <c r="AF117" s="68">
        <f>SUMIF(认购返还案!D:D,E:E,认购返还案!E:E)</f>
        <v>0</v>
      </c>
      <c r="AG117" s="68">
        <f>_xlfn.IFS(AND(U:U&gt;=3000,U:U&lt;5000),AF:AF*0.5,U:U&gt;=5000,AF:AF*1,U:U&lt;3000,0)</f>
        <v>0</v>
      </c>
      <c r="AH117" s="68">
        <f>_xlfn.IFS(AND(V:V&gt;=3000,V:V&lt;5000),AF:AF*0.5,V:V&gt;=5000,AF:AF*1,V:V&lt;3000,0)</f>
        <v>0</v>
      </c>
      <c r="AI117" s="68" t="str">
        <f>A:A&amp;D:D&amp;G:G&amp;$AF$1&amp;AF:AF&amp;"元，目前预收价值"&amp;U:U&amp;"，"&amp;$AG$1&amp;AG:AG&amp;"元，"&amp;$AH$1&amp;AH:AH&amp;"元"</f>
        <v>凤台潘明月伙伴冲锋队缴费金额0元，目前预收价值0，预收拟返还0元，承保拟返还0元</v>
      </c>
      <c r="AJ117" s="68">
        <f>SUMIF(保单!R:R,E:E,保单!BE:BE)*IF(AF:AF&gt;1,1,0)</f>
        <v>0</v>
      </c>
      <c r="AK117" s="68">
        <f>SUMIFS(保单!BE:BE,保单!R:R,E:E,保单!BB:BB,"有效")*IF(AF:AF&gt;1,1,0)</f>
        <v>0</v>
      </c>
      <c r="AL117" s="72" t="str">
        <f>A:A&amp;D:D&amp;G:G&amp;"只要在1-10日承保全部保单，即可获得"&amp;$AJ$1&amp;AJ:AJ&amp;"个"</f>
        <v>凤台潘明月伙伴只要在1-10日承保全部保单，即可获得冲锋队按摩仪0个</v>
      </c>
    </row>
    <row r="118" spans="1:38">
      <c r="A118" s="64" t="s">
        <v>27</v>
      </c>
      <c r="B118" s="64" t="s">
        <v>28</v>
      </c>
      <c r="C118" s="64" t="s">
        <v>29</v>
      </c>
      <c r="D118" s="64" t="s">
        <v>359</v>
      </c>
      <c r="E118" s="64">
        <v>6426198342</v>
      </c>
      <c r="F118" s="64" t="s">
        <v>174</v>
      </c>
      <c r="G118" s="64" t="str">
        <f>IF(OR(F:F="高级经理一级",F:F="业务经理一级"),"主管","伙伴")</f>
        <v>伙伴</v>
      </c>
      <c r="H118" s="65">
        <f>SUMIF(险种!E:E,E:E,险种!R:R)-SUMIFS(险种!R:R,险种!U:U,"终止",险种!E:E,E:E)</f>
        <v>0</v>
      </c>
      <c r="I118" s="65">
        <f>SUMIFS(险种!R:R,险种!U:U,"有效",险种!E:E,E:E)</f>
        <v>0</v>
      </c>
      <c r="J118" s="65">
        <f>ROUND(SUMIF(险种!E:E,E:E,险种!Q:Q)-SUMIFS(险种!Q:Q,险种!U:U,"终止",险种!E:E,E:E),1)</f>
        <v>0</v>
      </c>
      <c r="K118" s="68">
        <f>RANK(J118,J:J)</f>
        <v>22</v>
      </c>
      <c r="L118" s="65">
        <f>ROUND(SUMIFS(险种!Q:Q,险种!U:U,"有效",险种!E:E,E:E),1)</f>
        <v>0</v>
      </c>
      <c r="M118" s="68">
        <f>RANK(L118,L:L,)</f>
        <v>14</v>
      </c>
      <c r="N118" s="68">
        <f>SUMIF(险种!E:E,E:E,险种!W:W)</f>
        <v>0</v>
      </c>
      <c r="O118" s="68">
        <f>IF(N:N&gt;=1,1,0)</f>
        <v>0</v>
      </c>
      <c r="P118" s="65">
        <f>ROUND(SUMIFS(险种!Q:Q,险种!V:V,$P$1,险种!E:E,E:E),1)</f>
        <v>0</v>
      </c>
      <c r="Q118" s="68">
        <f>RANK(P118,$P:$P,0)-1</f>
        <v>5</v>
      </c>
      <c r="R118" s="68" t="str">
        <f>A:A&amp;D:D&amp;G:G&amp;"在"&amp;$P$1&amp;"预收"&amp;P:P&amp;"排名中支第"&amp;Q:Q&amp;"位"</f>
        <v>凤台谢齐安伙伴在20210509预收0排名中支第5位</v>
      </c>
      <c r="S118" s="65">
        <f>ROUND(SUMIFS(险种!Q:Q,险种!E:E,E:E,险种!V:V,"&lt;=20210506")-SUMIFS(险种!Q:Q,险种!U:U,"终止",险种!E:E,E:E,险种!V:V,"&lt;=20210506"),1)</f>
        <v>0</v>
      </c>
      <c r="T118" s="65">
        <f>ROUND(SUMIFS(险种!Q:Q,险种!U:U,"有效",险种!E:E,E:E,险种!V:V,"&lt;=20210506"),1)</f>
        <v>0</v>
      </c>
      <c r="U118" s="65">
        <f>ROUND(SUMIFS(险种!Q:Q,险种!E:E,E:E,险种!V:V,"&lt;=20210510")-SUMIFS(险种!Q:Q,险种!U:U,"终止",险种!E:E,E:E,险种!V:V,"&lt;=20210510"),1)</f>
        <v>0</v>
      </c>
      <c r="V118" s="65">
        <f>ROUND(SUMIFS(险种!Q:Q,险种!U:U,"有效",险种!E:E,E:E,险种!V:V,"&lt;=20210510"),1)</f>
        <v>0</v>
      </c>
      <c r="W118" s="65">
        <f t="shared" si="1"/>
        <v>0</v>
      </c>
      <c r="X118" s="68">
        <f>SUMIF(险种!E:E,E:E,险种!Y:Y)</f>
        <v>0</v>
      </c>
      <c r="Y118" s="65">
        <f>MAX(_xlfn.IFS(OR(X:X=1,X:X=2),J:J*0.1,X:X&gt;=3,J:J*0.2,X:X=0,0),IF(J:J&gt;=20000,J:J*0.2,0))</f>
        <v>0</v>
      </c>
      <c r="Z118" s="65" t="str">
        <f>A118&amp;D118&amp;G118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凤台谢齐安伙伴5.1-5.10预收价值保费0，首周预收3000P件数0件，预收拟加佣0元。温馨提示，保单需10日（含）前承保，目前还有0价值保费未承保,开单一件即可获得10%加佣</v>
      </c>
      <c r="AA118" s="68">
        <f>SUMIF(险种!E:E,E:E,险种!Z:Z)</f>
        <v>0</v>
      </c>
      <c r="AB118" s="65"/>
      <c r="AC118" s="68">
        <f>SUMIF(险种!E:E,E:E,险种!AA:AA)</f>
        <v>0</v>
      </c>
      <c r="AD118" s="68">
        <f>SUMIFS(险种!AA:AA,险种!U:U,"有效",险种!E:E,E:E)</f>
        <v>0</v>
      </c>
      <c r="AE118" s="68" t="str">
        <f>A118&amp;D118&amp;G118&amp;"目前获得"&amp;$AC$1&amp;AC:AC&amp;"名，获得"&amp;$AD$1&amp;AD:AD&amp;"名"</f>
        <v>凤台谢齐安伙伴目前获得龙虾节预收名额0名，获得龙虾节承保名额0名</v>
      </c>
      <c r="AF118" s="68">
        <f>SUMIF(认购返还案!D:D,E:E,认购返还案!E:E)</f>
        <v>0</v>
      </c>
      <c r="AG118" s="68">
        <f>_xlfn.IFS(AND(U:U&gt;=3000,U:U&lt;5000),AF:AF*0.5,U:U&gt;=5000,AF:AF*1,U:U&lt;3000,0)</f>
        <v>0</v>
      </c>
      <c r="AH118" s="68">
        <f>_xlfn.IFS(AND(V:V&gt;=3000,V:V&lt;5000),AF:AF*0.5,V:V&gt;=5000,AF:AF*1,V:V&lt;3000,0)</f>
        <v>0</v>
      </c>
      <c r="AI118" s="68" t="str">
        <f>A:A&amp;D:D&amp;G:G&amp;$AF$1&amp;AF:AF&amp;"元，目前预收价值"&amp;U:U&amp;"，"&amp;$AG$1&amp;AG:AG&amp;"元，"&amp;$AH$1&amp;AH:AH&amp;"元"</f>
        <v>凤台谢齐安伙伴冲锋队缴费金额0元，目前预收价值0，预收拟返还0元，承保拟返还0元</v>
      </c>
      <c r="AJ118" s="68">
        <f>SUMIF(保单!R:R,E:E,保单!BE:BE)*IF(AF:AF&gt;1,1,0)</f>
        <v>0</v>
      </c>
      <c r="AK118" s="68">
        <f>SUMIFS(保单!BE:BE,保单!R:R,E:E,保单!BB:BB,"有效")*IF(AF:AF&gt;1,1,0)</f>
        <v>0</v>
      </c>
      <c r="AL118" s="72" t="str">
        <f>A:A&amp;D:D&amp;G:G&amp;"只要在1-10日承保全部保单，即可获得"&amp;$AJ$1&amp;AJ:AJ&amp;"个"</f>
        <v>凤台谢齐安伙伴只要在1-10日承保全部保单，即可获得冲锋队按摩仪0个</v>
      </c>
    </row>
    <row r="119" spans="1:38">
      <c r="A119" s="64" t="s">
        <v>42</v>
      </c>
      <c r="B119" s="64" t="s">
        <v>66</v>
      </c>
      <c r="C119" s="64" t="s">
        <v>343</v>
      </c>
      <c r="D119" s="64" t="s">
        <v>360</v>
      </c>
      <c r="E119" s="64">
        <v>6425978032</v>
      </c>
      <c r="F119" s="64" t="s">
        <v>174</v>
      </c>
      <c r="G119" s="64" t="str">
        <f>IF(OR(F:F="高级经理一级",F:F="业务经理一级"),"主管","伙伴")</f>
        <v>伙伴</v>
      </c>
      <c r="H119" s="65">
        <f>SUMIF(险种!E:E,E:E,险种!R:R)-SUMIFS(险种!R:R,险种!U:U,"终止",险种!E:E,E:E)</f>
        <v>0</v>
      </c>
      <c r="I119" s="65">
        <f>SUMIFS(险种!R:R,险种!U:U,"有效",险种!E:E,E:E)</f>
        <v>0</v>
      </c>
      <c r="J119" s="65">
        <f>ROUND(SUMIF(险种!E:E,E:E,险种!Q:Q)-SUMIFS(险种!Q:Q,险种!U:U,"终止",险种!E:E,E:E),1)</f>
        <v>0</v>
      </c>
      <c r="K119" s="68">
        <f>RANK(J119,J:J)</f>
        <v>22</v>
      </c>
      <c r="L119" s="65">
        <f>ROUND(SUMIFS(险种!Q:Q,险种!U:U,"有效",险种!E:E,E:E),1)</f>
        <v>0</v>
      </c>
      <c r="M119" s="68">
        <f>RANK(L119,L:L,)</f>
        <v>14</v>
      </c>
      <c r="N119" s="68">
        <f>SUMIF(险种!E:E,E:E,险种!W:W)</f>
        <v>0</v>
      </c>
      <c r="O119" s="68">
        <f>IF(N:N&gt;=1,1,0)</f>
        <v>0</v>
      </c>
      <c r="P119" s="65">
        <f>ROUND(SUMIFS(险种!Q:Q,险种!V:V,$P$1,险种!E:E,E:E),1)</f>
        <v>0</v>
      </c>
      <c r="Q119" s="68">
        <f>RANK(P119,$P:$P,0)-1</f>
        <v>5</v>
      </c>
      <c r="R119" s="68" t="str">
        <f>A:A&amp;D:D&amp;G:G&amp;"在"&amp;$P$1&amp;"预收"&amp;P:P&amp;"排名中支第"&amp;Q:Q&amp;"位"</f>
        <v>淮南本部范春霞伙伴在20210509预收0排名中支第5位</v>
      </c>
      <c r="S119" s="65">
        <f>ROUND(SUMIFS(险种!Q:Q,险种!E:E,E:E,险种!V:V,"&lt;=20210506")-SUMIFS(险种!Q:Q,险种!U:U,"终止",险种!E:E,E:E,险种!V:V,"&lt;=20210506"),1)</f>
        <v>0</v>
      </c>
      <c r="T119" s="65">
        <f>ROUND(SUMIFS(险种!Q:Q,险种!U:U,"有效",险种!E:E,E:E,险种!V:V,"&lt;=20210506"),1)</f>
        <v>0</v>
      </c>
      <c r="U119" s="65">
        <f>ROUND(SUMIFS(险种!Q:Q,险种!E:E,E:E,险种!V:V,"&lt;=20210510")-SUMIFS(险种!Q:Q,险种!U:U,"终止",险种!E:E,E:E,险种!V:V,"&lt;=20210510"),1)</f>
        <v>0</v>
      </c>
      <c r="V119" s="65">
        <f>ROUND(SUMIFS(险种!Q:Q,险种!U:U,"有效",险种!E:E,E:E,险种!V:V,"&lt;=20210510"),1)</f>
        <v>0</v>
      </c>
      <c r="W119" s="65">
        <f t="shared" si="1"/>
        <v>0</v>
      </c>
      <c r="X119" s="68">
        <f>SUMIF(险种!E:E,E:E,险种!Y:Y)</f>
        <v>0</v>
      </c>
      <c r="Y119" s="65">
        <f>MAX(_xlfn.IFS(OR(X:X=1,X:X=2),J:J*0.1,X:X&gt;=3,J:J*0.2,X:X=0,0),IF(J:J&gt;=20000,J:J*0.2,0))</f>
        <v>0</v>
      </c>
      <c r="Z119" s="65" t="str">
        <f>A119&amp;D119&amp;G119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淮南本部范春霞伙伴5.1-5.10预收价值保费0，首周预收3000P件数0件，预收拟加佣0元。温馨提示，保单需10日（含）前承保，目前还有0价值保费未承保,开单一件即可获得10%加佣</v>
      </c>
      <c r="AA119" s="68">
        <f>SUMIF(险种!E:E,E:E,险种!Z:Z)</f>
        <v>0</v>
      </c>
      <c r="AB119" s="65"/>
      <c r="AC119" s="68">
        <f>SUMIF(险种!E:E,E:E,险种!AA:AA)</f>
        <v>0</v>
      </c>
      <c r="AD119" s="68">
        <f>SUMIFS(险种!AA:AA,险种!U:U,"有效",险种!E:E,E:E)</f>
        <v>0</v>
      </c>
      <c r="AE119" s="68" t="str">
        <f>A119&amp;D119&amp;G119&amp;"目前获得"&amp;$AC$1&amp;AC:AC&amp;"名，获得"&amp;$AD$1&amp;AD:AD&amp;"名"</f>
        <v>淮南本部范春霞伙伴目前获得龙虾节预收名额0名，获得龙虾节承保名额0名</v>
      </c>
      <c r="AF119" s="68">
        <f>SUMIF(认购返还案!D:D,E:E,认购返还案!E:E)</f>
        <v>0</v>
      </c>
      <c r="AG119" s="68">
        <f>_xlfn.IFS(AND(U:U&gt;=3000,U:U&lt;5000),AF:AF*0.5,U:U&gt;=5000,AF:AF*1,U:U&lt;3000,0)</f>
        <v>0</v>
      </c>
      <c r="AH119" s="68">
        <f>_xlfn.IFS(AND(V:V&gt;=3000,V:V&lt;5000),AF:AF*0.5,V:V&gt;=5000,AF:AF*1,V:V&lt;3000,0)</f>
        <v>0</v>
      </c>
      <c r="AI119" s="68" t="str">
        <f>A:A&amp;D:D&amp;G:G&amp;$AF$1&amp;AF:AF&amp;"元，目前预收价值"&amp;U:U&amp;"，"&amp;$AG$1&amp;AG:AG&amp;"元，"&amp;$AH$1&amp;AH:AH&amp;"元"</f>
        <v>淮南本部范春霞伙伴冲锋队缴费金额0元，目前预收价值0，预收拟返还0元，承保拟返还0元</v>
      </c>
      <c r="AJ119" s="68">
        <f>SUMIF(保单!R:R,E:E,保单!BE:BE)*IF(AF:AF&gt;1,1,0)</f>
        <v>0</v>
      </c>
      <c r="AK119" s="68">
        <f>SUMIFS(保单!BE:BE,保单!R:R,E:E,保单!BB:BB,"有效")*IF(AF:AF&gt;1,1,0)</f>
        <v>0</v>
      </c>
      <c r="AL119" s="72" t="str">
        <f>A:A&amp;D:D&amp;G:G&amp;"只要在1-10日承保全部保单，即可获得"&amp;$AJ$1&amp;AJ:AJ&amp;"个"</f>
        <v>淮南本部范春霞伙伴只要在1-10日承保全部保单，即可获得冲锋队按摩仪0个</v>
      </c>
    </row>
    <row r="120" spans="1:38">
      <c r="A120" s="64" t="s">
        <v>42</v>
      </c>
      <c r="B120" s="64" t="s">
        <v>62</v>
      </c>
      <c r="C120" s="64" t="s">
        <v>108</v>
      </c>
      <c r="D120" s="64" t="s">
        <v>361</v>
      </c>
      <c r="E120" s="64">
        <v>6425913712</v>
      </c>
      <c r="F120" s="64" t="s">
        <v>174</v>
      </c>
      <c r="G120" s="64" t="str">
        <f>IF(OR(F:F="高级经理一级",F:F="业务经理一级"),"主管","伙伴")</f>
        <v>伙伴</v>
      </c>
      <c r="H120" s="65">
        <f>SUMIF(险种!E:E,E:E,险种!R:R)-SUMIFS(险种!R:R,险种!U:U,"终止",险种!E:E,E:E)</f>
        <v>0</v>
      </c>
      <c r="I120" s="65">
        <f>SUMIFS(险种!R:R,险种!U:U,"有效",险种!E:E,E:E)</f>
        <v>0</v>
      </c>
      <c r="J120" s="65">
        <f>ROUND(SUMIF(险种!E:E,E:E,险种!Q:Q)-SUMIFS(险种!Q:Q,险种!U:U,"终止",险种!E:E,E:E),1)</f>
        <v>0</v>
      </c>
      <c r="K120" s="68">
        <f>RANK(J120,J:J)</f>
        <v>22</v>
      </c>
      <c r="L120" s="65">
        <f>ROUND(SUMIFS(险种!Q:Q,险种!U:U,"有效",险种!E:E,E:E),1)</f>
        <v>0</v>
      </c>
      <c r="M120" s="68">
        <f>RANK(L120,L:L,)</f>
        <v>14</v>
      </c>
      <c r="N120" s="68">
        <f>SUMIF(险种!E:E,E:E,险种!W:W)</f>
        <v>0</v>
      </c>
      <c r="O120" s="68">
        <f>IF(N:N&gt;=1,1,0)</f>
        <v>0</v>
      </c>
      <c r="P120" s="65">
        <f>ROUND(SUMIFS(险种!Q:Q,险种!V:V,$P$1,险种!E:E,E:E),1)</f>
        <v>0</v>
      </c>
      <c r="Q120" s="68">
        <f>RANK(P120,$P:$P,0)-1</f>
        <v>5</v>
      </c>
      <c r="R120" s="68" t="str">
        <f>A:A&amp;D:D&amp;G:G&amp;"在"&amp;$P$1&amp;"预收"&amp;P:P&amp;"排名中支第"&amp;Q:Q&amp;"位"</f>
        <v>淮南本部陶莎伙伴在20210509预收0排名中支第5位</v>
      </c>
      <c r="S120" s="65">
        <f>ROUND(SUMIFS(险种!Q:Q,险种!E:E,E:E,险种!V:V,"&lt;=20210506")-SUMIFS(险种!Q:Q,险种!U:U,"终止",险种!E:E,E:E,险种!V:V,"&lt;=20210506"),1)</f>
        <v>0</v>
      </c>
      <c r="T120" s="65">
        <f>ROUND(SUMIFS(险种!Q:Q,险种!U:U,"有效",险种!E:E,E:E,险种!V:V,"&lt;=20210506"),1)</f>
        <v>0</v>
      </c>
      <c r="U120" s="65">
        <f>ROUND(SUMIFS(险种!Q:Q,险种!E:E,E:E,险种!V:V,"&lt;=20210510")-SUMIFS(险种!Q:Q,险种!U:U,"终止",险种!E:E,E:E,险种!V:V,"&lt;=20210510"),1)</f>
        <v>0</v>
      </c>
      <c r="V120" s="65">
        <f>ROUND(SUMIFS(险种!Q:Q,险种!U:U,"有效",险种!E:E,E:E,险种!V:V,"&lt;=20210510"),1)</f>
        <v>0</v>
      </c>
      <c r="W120" s="65">
        <f t="shared" si="1"/>
        <v>0</v>
      </c>
      <c r="X120" s="68">
        <f>SUMIF(险种!E:E,E:E,险种!Y:Y)</f>
        <v>0</v>
      </c>
      <c r="Y120" s="65">
        <f>MAX(_xlfn.IFS(OR(X:X=1,X:X=2),J:J*0.1,X:X&gt;=3,J:J*0.2,X:X=0,0),IF(J:J&gt;=20000,J:J*0.2,0))</f>
        <v>0</v>
      </c>
      <c r="Z120" s="65" t="str">
        <f>A120&amp;D120&amp;G120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淮南本部陶莎伙伴5.1-5.10预收价值保费0，首周预收3000P件数0件，预收拟加佣0元。温馨提示，保单需10日（含）前承保，目前还有0价值保费未承保,开单一件即可获得10%加佣</v>
      </c>
      <c r="AA120" s="68">
        <f>SUMIF(险种!E:E,E:E,险种!Z:Z)</f>
        <v>0</v>
      </c>
      <c r="AB120" s="65"/>
      <c r="AC120" s="68">
        <f>SUMIF(险种!E:E,E:E,险种!AA:AA)</f>
        <v>0</v>
      </c>
      <c r="AD120" s="68">
        <f>SUMIFS(险种!AA:AA,险种!U:U,"有效",险种!E:E,E:E)</f>
        <v>0</v>
      </c>
      <c r="AE120" s="68" t="str">
        <f>A120&amp;D120&amp;G120&amp;"目前获得"&amp;$AC$1&amp;AC:AC&amp;"名，获得"&amp;$AD$1&amp;AD:AD&amp;"名"</f>
        <v>淮南本部陶莎伙伴目前获得龙虾节预收名额0名，获得龙虾节承保名额0名</v>
      </c>
      <c r="AF120" s="68">
        <f>SUMIF(认购返还案!D:D,E:E,认购返还案!E:E)</f>
        <v>0</v>
      </c>
      <c r="AG120" s="68">
        <f>_xlfn.IFS(AND(U:U&gt;=3000,U:U&lt;5000),AF:AF*0.5,U:U&gt;=5000,AF:AF*1,U:U&lt;3000,0)</f>
        <v>0</v>
      </c>
      <c r="AH120" s="68">
        <f>_xlfn.IFS(AND(V:V&gt;=3000,V:V&lt;5000),AF:AF*0.5,V:V&gt;=5000,AF:AF*1,V:V&lt;3000,0)</f>
        <v>0</v>
      </c>
      <c r="AI120" s="68" t="str">
        <f>A:A&amp;D:D&amp;G:G&amp;$AF$1&amp;AF:AF&amp;"元，目前预收价值"&amp;U:U&amp;"，"&amp;$AG$1&amp;AG:AG&amp;"元，"&amp;$AH$1&amp;AH:AH&amp;"元"</f>
        <v>淮南本部陶莎伙伴冲锋队缴费金额0元，目前预收价值0，预收拟返还0元，承保拟返还0元</v>
      </c>
      <c r="AJ120" s="68">
        <f>SUMIF(保单!R:R,E:E,保单!BE:BE)*IF(AF:AF&gt;1,1,0)</f>
        <v>0</v>
      </c>
      <c r="AK120" s="68">
        <f>SUMIFS(保单!BE:BE,保单!R:R,E:E,保单!BB:BB,"有效")*IF(AF:AF&gt;1,1,0)</f>
        <v>0</v>
      </c>
      <c r="AL120" s="72" t="str">
        <f>A:A&amp;D:D&amp;G:G&amp;"只要在1-10日承保全部保单，即可获得"&amp;$AJ$1&amp;AJ:AJ&amp;"个"</f>
        <v>淮南本部陶莎伙伴只要在1-10日承保全部保单，即可获得冲锋队按摩仪0个</v>
      </c>
    </row>
    <row r="121" spans="1:38">
      <c r="A121" s="64" t="s">
        <v>42</v>
      </c>
      <c r="B121" s="64" t="s">
        <v>62</v>
      </c>
      <c r="C121" s="64" t="s">
        <v>63</v>
      </c>
      <c r="D121" s="64" t="s">
        <v>362</v>
      </c>
      <c r="E121" s="64">
        <v>6425876532</v>
      </c>
      <c r="F121" s="64" t="s">
        <v>168</v>
      </c>
      <c r="G121" s="64" t="str">
        <f>IF(OR(F:F="高级经理一级",F:F="业务经理一级"),"主管","伙伴")</f>
        <v>伙伴</v>
      </c>
      <c r="H121" s="65">
        <f>SUMIF(险种!E:E,E:E,险种!R:R)-SUMIFS(险种!R:R,险种!U:U,"终止",险种!E:E,E:E)</f>
        <v>0</v>
      </c>
      <c r="I121" s="65">
        <f>SUMIFS(险种!R:R,险种!U:U,"有效",险种!E:E,E:E)</f>
        <v>0</v>
      </c>
      <c r="J121" s="65">
        <f>ROUND(SUMIF(险种!E:E,E:E,险种!Q:Q)-SUMIFS(险种!Q:Q,险种!U:U,"终止",险种!E:E,E:E),1)</f>
        <v>0</v>
      </c>
      <c r="K121" s="68">
        <f>RANK(J121,J:J)</f>
        <v>22</v>
      </c>
      <c r="L121" s="65">
        <f>ROUND(SUMIFS(险种!Q:Q,险种!U:U,"有效",险种!E:E,E:E),1)</f>
        <v>0</v>
      </c>
      <c r="M121" s="68">
        <f>RANK(L121,L:L,)</f>
        <v>14</v>
      </c>
      <c r="N121" s="68">
        <f>SUMIF(险种!E:E,E:E,险种!W:W)</f>
        <v>0</v>
      </c>
      <c r="O121" s="68">
        <f>IF(N:N&gt;=1,1,0)</f>
        <v>0</v>
      </c>
      <c r="P121" s="65">
        <f>ROUND(SUMIFS(险种!Q:Q,险种!V:V,$P$1,险种!E:E,E:E),1)</f>
        <v>0</v>
      </c>
      <c r="Q121" s="68">
        <f>RANK(P121,$P:$P,0)-1</f>
        <v>5</v>
      </c>
      <c r="R121" s="68" t="str">
        <f>A:A&amp;D:D&amp;G:G&amp;"在"&amp;$P$1&amp;"预收"&amp;P:P&amp;"排名中支第"&amp;Q:Q&amp;"位"</f>
        <v>淮南本部刘翠伙伴在20210509预收0排名中支第5位</v>
      </c>
      <c r="S121" s="65">
        <f>ROUND(SUMIFS(险种!Q:Q,险种!E:E,E:E,险种!V:V,"&lt;=20210506")-SUMIFS(险种!Q:Q,险种!U:U,"终止",险种!E:E,E:E,险种!V:V,"&lt;=20210506"),1)</f>
        <v>0</v>
      </c>
      <c r="T121" s="65">
        <f>ROUND(SUMIFS(险种!Q:Q,险种!U:U,"有效",险种!E:E,E:E,险种!V:V,"&lt;=20210506"),1)</f>
        <v>0</v>
      </c>
      <c r="U121" s="65">
        <f>ROUND(SUMIFS(险种!Q:Q,险种!E:E,E:E,险种!V:V,"&lt;=20210510")-SUMIFS(险种!Q:Q,险种!U:U,"终止",险种!E:E,E:E,险种!V:V,"&lt;=20210510"),1)</f>
        <v>0</v>
      </c>
      <c r="V121" s="65">
        <f>ROUND(SUMIFS(险种!Q:Q,险种!U:U,"有效",险种!E:E,E:E,险种!V:V,"&lt;=20210510"),1)</f>
        <v>0</v>
      </c>
      <c r="W121" s="65">
        <f t="shared" si="1"/>
        <v>0</v>
      </c>
      <c r="X121" s="68">
        <f>SUMIF(险种!E:E,E:E,险种!Y:Y)</f>
        <v>0</v>
      </c>
      <c r="Y121" s="65">
        <f>MAX(_xlfn.IFS(OR(X:X=1,X:X=2),J:J*0.1,X:X&gt;=3,J:J*0.2,X:X=0,0),IF(J:J&gt;=20000,J:J*0.2,0))</f>
        <v>0</v>
      </c>
      <c r="Z121" s="65" t="str">
        <f>A121&amp;D121&amp;G121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淮南本部刘翠伙伴5.1-5.10预收价值保费0，首周预收3000P件数0件，预收拟加佣0元。温馨提示，保单需10日（含）前承保，目前还有0价值保费未承保,开单一件即可获得10%加佣</v>
      </c>
      <c r="AA121" s="68">
        <f>SUMIF(险种!E:E,E:E,险种!Z:Z)</f>
        <v>0</v>
      </c>
      <c r="AB121" s="65"/>
      <c r="AC121" s="68">
        <f>SUMIF(险种!E:E,E:E,险种!AA:AA)</f>
        <v>0</v>
      </c>
      <c r="AD121" s="68">
        <f>SUMIFS(险种!AA:AA,险种!U:U,"有效",险种!E:E,E:E)</f>
        <v>0</v>
      </c>
      <c r="AE121" s="68" t="str">
        <f>A121&amp;D121&amp;G121&amp;"目前获得"&amp;$AC$1&amp;AC:AC&amp;"名，获得"&amp;$AD$1&amp;AD:AD&amp;"名"</f>
        <v>淮南本部刘翠伙伴目前获得龙虾节预收名额0名，获得龙虾节承保名额0名</v>
      </c>
      <c r="AF121" s="68">
        <f>SUMIF(认购返还案!D:D,E:E,认购返还案!E:E)</f>
        <v>200</v>
      </c>
      <c r="AG121" s="68">
        <f>_xlfn.IFS(AND(U:U&gt;=3000,U:U&lt;5000),AF:AF*0.5,U:U&gt;=5000,AF:AF*1,U:U&lt;3000,0)</f>
        <v>0</v>
      </c>
      <c r="AH121" s="68">
        <f>_xlfn.IFS(AND(V:V&gt;=3000,V:V&lt;5000),AF:AF*0.5,V:V&gt;=5000,AF:AF*1,V:V&lt;3000,0)</f>
        <v>0</v>
      </c>
      <c r="AI121" s="68" t="str">
        <f>A:A&amp;D:D&amp;G:G&amp;$AF$1&amp;AF:AF&amp;"元，目前预收价值"&amp;U:U&amp;"，"&amp;$AG$1&amp;AG:AG&amp;"元，"&amp;$AH$1&amp;AH:AH&amp;"元"</f>
        <v>淮南本部刘翠伙伴冲锋队缴费金额200元，目前预收价值0，预收拟返还0元，承保拟返还0元</v>
      </c>
      <c r="AJ121" s="68">
        <f>SUMIF(保单!R:R,E:E,保单!BE:BE)*IF(AF:AF&gt;1,1,0)</f>
        <v>0</v>
      </c>
      <c r="AK121" s="68">
        <f>SUMIFS(保单!BE:BE,保单!R:R,E:E,保单!BB:BB,"有效")*IF(AF:AF&gt;1,1,0)</f>
        <v>0</v>
      </c>
      <c r="AL121" s="72" t="str">
        <f>A:A&amp;D:D&amp;G:G&amp;"只要在1-10日承保全部保单，即可获得"&amp;$AJ$1&amp;AJ:AJ&amp;"个"</f>
        <v>淮南本部刘翠伙伴只要在1-10日承保全部保单，即可获得冲锋队按摩仪0个</v>
      </c>
    </row>
    <row r="122" spans="1:38">
      <c r="A122" s="64" t="s">
        <v>48</v>
      </c>
      <c r="B122" s="64" t="s">
        <v>49</v>
      </c>
      <c r="C122" s="64" t="s">
        <v>82</v>
      </c>
      <c r="D122" s="64" t="s">
        <v>363</v>
      </c>
      <c r="E122" s="64">
        <v>6425827582</v>
      </c>
      <c r="F122" s="64" t="s">
        <v>174</v>
      </c>
      <c r="G122" s="64" t="str">
        <f>IF(OR(F:F="高级经理一级",F:F="业务经理一级"),"主管","伙伴")</f>
        <v>伙伴</v>
      </c>
      <c r="H122" s="65">
        <f>SUMIF(险种!E:E,E:E,险种!R:R)-SUMIFS(险种!R:R,险种!U:U,"终止",险种!E:E,E:E)</f>
        <v>0</v>
      </c>
      <c r="I122" s="65">
        <f>SUMIFS(险种!R:R,险种!U:U,"有效",险种!E:E,E:E)</f>
        <v>0</v>
      </c>
      <c r="J122" s="65">
        <f>ROUND(SUMIF(险种!E:E,E:E,险种!Q:Q)-SUMIFS(险种!Q:Q,险种!U:U,"终止",险种!E:E,E:E),1)</f>
        <v>0</v>
      </c>
      <c r="K122" s="68">
        <f>RANK(J122,J:J)</f>
        <v>22</v>
      </c>
      <c r="L122" s="65">
        <f>ROUND(SUMIFS(险种!Q:Q,险种!U:U,"有效",险种!E:E,E:E),1)</f>
        <v>0</v>
      </c>
      <c r="M122" s="68">
        <f>RANK(L122,L:L,)</f>
        <v>14</v>
      </c>
      <c r="N122" s="68">
        <f>SUMIF(险种!E:E,E:E,险种!W:W)</f>
        <v>0</v>
      </c>
      <c r="O122" s="68">
        <f>IF(N:N&gt;=1,1,0)</f>
        <v>0</v>
      </c>
      <c r="P122" s="65">
        <f>ROUND(SUMIFS(险种!Q:Q,险种!V:V,$P$1,险种!E:E,E:E),1)</f>
        <v>0</v>
      </c>
      <c r="Q122" s="68">
        <f>RANK(P122,$P:$P,0)-1</f>
        <v>5</v>
      </c>
      <c r="R122" s="68" t="str">
        <f>A:A&amp;D:D&amp;G:G&amp;"在"&amp;$P$1&amp;"预收"&amp;P:P&amp;"排名中支第"&amp;Q:Q&amp;"位"</f>
        <v>谢家集陈苗苗伙伴在20210509预收0排名中支第5位</v>
      </c>
      <c r="S122" s="65">
        <f>ROUND(SUMIFS(险种!Q:Q,险种!E:E,E:E,险种!V:V,"&lt;=20210506")-SUMIFS(险种!Q:Q,险种!U:U,"终止",险种!E:E,E:E,险种!V:V,"&lt;=20210506"),1)</f>
        <v>0</v>
      </c>
      <c r="T122" s="65">
        <f>ROUND(SUMIFS(险种!Q:Q,险种!U:U,"有效",险种!E:E,E:E,险种!V:V,"&lt;=20210506"),1)</f>
        <v>0</v>
      </c>
      <c r="U122" s="65">
        <f>ROUND(SUMIFS(险种!Q:Q,险种!E:E,E:E,险种!V:V,"&lt;=20210510")-SUMIFS(险种!Q:Q,险种!U:U,"终止",险种!E:E,E:E,险种!V:V,"&lt;=20210510"),1)</f>
        <v>0</v>
      </c>
      <c r="V122" s="65">
        <f>ROUND(SUMIFS(险种!Q:Q,险种!U:U,"有效",险种!E:E,E:E,险种!V:V,"&lt;=20210510"),1)</f>
        <v>0</v>
      </c>
      <c r="W122" s="65">
        <f t="shared" si="1"/>
        <v>0</v>
      </c>
      <c r="X122" s="68">
        <f>SUMIF(险种!E:E,E:E,险种!Y:Y)</f>
        <v>0</v>
      </c>
      <c r="Y122" s="65">
        <f>MAX(_xlfn.IFS(OR(X:X=1,X:X=2),J:J*0.1,X:X&gt;=3,J:J*0.2,X:X=0,0),IF(J:J&gt;=20000,J:J*0.2,0))</f>
        <v>0</v>
      </c>
      <c r="Z122" s="65" t="str">
        <f>A122&amp;D122&amp;G122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谢家集陈苗苗伙伴5.1-5.10预收价值保费0，首周预收3000P件数0件，预收拟加佣0元。温馨提示，保单需10日（含）前承保，目前还有0价值保费未承保,开单一件即可获得10%加佣</v>
      </c>
      <c r="AA122" s="68">
        <f>SUMIF(险种!E:E,E:E,险种!Z:Z)</f>
        <v>0</v>
      </c>
      <c r="AB122" s="65"/>
      <c r="AC122" s="68">
        <f>SUMIF(险种!E:E,E:E,险种!AA:AA)</f>
        <v>0</v>
      </c>
      <c r="AD122" s="68">
        <f>SUMIFS(险种!AA:AA,险种!U:U,"有效",险种!E:E,E:E)</f>
        <v>0</v>
      </c>
      <c r="AE122" s="68" t="str">
        <f>A122&amp;D122&amp;G122&amp;"目前获得"&amp;$AC$1&amp;AC:AC&amp;"名，获得"&amp;$AD$1&amp;AD:AD&amp;"名"</f>
        <v>谢家集陈苗苗伙伴目前获得龙虾节预收名额0名，获得龙虾节承保名额0名</v>
      </c>
      <c r="AF122" s="68">
        <f>SUMIF(认购返还案!D:D,E:E,认购返还案!E:E)</f>
        <v>0</v>
      </c>
      <c r="AG122" s="68">
        <f>_xlfn.IFS(AND(U:U&gt;=3000,U:U&lt;5000),AF:AF*0.5,U:U&gt;=5000,AF:AF*1,U:U&lt;3000,0)</f>
        <v>0</v>
      </c>
      <c r="AH122" s="68">
        <f>_xlfn.IFS(AND(V:V&gt;=3000,V:V&lt;5000),AF:AF*0.5,V:V&gt;=5000,AF:AF*1,V:V&lt;3000,0)</f>
        <v>0</v>
      </c>
      <c r="AI122" s="68" t="str">
        <f>A:A&amp;D:D&amp;G:G&amp;$AF$1&amp;AF:AF&amp;"元，目前预收价值"&amp;U:U&amp;"，"&amp;$AG$1&amp;AG:AG&amp;"元，"&amp;$AH$1&amp;AH:AH&amp;"元"</f>
        <v>谢家集陈苗苗伙伴冲锋队缴费金额0元，目前预收价值0，预收拟返还0元，承保拟返还0元</v>
      </c>
      <c r="AJ122" s="68">
        <f>SUMIF(保单!R:R,E:E,保单!BE:BE)*IF(AF:AF&gt;1,1,0)</f>
        <v>0</v>
      </c>
      <c r="AK122" s="68">
        <f>SUMIFS(保单!BE:BE,保单!R:R,E:E,保单!BB:BB,"有效")*IF(AF:AF&gt;1,1,0)</f>
        <v>0</v>
      </c>
      <c r="AL122" s="72" t="str">
        <f>A:A&amp;D:D&amp;G:G&amp;"只要在1-10日承保全部保单，即可获得"&amp;$AJ$1&amp;AJ:AJ&amp;"个"</f>
        <v>谢家集陈苗苗伙伴只要在1-10日承保全部保单，即可获得冲锋队按摩仪0个</v>
      </c>
    </row>
    <row r="123" spans="1:38">
      <c r="A123" s="64" t="s">
        <v>27</v>
      </c>
      <c r="B123" s="64" t="s">
        <v>94</v>
      </c>
      <c r="C123" s="64" t="s">
        <v>95</v>
      </c>
      <c r="D123" s="64" t="s">
        <v>364</v>
      </c>
      <c r="E123" s="64">
        <v>6425757792</v>
      </c>
      <c r="F123" s="64" t="s">
        <v>174</v>
      </c>
      <c r="G123" s="64" t="str">
        <f>IF(OR(F:F="高级经理一级",F:F="业务经理一级"),"主管","伙伴")</f>
        <v>伙伴</v>
      </c>
      <c r="H123" s="65">
        <f>SUMIF(险种!E:E,E:E,险种!R:R)-SUMIFS(险种!R:R,险种!U:U,"终止",险种!E:E,E:E)</f>
        <v>0</v>
      </c>
      <c r="I123" s="65">
        <f>SUMIFS(险种!R:R,险种!U:U,"有效",险种!E:E,E:E)</f>
        <v>0</v>
      </c>
      <c r="J123" s="65">
        <f>ROUND(SUMIF(险种!E:E,E:E,险种!Q:Q)-SUMIFS(险种!Q:Q,险种!U:U,"终止",险种!E:E,E:E),1)</f>
        <v>0</v>
      </c>
      <c r="K123" s="68">
        <f>RANK(J123,J:J)</f>
        <v>22</v>
      </c>
      <c r="L123" s="65">
        <f>ROUND(SUMIFS(险种!Q:Q,险种!U:U,"有效",险种!E:E,E:E),1)</f>
        <v>0</v>
      </c>
      <c r="M123" s="68">
        <f>RANK(L123,L:L,)</f>
        <v>14</v>
      </c>
      <c r="N123" s="68">
        <f>SUMIF(险种!E:E,E:E,险种!W:W)</f>
        <v>0</v>
      </c>
      <c r="O123" s="68">
        <f>IF(N:N&gt;=1,1,0)</f>
        <v>0</v>
      </c>
      <c r="P123" s="65">
        <f>ROUND(SUMIFS(险种!Q:Q,险种!V:V,$P$1,险种!E:E,E:E),1)</f>
        <v>0</v>
      </c>
      <c r="Q123" s="68">
        <f>RANK(P123,$P:$P,0)-1</f>
        <v>5</v>
      </c>
      <c r="R123" s="68" t="str">
        <f>A:A&amp;D:D&amp;G:G&amp;"在"&amp;$P$1&amp;"预收"&amp;P:P&amp;"排名中支第"&amp;Q:Q&amp;"位"</f>
        <v>凤台石秀凤伙伴在20210509预收0排名中支第5位</v>
      </c>
      <c r="S123" s="65">
        <f>ROUND(SUMIFS(险种!Q:Q,险种!E:E,E:E,险种!V:V,"&lt;=20210506")-SUMIFS(险种!Q:Q,险种!U:U,"终止",险种!E:E,E:E,险种!V:V,"&lt;=20210506"),1)</f>
        <v>0</v>
      </c>
      <c r="T123" s="65">
        <f>ROUND(SUMIFS(险种!Q:Q,险种!U:U,"有效",险种!E:E,E:E,险种!V:V,"&lt;=20210506"),1)</f>
        <v>0</v>
      </c>
      <c r="U123" s="65">
        <f>ROUND(SUMIFS(险种!Q:Q,险种!E:E,E:E,险种!V:V,"&lt;=20210510")-SUMIFS(险种!Q:Q,险种!U:U,"终止",险种!E:E,E:E,险种!V:V,"&lt;=20210510"),1)</f>
        <v>0</v>
      </c>
      <c r="V123" s="65">
        <f>ROUND(SUMIFS(险种!Q:Q,险种!U:U,"有效",险种!E:E,E:E,险种!V:V,"&lt;=20210510"),1)</f>
        <v>0</v>
      </c>
      <c r="W123" s="65">
        <f t="shared" si="1"/>
        <v>0</v>
      </c>
      <c r="X123" s="68">
        <f>SUMIF(险种!E:E,E:E,险种!Y:Y)</f>
        <v>0</v>
      </c>
      <c r="Y123" s="65">
        <f>MAX(_xlfn.IFS(OR(X:X=1,X:X=2),J:J*0.1,X:X&gt;=3,J:J*0.2,X:X=0,0),IF(J:J&gt;=20000,J:J*0.2,0))</f>
        <v>0</v>
      </c>
      <c r="Z123" s="65" t="str">
        <f>A123&amp;D123&amp;G123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凤台石秀凤伙伴5.1-5.10预收价值保费0，首周预收3000P件数0件，预收拟加佣0元。温馨提示，保单需10日（含）前承保，目前还有0价值保费未承保,开单一件即可获得10%加佣</v>
      </c>
      <c r="AA123" s="68">
        <f>SUMIF(险种!E:E,E:E,险种!Z:Z)</f>
        <v>0</v>
      </c>
      <c r="AB123" s="65"/>
      <c r="AC123" s="68">
        <f>SUMIF(险种!E:E,E:E,险种!AA:AA)</f>
        <v>0</v>
      </c>
      <c r="AD123" s="68">
        <f>SUMIFS(险种!AA:AA,险种!U:U,"有效",险种!E:E,E:E)</f>
        <v>0</v>
      </c>
      <c r="AE123" s="68" t="str">
        <f>A123&amp;D123&amp;G123&amp;"目前获得"&amp;$AC$1&amp;AC:AC&amp;"名，获得"&amp;$AD$1&amp;AD:AD&amp;"名"</f>
        <v>凤台石秀凤伙伴目前获得龙虾节预收名额0名，获得龙虾节承保名额0名</v>
      </c>
      <c r="AF123" s="68">
        <f>SUMIF(认购返还案!D:D,E:E,认购返还案!E:E)</f>
        <v>0</v>
      </c>
      <c r="AG123" s="68">
        <f>_xlfn.IFS(AND(U:U&gt;=3000,U:U&lt;5000),AF:AF*0.5,U:U&gt;=5000,AF:AF*1,U:U&lt;3000,0)</f>
        <v>0</v>
      </c>
      <c r="AH123" s="68">
        <f>_xlfn.IFS(AND(V:V&gt;=3000,V:V&lt;5000),AF:AF*0.5,V:V&gt;=5000,AF:AF*1,V:V&lt;3000,0)</f>
        <v>0</v>
      </c>
      <c r="AI123" s="68" t="str">
        <f>A:A&amp;D:D&amp;G:G&amp;$AF$1&amp;AF:AF&amp;"元，目前预收价值"&amp;U:U&amp;"，"&amp;$AG$1&amp;AG:AG&amp;"元，"&amp;$AH$1&amp;AH:AH&amp;"元"</f>
        <v>凤台石秀凤伙伴冲锋队缴费金额0元，目前预收价值0，预收拟返还0元，承保拟返还0元</v>
      </c>
      <c r="AJ123" s="68">
        <f>SUMIF(保单!R:R,E:E,保单!BE:BE)*IF(AF:AF&gt;1,1,0)</f>
        <v>0</v>
      </c>
      <c r="AK123" s="68">
        <f>SUMIFS(保单!BE:BE,保单!R:R,E:E,保单!BB:BB,"有效")*IF(AF:AF&gt;1,1,0)</f>
        <v>0</v>
      </c>
      <c r="AL123" s="72" t="str">
        <f>A:A&amp;D:D&amp;G:G&amp;"只要在1-10日承保全部保单，即可获得"&amp;$AJ$1&amp;AJ:AJ&amp;"个"</f>
        <v>凤台石秀凤伙伴只要在1-10日承保全部保单，即可获得冲锋队按摩仪0个</v>
      </c>
    </row>
    <row r="124" spans="1:38">
      <c r="A124" s="64" t="s">
        <v>27</v>
      </c>
      <c r="B124" s="64" t="s">
        <v>94</v>
      </c>
      <c r="C124" s="64" t="s">
        <v>95</v>
      </c>
      <c r="D124" s="64" t="s">
        <v>365</v>
      </c>
      <c r="E124" s="64">
        <v>6425575562</v>
      </c>
      <c r="F124" s="64" t="s">
        <v>174</v>
      </c>
      <c r="G124" s="64" t="str">
        <f>IF(OR(F:F="高级经理一级",F:F="业务经理一级"),"主管","伙伴")</f>
        <v>伙伴</v>
      </c>
      <c r="H124" s="65">
        <f>SUMIF(险种!E:E,E:E,险种!R:R)-SUMIFS(险种!R:R,险种!U:U,"终止",险种!E:E,E:E)</f>
        <v>0</v>
      </c>
      <c r="I124" s="65">
        <f>SUMIFS(险种!R:R,险种!U:U,"有效",险种!E:E,E:E)</f>
        <v>0</v>
      </c>
      <c r="J124" s="65">
        <f>ROUND(SUMIF(险种!E:E,E:E,险种!Q:Q)-SUMIFS(险种!Q:Q,险种!U:U,"终止",险种!E:E,E:E),1)</f>
        <v>0</v>
      </c>
      <c r="K124" s="68">
        <f>RANK(J124,J:J)</f>
        <v>22</v>
      </c>
      <c r="L124" s="65">
        <f>ROUND(SUMIFS(险种!Q:Q,险种!U:U,"有效",险种!E:E,E:E),1)</f>
        <v>0</v>
      </c>
      <c r="M124" s="68">
        <f>RANK(L124,L:L,)</f>
        <v>14</v>
      </c>
      <c r="N124" s="68">
        <f>SUMIF(险种!E:E,E:E,险种!W:W)</f>
        <v>0</v>
      </c>
      <c r="O124" s="68">
        <f>IF(N:N&gt;=1,1,0)</f>
        <v>0</v>
      </c>
      <c r="P124" s="65">
        <f>ROUND(SUMIFS(险种!Q:Q,险种!V:V,$P$1,险种!E:E,E:E),1)</f>
        <v>0</v>
      </c>
      <c r="Q124" s="68">
        <f>RANK(P124,$P:$P,0)-1</f>
        <v>5</v>
      </c>
      <c r="R124" s="68" t="str">
        <f>A:A&amp;D:D&amp;G:G&amp;"在"&amp;$P$1&amp;"预收"&amp;P:P&amp;"排名中支第"&amp;Q:Q&amp;"位"</f>
        <v>凤台叶文兰伙伴在20210509预收0排名中支第5位</v>
      </c>
      <c r="S124" s="65">
        <f>ROUND(SUMIFS(险种!Q:Q,险种!E:E,E:E,险种!V:V,"&lt;=20210506")-SUMIFS(险种!Q:Q,险种!U:U,"终止",险种!E:E,E:E,险种!V:V,"&lt;=20210506"),1)</f>
        <v>0</v>
      </c>
      <c r="T124" s="65">
        <f>ROUND(SUMIFS(险种!Q:Q,险种!U:U,"有效",险种!E:E,E:E,险种!V:V,"&lt;=20210506"),1)</f>
        <v>0</v>
      </c>
      <c r="U124" s="65">
        <f>ROUND(SUMIFS(险种!Q:Q,险种!E:E,E:E,险种!V:V,"&lt;=20210510")-SUMIFS(险种!Q:Q,险种!U:U,"终止",险种!E:E,E:E,险种!V:V,"&lt;=20210510"),1)</f>
        <v>0</v>
      </c>
      <c r="V124" s="65">
        <f>ROUND(SUMIFS(险种!Q:Q,险种!U:U,"有效",险种!E:E,E:E,险种!V:V,"&lt;=20210510"),1)</f>
        <v>0</v>
      </c>
      <c r="W124" s="65">
        <f t="shared" si="1"/>
        <v>0</v>
      </c>
      <c r="X124" s="68">
        <f>SUMIF(险种!E:E,E:E,险种!Y:Y)</f>
        <v>0</v>
      </c>
      <c r="Y124" s="65">
        <f>MAX(_xlfn.IFS(OR(X:X=1,X:X=2),J:J*0.1,X:X&gt;=3,J:J*0.2,X:X=0,0),IF(J:J&gt;=20000,J:J*0.2,0))</f>
        <v>0</v>
      </c>
      <c r="Z124" s="65" t="str">
        <f>A124&amp;D124&amp;G124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凤台叶文兰伙伴5.1-5.10预收价值保费0，首周预收3000P件数0件，预收拟加佣0元。温馨提示，保单需10日（含）前承保，目前还有0价值保费未承保,开单一件即可获得10%加佣</v>
      </c>
      <c r="AA124" s="68">
        <f>SUMIF(险种!E:E,E:E,险种!Z:Z)</f>
        <v>0</v>
      </c>
      <c r="AB124" s="65"/>
      <c r="AC124" s="68">
        <f>SUMIF(险种!E:E,E:E,险种!AA:AA)</f>
        <v>0</v>
      </c>
      <c r="AD124" s="68">
        <f>SUMIFS(险种!AA:AA,险种!U:U,"有效",险种!E:E,E:E)</f>
        <v>0</v>
      </c>
      <c r="AE124" s="68" t="str">
        <f>A124&amp;D124&amp;G124&amp;"目前获得"&amp;$AC$1&amp;AC:AC&amp;"名，获得"&amp;$AD$1&amp;AD:AD&amp;"名"</f>
        <v>凤台叶文兰伙伴目前获得龙虾节预收名额0名，获得龙虾节承保名额0名</v>
      </c>
      <c r="AF124" s="68">
        <f>SUMIF(认购返还案!D:D,E:E,认购返还案!E:E)</f>
        <v>0</v>
      </c>
      <c r="AG124" s="68">
        <f>_xlfn.IFS(AND(U:U&gt;=3000,U:U&lt;5000),AF:AF*0.5,U:U&gt;=5000,AF:AF*1,U:U&lt;3000,0)</f>
        <v>0</v>
      </c>
      <c r="AH124" s="68">
        <f>_xlfn.IFS(AND(V:V&gt;=3000,V:V&lt;5000),AF:AF*0.5,V:V&gt;=5000,AF:AF*1,V:V&lt;3000,0)</f>
        <v>0</v>
      </c>
      <c r="AI124" s="68" t="str">
        <f>A:A&amp;D:D&amp;G:G&amp;$AF$1&amp;AF:AF&amp;"元，目前预收价值"&amp;U:U&amp;"，"&amp;$AG$1&amp;AG:AG&amp;"元，"&amp;$AH$1&amp;AH:AH&amp;"元"</f>
        <v>凤台叶文兰伙伴冲锋队缴费金额0元，目前预收价值0，预收拟返还0元，承保拟返还0元</v>
      </c>
      <c r="AJ124" s="68">
        <f>SUMIF(保单!R:R,E:E,保单!BE:BE)*IF(AF:AF&gt;1,1,0)</f>
        <v>0</v>
      </c>
      <c r="AK124" s="68">
        <f>SUMIFS(保单!BE:BE,保单!R:R,E:E,保单!BB:BB,"有效")*IF(AF:AF&gt;1,1,0)</f>
        <v>0</v>
      </c>
      <c r="AL124" s="72" t="str">
        <f>A:A&amp;D:D&amp;G:G&amp;"只要在1-10日承保全部保单，即可获得"&amp;$AJ$1&amp;AJ:AJ&amp;"个"</f>
        <v>凤台叶文兰伙伴只要在1-10日承保全部保单，即可获得冲锋队按摩仪0个</v>
      </c>
    </row>
    <row r="125" spans="1:38">
      <c r="A125" s="64" t="s">
        <v>27</v>
      </c>
      <c r="B125" s="64" t="s">
        <v>37</v>
      </c>
      <c r="C125" s="64" t="s">
        <v>226</v>
      </c>
      <c r="D125" s="64" t="s">
        <v>366</v>
      </c>
      <c r="E125" s="64">
        <v>6425025272</v>
      </c>
      <c r="F125" s="64" t="s">
        <v>168</v>
      </c>
      <c r="G125" s="64" t="str">
        <f>IF(OR(F:F="高级经理一级",F:F="业务经理一级"),"主管","伙伴")</f>
        <v>伙伴</v>
      </c>
      <c r="H125" s="65">
        <f>SUMIF(险种!E:E,E:E,险种!R:R)-SUMIFS(险种!R:R,险种!U:U,"终止",险种!E:E,E:E)</f>
        <v>0</v>
      </c>
      <c r="I125" s="65">
        <f>SUMIFS(险种!R:R,险种!U:U,"有效",险种!E:E,E:E)</f>
        <v>0</v>
      </c>
      <c r="J125" s="65">
        <f>ROUND(SUMIF(险种!E:E,E:E,险种!Q:Q)-SUMIFS(险种!Q:Q,险种!U:U,"终止",险种!E:E,E:E),1)</f>
        <v>0</v>
      </c>
      <c r="K125" s="68">
        <f>RANK(J125,J:J)</f>
        <v>22</v>
      </c>
      <c r="L125" s="65">
        <f>ROUND(SUMIFS(险种!Q:Q,险种!U:U,"有效",险种!E:E,E:E),1)</f>
        <v>0</v>
      </c>
      <c r="M125" s="68">
        <f>RANK(L125,L:L,)</f>
        <v>14</v>
      </c>
      <c r="N125" s="68">
        <f>SUMIF(险种!E:E,E:E,险种!W:W)</f>
        <v>0</v>
      </c>
      <c r="O125" s="68">
        <f>IF(N:N&gt;=1,1,0)</f>
        <v>0</v>
      </c>
      <c r="P125" s="65">
        <f>ROUND(SUMIFS(险种!Q:Q,险种!V:V,$P$1,险种!E:E,E:E),1)</f>
        <v>0</v>
      </c>
      <c r="Q125" s="68">
        <f>RANK(P125,$P:$P,0)-1</f>
        <v>5</v>
      </c>
      <c r="R125" s="68" t="str">
        <f>A:A&amp;D:D&amp;G:G&amp;"在"&amp;$P$1&amp;"预收"&amp;P:P&amp;"排名中支第"&amp;Q:Q&amp;"位"</f>
        <v>凤台陈利萍伙伴在20210509预收0排名中支第5位</v>
      </c>
      <c r="S125" s="65">
        <f>ROUND(SUMIFS(险种!Q:Q,险种!E:E,E:E,险种!V:V,"&lt;=20210506")-SUMIFS(险种!Q:Q,险种!U:U,"终止",险种!E:E,E:E,险种!V:V,"&lt;=20210506"),1)</f>
        <v>0</v>
      </c>
      <c r="T125" s="65">
        <f>ROUND(SUMIFS(险种!Q:Q,险种!U:U,"有效",险种!E:E,E:E,险种!V:V,"&lt;=20210506"),1)</f>
        <v>0</v>
      </c>
      <c r="U125" s="65">
        <f>ROUND(SUMIFS(险种!Q:Q,险种!E:E,E:E,险种!V:V,"&lt;=20210510")-SUMIFS(险种!Q:Q,险种!U:U,"终止",险种!E:E,E:E,险种!V:V,"&lt;=20210510"),1)</f>
        <v>0</v>
      </c>
      <c r="V125" s="65">
        <f>ROUND(SUMIFS(险种!Q:Q,险种!U:U,"有效",险种!E:E,E:E,险种!V:V,"&lt;=20210510"),1)</f>
        <v>0</v>
      </c>
      <c r="W125" s="65">
        <f t="shared" si="1"/>
        <v>0</v>
      </c>
      <c r="X125" s="68">
        <f>SUMIF(险种!E:E,E:E,险种!Y:Y)</f>
        <v>0</v>
      </c>
      <c r="Y125" s="65">
        <f>MAX(_xlfn.IFS(OR(X:X=1,X:X=2),J:J*0.1,X:X&gt;=3,J:J*0.2,X:X=0,0),IF(J:J&gt;=20000,J:J*0.2,0))</f>
        <v>0</v>
      </c>
      <c r="Z125" s="65" t="str">
        <f>A125&amp;D125&amp;G125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凤台陈利萍伙伴5.1-5.10预收价值保费0，首周预收3000P件数0件，预收拟加佣0元。温馨提示，保单需10日（含）前承保，目前还有0价值保费未承保,开单一件即可获得10%加佣</v>
      </c>
      <c r="AA125" s="68">
        <f>SUMIF(险种!E:E,E:E,险种!Z:Z)</f>
        <v>0</v>
      </c>
      <c r="AB125" s="65"/>
      <c r="AC125" s="68">
        <f>SUMIF(险种!E:E,E:E,险种!AA:AA)</f>
        <v>0</v>
      </c>
      <c r="AD125" s="68">
        <f>SUMIFS(险种!AA:AA,险种!U:U,"有效",险种!E:E,E:E)</f>
        <v>0</v>
      </c>
      <c r="AE125" s="68" t="str">
        <f>A125&amp;D125&amp;G125&amp;"目前获得"&amp;$AC$1&amp;AC:AC&amp;"名，获得"&amp;$AD$1&amp;AD:AD&amp;"名"</f>
        <v>凤台陈利萍伙伴目前获得龙虾节预收名额0名，获得龙虾节承保名额0名</v>
      </c>
      <c r="AF125" s="68">
        <f>SUMIF(认购返还案!D:D,E:E,认购返还案!E:E)</f>
        <v>200</v>
      </c>
      <c r="AG125" s="68">
        <f>_xlfn.IFS(AND(U:U&gt;=3000,U:U&lt;5000),AF:AF*0.5,U:U&gt;=5000,AF:AF*1,U:U&lt;3000,0)</f>
        <v>0</v>
      </c>
      <c r="AH125" s="68">
        <f>_xlfn.IFS(AND(V:V&gt;=3000,V:V&lt;5000),AF:AF*0.5,V:V&gt;=5000,AF:AF*1,V:V&lt;3000,0)</f>
        <v>0</v>
      </c>
      <c r="AI125" s="68" t="str">
        <f>A:A&amp;D:D&amp;G:G&amp;$AF$1&amp;AF:AF&amp;"元，目前预收价值"&amp;U:U&amp;"，"&amp;$AG$1&amp;AG:AG&amp;"元，"&amp;$AH$1&amp;AH:AH&amp;"元"</f>
        <v>凤台陈利萍伙伴冲锋队缴费金额200元，目前预收价值0，预收拟返还0元，承保拟返还0元</v>
      </c>
      <c r="AJ125" s="68">
        <f>SUMIF(保单!R:R,E:E,保单!BE:BE)*IF(AF:AF&gt;1,1,0)</f>
        <v>0</v>
      </c>
      <c r="AK125" s="68">
        <f>SUMIFS(保单!BE:BE,保单!R:R,E:E,保单!BB:BB,"有效")*IF(AF:AF&gt;1,1,0)</f>
        <v>0</v>
      </c>
      <c r="AL125" s="72" t="str">
        <f>A:A&amp;D:D&amp;G:G&amp;"只要在1-10日承保全部保单，即可获得"&amp;$AJ$1&amp;AJ:AJ&amp;"个"</f>
        <v>凤台陈利萍伙伴只要在1-10日承保全部保单，即可获得冲锋队按摩仪0个</v>
      </c>
    </row>
    <row r="126" spans="1:38">
      <c r="A126" s="64" t="s">
        <v>42</v>
      </c>
      <c r="B126" s="64" t="s">
        <v>43</v>
      </c>
      <c r="C126" s="64" t="s">
        <v>75</v>
      </c>
      <c r="D126" s="64" t="s">
        <v>367</v>
      </c>
      <c r="E126" s="64">
        <v>6424811332</v>
      </c>
      <c r="F126" s="64" t="s">
        <v>174</v>
      </c>
      <c r="G126" s="64" t="str">
        <f>IF(OR(F:F="高级经理一级",F:F="业务经理一级"),"主管","伙伴")</f>
        <v>伙伴</v>
      </c>
      <c r="H126" s="65">
        <f>SUMIF(险种!E:E,E:E,险种!R:R)-SUMIFS(险种!R:R,险种!U:U,"终止",险种!E:E,E:E)</f>
        <v>0</v>
      </c>
      <c r="I126" s="65">
        <f>SUMIFS(险种!R:R,险种!U:U,"有效",险种!E:E,E:E)</f>
        <v>0</v>
      </c>
      <c r="J126" s="65">
        <f>ROUND(SUMIF(险种!E:E,E:E,险种!Q:Q)-SUMIFS(险种!Q:Q,险种!U:U,"终止",险种!E:E,E:E),1)</f>
        <v>0</v>
      </c>
      <c r="K126" s="68">
        <f>RANK(J126,J:J)</f>
        <v>22</v>
      </c>
      <c r="L126" s="65">
        <f>ROUND(SUMIFS(险种!Q:Q,险种!U:U,"有效",险种!E:E,E:E),1)</f>
        <v>0</v>
      </c>
      <c r="M126" s="68">
        <f>RANK(L126,L:L,)</f>
        <v>14</v>
      </c>
      <c r="N126" s="68">
        <f>SUMIF(险种!E:E,E:E,险种!W:W)</f>
        <v>0</v>
      </c>
      <c r="O126" s="68">
        <f>IF(N:N&gt;=1,1,0)</f>
        <v>0</v>
      </c>
      <c r="P126" s="65">
        <f>ROUND(SUMIFS(险种!Q:Q,险种!V:V,$P$1,险种!E:E,E:E),1)</f>
        <v>0</v>
      </c>
      <c r="Q126" s="68">
        <f>RANK(P126,$P:$P,0)-1</f>
        <v>5</v>
      </c>
      <c r="R126" s="68" t="str">
        <f>A:A&amp;D:D&amp;G:G&amp;"在"&amp;$P$1&amp;"预收"&amp;P:P&amp;"排名中支第"&amp;Q:Q&amp;"位"</f>
        <v>淮南本部陈艳伙伴在20210509预收0排名中支第5位</v>
      </c>
      <c r="S126" s="65">
        <f>ROUND(SUMIFS(险种!Q:Q,险种!E:E,E:E,险种!V:V,"&lt;=20210506")-SUMIFS(险种!Q:Q,险种!U:U,"终止",险种!E:E,E:E,险种!V:V,"&lt;=20210506"),1)</f>
        <v>0</v>
      </c>
      <c r="T126" s="65">
        <f>ROUND(SUMIFS(险种!Q:Q,险种!U:U,"有效",险种!E:E,E:E,险种!V:V,"&lt;=20210506"),1)</f>
        <v>0</v>
      </c>
      <c r="U126" s="65">
        <f>ROUND(SUMIFS(险种!Q:Q,险种!E:E,E:E,险种!V:V,"&lt;=20210510")-SUMIFS(险种!Q:Q,险种!U:U,"终止",险种!E:E,E:E,险种!V:V,"&lt;=20210510"),1)</f>
        <v>0</v>
      </c>
      <c r="V126" s="65">
        <f>ROUND(SUMIFS(险种!Q:Q,险种!U:U,"有效",险种!E:E,E:E,险种!V:V,"&lt;=20210510"),1)</f>
        <v>0</v>
      </c>
      <c r="W126" s="65">
        <f t="shared" si="1"/>
        <v>0</v>
      </c>
      <c r="X126" s="68">
        <f>SUMIF(险种!E:E,E:E,险种!Y:Y)</f>
        <v>0</v>
      </c>
      <c r="Y126" s="65">
        <f>MAX(_xlfn.IFS(OR(X:X=1,X:X=2),J:J*0.1,X:X&gt;=3,J:J*0.2,X:X=0,0),IF(J:J&gt;=20000,J:J*0.2,0))</f>
        <v>0</v>
      </c>
      <c r="Z126" s="65" t="str">
        <f>A126&amp;D126&amp;G126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淮南本部陈艳伙伴5.1-5.10预收价值保费0，首周预收3000P件数0件，预收拟加佣0元。温馨提示，保单需10日（含）前承保，目前还有0价值保费未承保,开单一件即可获得10%加佣</v>
      </c>
      <c r="AA126" s="68">
        <f>SUMIF(险种!E:E,E:E,险种!Z:Z)</f>
        <v>0</v>
      </c>
      <c r="AB126" s="65"/>
      <c r="AC126" s="68">
        <f>SUMIF(险种!E:E,E:E,险种!AA:AA)</f>
        <v>0</v>
      </c>
      <c r="AD126" s="68">
        <f>SUMIFS(险种!AA:AA,险种!U:U,"有效",险种!E:E,E:E)</f>
        <v>0</v>
      </c>
      <c r="AE126" s="68" t="str">
        <f>A126&amp;D126&amp;G126&amp;"目前获得"&amp;$AC$1&amp;AC:AC&amp;"名，获得"&amp;$AD$1&amp;AD:AD&amp;"名"</f>
        <v>淮南本部陈艳伙伴目前获得龙虾节预收名额0名，获得龙虾节承保名额0名</v>
      </c>
      <c r="AF126" s="68">
        <f>SUMIF(认购返还案!D:D,E:E,认购返还案!E:E)</f>
        <v>0</v>
      </c>
      <c r="AG126" s="68">
        <f>_xlfn.IFS(AND(U:U&gt;=3000,U:U&lt;5000),AF:AF*0.5,U:U&gt;=5000,AF:AF*1,U:U&lt;3000,0)</f>
        <v>0</v>
      </c>
      <c r="AH126" s="68">
        <f>_xlfn.IFS(AND(V:V&gt;=3000,V:V&lt;5000),AF:AF*0.5,V:V&gt;=5000,AF:AF*1,V:V&lt;3000,0)</f>
        <v>0</v>
      </c>
      <c r="AI126" s="68" t="str">
        <f>A:A&amp;D:D&amp;G:G&amp;$AF$1&amp;AF:AF&amp;"元，目前预收价值"&amp;U:U&amp;"，"&amp;$AG$1&amp;AG:AG&amp;"元，"&amp;$AH$1&amp;AH:AH&amp;"元"</f>
        <v>淮南本部陈艳伙伴冲锋队缴费金额0元，目前预收价值0，预收拟返还0元，承保拟返还0元</v>
      </c>
      <c r="AJ126" s="68">
        <f>SUMIF(保单!R:R,E:E,保单!BE:BE)*IF(AF:AF&gt;1,1,0)</f>
        <v>0</v>
      </c>
      <c r="AK126" s="68">
        <f>SUMIFS(保单!BE:BE,保单!R:R,E:E,保单!BB:BB,"有效")*IF(AF:AF&gt;1,1,0)</f>
        <v>0</v>
      </c>
      <c r="AL126" s="72" t="str">
        <f>A:A&amp;D:D&amp;G:G&amp;"只要在1-10日承保全部保单，即可获得"&amp;$AJ$1&amp;AJ:AJ&amp;"个"</f>
        <v>淮南本部陈艳伙伴只要在1-10日承保全部保单，即可获得冲锋队按摩仪0个</v>
      </c>
    </row>
    <row r="127" spans="1:38">
      <c r="A127" s="64" t="s">
        <v>27</v>
      </c>
      <c r="B127" s="64" t="s">
        <v>37</v>
      </c>
      <c r="C127" s="64" t="s">
        <v>226</v>
      </c>
      <c r="D127" s="64" t="s">
        <v>368</v>
      </c>
      <c r="E127" s="64">
        <v>6424700762</v>
      </c>
      <c r="F127" s="64" t="s">
        <v>168</v>
      </c>
      <c r="G127" s="64" t="str">
        <f>IF(OR(F:F="高级经理一级",F:F="业务经理一级"),"主管","伙伴")</f>
        <v>伙伴</v>
      </c>
      <c r="H127" s="65">
        <f>SUMIF(险种!E:E,E:E,险种!R:R)-SUMIFS(险种!R:R,险种!U:U,"终止",险种!E:E,E:E)</f>
        <v>0</v>
      </c>
      <c r="I127" s="65">
        <f>SUMIFS(险种!R:R,险种!U:U,"有效",险种!E:E,E:E)</f>
        <v>0</v>
      </c>
      <c r="J127" s="65">
        <f>ROUND(SUMIF(险种!E:E,E:E,险种!Q:Q)-SUMIFS(险种!Q:Q,险种!U:U,"终止",险种!E:E,E:E),1)</f>
        <v>0</v>
      </c>
      <c r="K127" s="68">
        <f>RANK(J127,J:J)</f>
        <v>22</v>
      </c>
      <c r="L127" s="65">
        <f>ROUND(SUMIFS(险种!Q:Q,险种!U:U,"有效",险种!E:E,E:E),1)</f>
        <v>0</v>
      </c>
      <c r="M127" s="68">
        <f>RANK(L127,L:L,)</f>
        <v>14</v>
      </c>
      <c r="N127" s="68">
        <f>SUMIF(险种!E:E,E:E,险种!W:W)</f>
        <v>0</v>
      </c>
      <c r="O127" s="68">
        <f>IF(N:N&gt;=1,1,0)</f>
        <v>0</v>
      </c>
      <c r="P127" s="65">
        <f>ROUND(SUMIFS(险种!Q:Q,险种!V:V,$P$1,险种!E:E,E:E),1)</f>
        <v>0</v>
      </c>
      <c r="Q127" s="68">
        <f>RANK(P127,$P:$P,0)-1</f>
        <v>5</v>
      </c>
      <c r="R127" s="68" t="str">
        <f>A:A&amp;D:D&amp;G:G&amp;"在"&amp;$P$1&amp;"预收"&amp;P:P&amp;"排名中支第"&amp;Q:Q&amp;"位"</f>
        <v>凤台孙艳伙伴在20210509预收0排名中支第5位</v>
      </c>
      <c r="S127" s="65">
        <f>ROUND(SUMIFS(险种!Q:Q,险种!E:E,E:E,险种!V:V,"&lt;=20210506")-SUMIFS(险种!Q:Q,险种!U:U,"终止",险种!E:E,E:E,险种!V:V,"&lt;=20210506"),1)</f>
        <v>0</v>
      </c>
      <c r="T127" s="65">
        <f>ROUND(SUMIFS(险种!Q:Q,险种!U:U,"有效",险种!E:E,E:E,险种!V:V,"&lt;=20210506"),1)</f>
        <v>0</v>
      </c>
      <c r="U127" s="65">
        <f>ROUND(SUMIFS(险种!Q:Q,险种!E:E,E:E,险种!V:V,"&lt;=20210510")-SUMIFS(险种!Q:Q,险种!U:U,"终止",险种!E:E,E:E,险种!V:V,"&lt;=20210510"),1)</f>
        <v>0</v>
      </c>
      <c r="V127" s="65">
        <f>ROUND(SUMIFS(险种!Q:Q,险种!U:U,"有效",险种!E:E,E:E,险种!V:V,"&lt;=20210510"),1)</f>
        <v>0</v>
      </c>
      <c r="W127" s="65">
        <f t="shared" si="1"/>
        <v>0</v>
      </c>
      <c r="X127" s="68">
        <f>SUMIF(险种!E:E,E:E,险种!Y:Y)</f>
        <v>0</v>
      </c>
      <c r="Y127" s="65">
        <f>MAX(_xlfn.IFS(OR(X:X=1,X:X=2),J:J*0.1,X:X&gt;=3,J:J*0.2,X:X=0,0),IF(J:J&gt;=20000,J:J*0.2,0))</f>
        <v>0</v>
      </c>
      <c r="Z127" s="65" t="str">
        <f>A127&amp;D127&amp;G127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凤台孙艳伙伴5.1-5.10预收价值保费0，首周预收3000P件数0件，预收拟加佣0元。温馨提示，保单需10日（含）前承保，目前还有0价值保费未承保,开单一件即可获得10%加佣</v>
      </c>
      <c r="AA127" s="68">
        <f>SUMIF(险种!E:E,E:E,险种!Z:Z)</f>
        <v>0</v>
      </c>
      <c r="AB127" s="65"/>
      <c r="AC127" s="68">
        <f>SUMIF(险种!E:E,E:E,险种!AA:AA)</f>
        <v>0</v>
      </c>
      <c r="AD127" s="68">
        <f>SUMIFS(险种!AA:AA,险种!U:U,"有效",险种!E:E,E:E)</f>
        <v>0</v>
      </c>
      <c r="AE127" s="68" t="str">
        <f>A127&amp;D127&amp;G127&amp;"目前获得"&amp;$AC$1&amp;AC:AC&amp;"名，获得"&amp;$AD$1&amp;AD:AD&amp;"名"</f>
        <v>凤台孙艳伙伴目前获得龙虾节预收名额0名，获得龙虾节承保名额0名</v>
      </c>
      <c r="AF127" s="68">
        <f>SUMIF(认购返还案!D:D,E:E,认购返还案!E:E)</f>
        <v>200</v>
      </c>
      <c r="AG127" s="68">
        <f>_xlfn.IFS(AND(U:U&gt;=3000,U:U&lt;5000),AF:AF*0.5,U:U&gt;=5000,AF:AF*1,U:U&lt;3000,0)</f>
        <v>0</v>
      </c>
      <c r="AH127" s="68">
        <f>_xlfn.IFS(AND(V:V&gt;=3000,V:V&lt;5000),AF:AF*0.5,V:V&gt;=5000,AF:AF*1,V:V&lt;3000,0)</f>
        <v>0</v>
      </c>
      <c r="AI127" s="68" t="str">
        <f>A:A&amp;D:D&amp;G:G&amp;$AF$1&amp;AF:AF&amp;"元，目前预收价值"&amp;U:U&amp;"，"&amp;$AG$1&amp;AG:AG&amp;"元，"&amp;$AH$1&amp;AH:AH&amp;"元"</f>
        <v>凤台孙艳伙伴冲锋队缴费金额200元，目前预收价值0，预收拟返还0元，承保拟返还0元</v>
      </c>
      <c r="AJ127" s="68">
        <f>SUMIF(保单!R:R,E:E,保单!BE:BE)*IF(AF:AF&gt;1,1,0)</f>
        <v>0</v>
      </c>
      <c r="AK127" s="68">
        <f>SUMIFS(保单!BE:BE,保单!R:R,E:E,保单!BB:BB,"有效")*IF(AF:AF&gt;1,1,0)</f>
        <v>0</v>
      </c>
      <c r="AL127" s="72" t="str">
        <f>A:A&amp;D:D&amp;G:G&amp;"只要在1-10日承保全部保单，即可获得"&amp;$AJ$1&amp;AJ:AJ&amp;"个"</f>
        <v>凤台孙艳伙伴只要在1-10日承保全部保单，即可获得冲锋队按摩仪0个</v>
      </c>
    </row>
    <row r="128" spans="1:38">
      <c r="A128" s="64" t="s">
        <v>42</v>
      </c>
      <c r="B128" s="64" t="s">
        <v>62</v>
      </c>
      <c r="C128" s="64" t="s">
        <v>108</v>
      </c>
      <c r="D128" s="64" t="s">
        <v>369</v>
      </c>
      <c r="E128" s="64">
        <v>6417900792</v>
      </c>
      <c r="F128" s="64" t="s">
        <v>158</v>
      </c>
      <c r="G128" s="64" t="str">
        <f>IF(OR(F:F="高级经理一级",F:F="业务经理一级"),"主管","伙伴")</f>
        <v>伙伴</v>
      </c>
      <c r="H128" s="65">
        <f>SUMIF(险种!E:E,E:E,险种!R:R)-SUMIFS(险种!R:R,险种!U:U,"终止",险种!E:E,E:E)</f>
        <v>0</v>
      </c>
      <c r="I128" s="65">
        <f>SUMIFS(险种!R:R,险种!U:U,"有效",险种!E:E,E:E)</f>
        <v>0</v>
      </c>
      <c r="J128" s="65">
        <f>ROUND(SUMIF(险种!E:E,E:E,险种!Q:Q)-SUMIFS(险种!Q:Q,险种!U:U,"终止",险种!E:E,E:E),1)</f>
        <v>0</v>
      </c>
      <c r="K128" s="68">
        <f>RANK(J128,J:J)</f>
        <v>22</v>
      </c>
      <c r="L128" s="65">
        <f>ROUND(SUMIFS(险种!Q:Q,险种!U:U,"有效",险种!E:E,E:E),1)</f>
        <v>0</v>
      </c>
      <c r="M128" s="68">
        <f>RANK(L128,L:L,)</f>
        <v>14</v>
      </c>
      <c r="N128" s="68">
        <f>SUMIF(险种!E:E,E:E,险种!W:W)</f>
        <v>0</v>
      </c>
      <c r="O128" s="68">
        <f>IF(N:N&gt;=1,1,0)</f>
        <v>0</v>
      </c>
      <c r="P128" s="65">
        <f>ROUND(SUMIFS(险种!Q:Q,险种!V:V,$P$1,险种!E:E,E:E),1)</f>
        <v>0</v>
      </c>
      <c r="Q128" s="68">
        <f>RANK(P128,$P:$P,0)-1</f>
        <v>5</v>
      </c>
      <c r="R128" s="68" t="str">
        <f>A:A&amp;D:D&amp;G:G&amp;"在"&amp;$P$1&amp;"预收"&amp;P:P&amp;"排名中支第"&amp;Q:Q&amp;"位"</f>
        <v>淮南本部高文龙伙伴在20210509预收0排名中支第5位</v>
      </c>
      <c r="S128" s="65">
        <f>ROUND(SUMIFS(险种!Q:Q,险种!E:E,E:E,险种!V:V,"&lt;=20210506")-SUMIFS(险种!Q:Q,险种!U:U,"终止",险种!E:E,E:E,险种!V:V,"&lt;=20210506"),1)</f>
        <v>0</v>
      </c>
      <c r="T128" s="65">
        <f>ROUND(SUMIFS(险种!Q:Q,险种!U:U,"有效",险种!E:E,E:E,险种!V:V,"&lt;=20210506"),1)</f>
        <v>0</v>
      </c>
      <c r="U128" s="65">
        <f>ROUND(SUMIFS(险种!Q:Q,险种!E:E,E:E,险种!V:V,"&lt;=20210510")-SUMIFS(险种!Q:Q,险种!U:U,"终止",险种!E:E,E:E,险种!V:V,"&lt;=20210510"),1)</f>
        <v>0</v>
      </c>
      <c r="V128" s="65">
        <f>ROUND(SUMIFS(险种!Q:Q,险种!U:U,"有效",险种!E:E,E:E,险种!V:V,"&lt;=20210510"),1)</f>
        <v>0</v>
      </c>
      <c r="W128" s="65">
        <f t="shared" si="1"/>
        <v>0</v>
      </c>
      <c r="X128" s="68">
        <f>SUMIF(险种!E:E,E:E,险种!Y:Y)</f>
        <v>0</v>
      </c>
      <c r="Y128" s="65">
        <f>MAX(_xlfn.IFS(OR(X:X=1,X:X=2),J:J*0.1,X:X&gt;=3,J:J*0.2,X:X=0,0),IF(J:J&gt;=20000,J:J*0.2,0))</f>
        <v>0</v>
      </c>
      <c r="Z128" s="65" t="str">
        <f>A128&amp;D128&amp;G128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淮南本部高文龙伙伴5.1-5.10预收价值保费0，首周预收3000P件数0件，预收拟加佣0元。温馨提示，保单需10日（含）前承保，目前还有0价值保费未承保,开单一件即可获得10%加佣</v>
      </c>
      <c r="AA128" s="68">
        <f>SUMIF(险种!E:E,E:E,险种!Z:Z)</f>
        <v>0</v>
      </c>
      <c r="AB128" s="65"/>
      <c r="AC128" s="68">
        <f>SUMIF(险种!E:E,E:E,险种!AA:AA)</f>
        <v>0</v>
      </c>
      <c r="AD128" s="68">
        <f>SUMIFS(险种!AA:AA,险种!U:U,"有效",险种!E:E,E:E)</f>
        <v>0</v>
      </c>
      <c r="AE128" s="68" t="str">
        <f>A128&amp;D128&amp;G128&amp;"目前获得"&amp;$AC$1&amp;AC:AC&amp;"名，获得"&amp;$AD$1&amp;AD:AD&amp;"名"</f>
        <v>淮南本部高文龙伙伴目前获得龙虾节预收名额0名，获得龙虾节承保名额0名</v>
      </c>
      <c r="AF128" s="68">
        <f>SUMIF(认购返还案!D:D,E:E,认购返还案!E:E)</f>
        <v>0</v>
      </c>
      <c r="AG128" s="68">
        <f>_xlfn.IFS(AND(U:U&gt;=3000,U:U&lt;5000),AF:AF*0.5,U:U&gt;=5000,AF:AF*1,U:U&lt;3000,0)</f>
        <v>0</v>
      </c>
      <c r="AH128" s="68">
        <f>_xlfn.IFS(AND(V:V&gt;=3000,V:V&lt;5000),AF:AF*0.5,V:V&gt;=5000,AF:AF*1,V:V&lt;3000,0)</f>
        <v>0</v>
      </c>
      <c r="AI128" s="68" t="str">
        <f>A:A&amp;D:D&amp;G:G&amp;$AF$1&amp;AF:AF&amp;"元，目前预收价值"&amp;U:U&amp;"，"&amp;$AG$1&amp;AG:AG&amp;"元，"&amp;$AH$1&amp;AH:AH&amp;"元"</f>
        <v>淮南本部高文龙伙伴冲锋队缴费金额0元，目前预收价值0，预收拟返还0元，承保拟返还0元</v>
      </c>
      <c r="AJ128" s="68">
        <f>SUMIF(保单!R:R,E:E,保单!BE:BE)*IF(AF:AF&gt;1,1,0)</f>
        <v>0</v>
      </c>
      <c r="AK128" s="68">
        <f>SUMIFS(保单!BE:BE,保单!R:R,E:E,保单!BB:BB,"有效")*IF(AF:AF&gt;1,1,0)</f>
        <v>0</v>
      </c>
      <c r="AL128" s="72" t="str">
        <f>A:A&amp;D:D&amp;G:G&amp;"只要在1-10日承保全部保单，即可获得"&amp;$AJ$1&amp;AJ:AJ&amp;"个"</f>
        <v>淮南本部高文龙伙伴只要在1-10日承保全部保单，即可获得冲锋队按摩仪0个</v>
      </c>
    </row>
    <row r="129" spans="1:38">
      <c r="A129" s="64" t="s">
        <v>42</v>
      </c>
      <c r="B129" s="64" t="s">
        <v>62</v>
      </c>
      <c r="C129" s="64" t="s">
        <v>72</v>
      </c>
      <c r="D129" s="64" t="s">
        <v>370</v>
      </c>
      <c r="E129" s="64">
        <v>6411039132</v>
      </c>
      <c r="F129" s="64" t="s">
        <v>174</v>
      </c>
      <c r="G129" s="64" t="str">
        <f>IF(OR(F:F="高级经理一级",F:F="业务经理一级"),"主管","伙伴")</f>
        <v>伙伴</v>
      </c>
      <c r="H129" s="65">
        <f>SUMIF(险种!E:E,E:E,险种!R:R)-SUMIFS(险种!R:R,险种!U:U,"终止",险种!E:E,E:E)</f>
        <v>0</v>
      </c>
      <c r="I129" s="65">
        <f>SUMIFS(险种!R:R,险种!U:U,"有效",险种!E:E,E:E)</f>
        <v>0</v>
      </c>
      <c r="J129" s="65">
        <f>ROUND(SUMIF(险种!E:E,E:E,险种!Q:Q)-SUMIFS(险种!Q:Q,险种!U:U,"终止",险种!E:E,E:E),1)</f>
        <v>0</v>
      </c>
      <c r="K129" s="68">
        <f>RANK(J129,J:J)</f>
        <v>22</v>
      </c>
      <c r="L129" s="65">
        <f>ROUND(SUMIFS(险种!Q:Q,险种!U:U,"有效",险种!E:E,E:E),1)</f>
        <v>0</v>
      </c>
      <c r="M129" s="68">
        <f>RANK(L129,L:L,)</f>
        <v>14</v>
      </c>
      <c r="N129" s="68">
        <f>SUMIF(险种!E:E,E:E,险种!W:W)</f>
        <v>0</v>
      </c>
      <c r="O129" s="68">
        <f>IF(N:N&gt;=1,1,0)</f>
        <v>0</v>
      </c>
      <c r="P129" s="65">
        <f>ROUND(SUMIFS(险种!Q:Q,险种!V:V,$P$1,险种!E:E,E:E),1)</f>
        <v>0</v>
      </c>
      <c r="Q129" s="68">
        <f>RANK(P129,$P:$P,0)-1</f>
        <v>5</v>
      </c>
      <c r="R129" s="68" t="str">
        <f>A:A&amp;D:D&amp;G:G&amp;"在"&amp;$P$1&amp;"预收"&amp;P:P&amp;"排名中支第"&amp;Q:Q&amp;"位"</f>
        <v>淮南本部王芝斌伙伴在20210509预收0排名中支第5位</v>
      </c>
      <c r="S129" s="65">
        <f>ROUND(SUMIFS(险种!Q:Q,险种!E:E,E:E,险种!V:V,"&lt;=20210506")-SUMIFS(险种!Q:Q,险种!U:U,"终止",险种!E:E,E:E,险种!V:V,"&lt;=20210506"),1)</f>
        <v>0</v>
      </c>
      <c r="T129" s="65">
        <f>ROUND(SUMIFS(险种!Q:Q,险种!U:U,"有效",险种!E:E,E:E,险种!V:V,"&lt;=20210506"),1)</f>
        <v>0</v>
      </c>
      <c r="U129" s="65">
        <f>ROUND(SUMIFS(险种!Q:Q,险种!E:E,E:E,险种!V:V,"&lt;=20210510")-SUMIFS(险种!Q:Q,险种!U:U,"终止",险种!E:E,E:E,险种!V:V,"&lt;=20210510"),1)</f>
        <v>0</v>
      </c>
      <c r="V129" s="65">
        <f>ROUND(SUMIFS(险种!Q:Q,险种!U:U,"有效",险种!E:E,E:E,险种!V:V,"&lt;=20210510"),1)</f>
        <v>0</v>
      </c>
      <c r="W129" s="65">
        <f t="shared" si="1"/>
        <v>0</v>
      </c>
      <c r="X129" s="68">
        <f>SUMIF(险种!E:E,E:E,险种!Y:Y)</f>
        <v>0</v>
      </c>
      <c r="Y129" s="65">
        <f>MAX(_xlfn.IFS(OR(X:X=1,X:X=2),J:J*0.1,X:X&gt;=3,J:J*0.2,X:X=0,0),IF(J:J&gt;=20000,J:J*0.2,0))</f>
        <v>0</v>
      </c>
      <c r="Z129" s="65" t="str">
        <f>A129&amp;D129&amp;G129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淮南本部王芝斌伙伴5.1-5.10预收价值保费0，首周预收3000P件数0件，预收拟加佣0元。温馨提示，保单需10日（含）前承保，目前还有0价值保费未承保,开单一件即可获得10%加佣</v>
      </c>
      <c r="AA129" s="68">
        <f>SUMIF(险种!E:E,E:E,险种!Z:Z)</f>
        <v>0</v>
      </c>
      <c r="AB129" s="65"/>
      <c r="AC129" s="68">
        <f>SUMIF(险种!E:E,E:E,险种!AA:AA)</f>
        <v>0</v>
      </c>
      <c r="AD129" s="68">
        <f>SUMIFS(险种!AA:AA,险种!U:U,"有效",险种!E:E,E:E)</f>
        <v>0</v>
      </c>
      <c r="AE129" s="68" t="str">
        <f>A129&amp;D129&amp;G129&amp;"目前获得"&amp;$AC$1&amp;AC:AC&amp;"名，获得"&amp;$AD$1&amp;AD:AD&amp;"名"</f>
        <v>淮南本部王芝斌伙伴目前获得龙虾节预收名额0名，获得龙虾节承保名额0名</v>
      </c>
      <c r="AF129" s="68">
        <f>SUMIF(认购返还案!D:D,E:E,认购返还案!E:E)</f>
        <v>0</v>
      </c>
      <c r="AG129" s="68">
        <f>_xlfn.IFS(AND(U:U&gt;=3000,U:U&lt;5000),AF:AF*0.5,U:U&gt;=5000,AF:AF*1,U:U&lt;3000,0)</f>
        <v>0</v>
      </c>
      <c r="AH129" s="68">
        <f>_xlfn.IFS(AND(V:V&gt;=3000,V:V&lt;5000),AF:AF*0.5,V:V&gt;=5000,AF:AF*1,V:V&lt;3000,0)</f>
        <v>0</v>
      </c>
      <c r="AI129" s="68" t="str">
        <f>A:A&amp;D:D&amp;G:G&amp;$AF$1&amp;AF:AF&amp;"元，目前预收价值"&amp;U:U&amp;"，"&amp;$AG$1&amp;AG:AG&amp;"元，"&amp;$AH$1&amp;AH:AH&amp;"元"</f>
        <v>淮南本部王芝斌伙伴冲锋队缴费金额0元，目前预收价值0，预收拟返还0元，承保拟返还0元</v>
      </c>
      <c r="AJ129" s="68">
        <f>SUMIF(保单!R:R,E:E,保单!BE:BE)*IF(AF:AF&gt;1,1,0)</f>
        <v>0</v>
      </c>
      <c r="AK129" s="68">
        <f>SUMIFS(保单!BE:BE,保单!R:R,E:E,保单!BB:BB,"有效")*IF(AF:AF&gt;1,1,0)</f>
        <v>0</v>
      </c>
      <c r="AL129" s="72" t="str">
        <f>A:A&amp;D:D&amp;G:G&amp;"只要在1-10日承保全部保单，即可获得"&amp;$AJ$1&amp;AJ:AJ&amp;"个"</f>
        <v>淮南本部王芝斌伙伴只要在1-10日承保全部保单，即可获得冲锋队按摩仪0个</v>
      </c>
    </row>
    <row r="130" spans="1:38">
      <c r="A130" s="64" t="s">
        <v>42</v>
      </c>
      <c r="B130" s="64" t="s">
        <v>62</v>
      </c>
      <c r="C130" s="64" t="s">
        <v>72</v>
      </c>
      <c r="D130" s="64" t="s">
        <v>218</v>
      </c>
      <c r="E130" s="64">
        <v>6409592302</v>
      </c>
      <c r="F130" s="64" t="s">
        <v>165</v>
      </c>
      <c r="G130" s="64" t="str">
        <f>IF(OR(F:F="高级经理一级",F:F="业务经理一级"),"主管","伙伴")</f>
        <v>主管</v>
      </c>
      <c r="H130" s="65">
        <f>SUMIF(险种!E:E,E:E,险种!R:R)-SUMIFS(险种!R:R,险种!U:U,"终止",险种!E:E,E:E)</f>
        <v>0</v>
      </c>
      <c r="I130" s="65">
        <f>SUMIFS(险种!R:R,险种!U:U,"有效",险种!E:E,E:E)</f>
        <v>0</v>
      </c>
      <c r="J130" s="65">
        <f>ROUND(SUMIF(险种!E:E,E:E,险种!Q:Q)-SUMIFS(险种!Q:Q,险种!U:U,"终止",险种!E:E,E:E),1)</f>
        <v>0</v>
      </c>
      <c r="K130" s="68">
        <f>RANK(J130,J:J)</f>
        <v>22</v>
      </c>
      <c r="L130" s="65">
        <f>ROUND(SUMIFS(险种!Q:Q,险种!U:U,"有效",险种!E:E,E:E),1)</f>
        <v>0</v>
      </c>
      <c r="M130" s="68">
        <f>RANK(L130,L:L,)</f>
        <v>14</v>
      </c>
      <c r="N130" s="68">
        <f>SUMIF(险种!E:E,E:E,险种!W:W)</f>
        <v>0</v>
      </c>
      <c r="O130" s="68">
        <f>IF(N:N&gt;=1,1,0)</f>
        <v>0</v>
      </c>
      <c r="P130" s="65">
        <f>ROUND(SUMIFS(险种!Q:Q,险种!V:V,$P$1,险种!E:E,E:E),1)</f>
        <v>0</v>
      </c>
      <c r="Q130" s="68">
        <f>RANK(P130,$P:$P,0)-1</f>
        <v>5</v>
      </c>
      <c r="R130" s="68" t="str">
        <f>A:A&amp;D:D&amp;G:G&amp;"在"&amp;$P$1&amp;"预收"&amp;P:P&amp;"排名中支第"&amp;Q:Q&amp;"位"</f>
        <v>淮南本部宋业凤主管在20210509预收0排名中支第5位</v>
      </c>
      <c r="S130" s="65">
        <f>ROUND(SUMIFS(险种!Q:Q,险种!E:E,E:E,险种!V:V,"&lt;=20210506")-SUMIFS(险种!Q:Q,险种!U:U,"终止",险种!E:E,E:E,险种!V:V,"&lt;=20210506"),1)</f>
        <v>0</v>
      </c>
      <c r="T130" s="65">
        <f>ROUND(SUMIFS(险种!Q:Q,险种!U:U,"有效",险种!E:E,E:E,险种!V:V,"&lt;=20210506"),1)</f>
        <v>0</v>
      </c>
      <c r="U130" s="65">
        <f>ROUND(SUMIFS(险种!Q:Q,险种!E:E,E:E,险种!V:V,"&lt;=20210510")-SUMIFS(险种!Q:Q,险种!U:U,"终止",险种!E:E,E:E,险种!V:V,"&lt;=20210510"),1)</f>
        <v>0</v>
      </c>
      <c r="V130" s="65">
        <f>ROUND(SUMIFS(险种!Q:Q,险种!U:U,"有效",险种!E:E,E:E,险种!V:V,"&lt;=20210510"),1)</f>
        <v>0</v>
      </c>
      <c r="W130" s="65">
        <f t="shared" ref="W130:W193" si="2">U130-V130</f>
        <v>0</v>
      </c>
      <c r="X130" s="68">
        <f>SUMIF(险种!E:E,E:E,险种!Y:Y)</f>
        <v>0</v>
      </c>
      <c r="Y130" s="65">
        <f>MAX(_xlfn.IFS(OR(X:X=1,X:X=2),J:J*0.1,X:X&gt;=3,J:J*0.2,X:X=0,0),IF(J:J&gt;=20000,J:J*0.2,0))</f>
        <v>0</v>
      </c>
      <c r="Z130" s="65" t="str">
        <f>A130&amp;D130&amp;G130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淮南本部宋业凤主管5.1-5.10预收价值保费0，首周预收3000P件数0件，预收拟加佣0元。温馨提示，保单需10日（含）前承保，目前还有0价值保费未承保,开单一件即可获得10%加佣</v>
      </c>
      <c r="AA130" s="68">
        <f>SUMIF(险种!E:E,E:E,险种!Z:Z)</f>
        <v>0</v>
      </c>
      <c r="AB130" s="65"/>
      <c r="AC130" s="68">
        <f>SUMIF(险种!E:E,E:E,险种!AA:AA)</f>
        <v>0</v>
      </c>
      <c r="AD130" s="68">
        <f>SUMIFS(险种!AA:AA,险种!U:U,"有效",险种!E:E,E:E)</f>
        <v>0</v>
      </c>
      <c r="AE130" s="68" t="str">
        <f>A130&amp;D130&amp;G130&amp;"目前获得"&amp;$AC$1&amp;AC:AC&amp;"名，获得"&amp;$AD$1&amp;AD:AD&amp;"名"</f>
        <v>淮南本部宋业凤主管目前获得龙虾节预收名额0名，获得龙虾节承保名额0名</v>
      </c>
      <c r="AF130" s="68">
        <f>SUMIF(认购返还案!D:D,E:E,认购返还案!E:E)</f>
        <v>200</v>
      </c>
      <c r="AG130" s="68">
        <f>_xlfn.IFS(AND(U:U&gt;=3000,U:U&lt;5000),AF:AF*0.5,U:U&gt;=5000,AF:AF*1,U:U&lt;3000,0)</f>
        <v>0</v>
      </c>
      <c r="AH130" s="68">
        <f>_xlfn.IFS(AND(V:V&gt;=3000,V:V&lt;5000),AF:AF*0.5,V:V&gt;=5000,AF:AF*1,V:V&lt;3000,0)</f>
        <v>0</v>
      </c>
      <c r="AI130" s="68" t="str">
        <f>A:A&amp;D:D&amp;G:G&amp;$AF$1&amp;AF:AF&amp;"元，目前预收价值"&amp;U:U&amp;"，"&amp;$AG$1&amp;AG:AG&amp;"元，"&amp;$AH$1&amp;AH:AH&amp;"元"</f>
        <v>淮南本部宋业凤主管冲锋队缴费金额200元，目前预收价值0，预收拟返还0元，承保拟返还0元</v>
      </c>
      <c r="AJ130" s="68">
        <f>SUMIF(保单!R:R,E:E,保单!BE:BE)*IF(AF:AF&gt;1,1,0)</f>
        <v>0</v>
      </c>
      <c r="AK130" s="68">
        <f>SUMIFS(保单!BE:BE,保单!R:R,E:E,保单!BB:BB,"有效")*IF(AF:AF&gt;1,1,0)</f>
        <v>0</v>
      </c>
      <c r="AL130" s="72" t="str">
        <f>A:A&amp;D:D&amp;G:G&amp;"只要在1-10日承保全部保单，即可获得"&amp;$AJ$1&amp;AJ:AJ&amp;"个"</f>
        <v>淮南本部宋业凤主管只要在1-10日承保全部保单，即可获得冲锋队按摩仪0个</v>
      </c>
    </row>
    <row r="131" spans="1:38">
      <c r="A131" s="64" t="s">
        <v>42</v>
      </c>
      <c r="B131" s="64" t="s">
        <v>62</v>
      </c>
      <c r="C131" s="64" t="s">
        <v>108</v>
      </c>
      <c r="D131" s="64" t="s">
        <v>371</v>
      </c>
      <c r="E131" s="64">
        <v>6409585032</v>
      </c>
      <c r="F131" s="64" t="s">
        <v>168</v>
      </c>
      <c r="G131" s="64" t="str">
        <f>IF(OR(F:F="高级经理一级",F:F="业务经理一级"),"主管","伙伴")</f>
        <v>伙伴</v>
      </c>
      <c r="H131" s="65">
        <f>SUMIF(险种!E:E,E:E,险种!R:R)-SUMIFS(险种!R:R,险种!U:U,"终止",险种!E:E,E:E)</f>
        <v>0</v>
      </c>
      <c r="I131" s="65">
        <f>SUMIFS(险种!R:R,险种!U:U,"有效",险种!E:E,E:E)</f>
        <v>0</v>
      </c>
      <c r="J131" s="65">
        <f>ROUND(SUMIF(险种!E:E,E:E,险种!Q:Q)-SUMIFS(险种!Q:Q,险种!U:U,"终止",险种!E:E,E:E),1)</f>
        <v>0</v>
      </c>
      <c r="K131" s="68">
        <f>RANK(J131,J:J)</f>
        <v>22</v>
      </c>
      <c r="L131" s="65">
        <f>ROUND(SUMIFS(险种!Q:Q,险种!U:U,"有效",险种!E:E,E:E),1)</f>
        <v>0</v>
      </c>
      <c r="M131" s="68">
        <f>RANK(L131,L:L,)</f>
        <v>14</v>
      </c>
      <c r="N131" s="68">
        <f>SUMIF(险种!E:E,E:E,险种!W:W)</f>
        <v>0</v>
      </c>
      <c r="O131" s="68">
        <f>IF(N:N&gt;=1,1,0)</f>
        <v>0</v>
      </c>
      <c r="P131" s="65">
        <f>ROUND(SUMIFS(险种!Q:Q,险种!V:V,$P$1,险种!E:E,E:E),1)</f>
        <v>0</v>
      </c>
      <c r="Q131" s="68">
        <f>RANK(P131,$P:$P,0)-1</f>
        <v>5</v>
      </c>
      <c r="R131" s="68" t="str">
        <f>A:A&amp;D:D&amp;G:G&amp;"在"&amp;$P$1&amp;"预收"&amp;P:P&amp;"排名中支第"&amp;Q:Q&amp;"位"</f>
        <v>淮南本部夏大鹏伙伴在20210509预收0排名中支第5位</v>
      </c>
      <c r="S131" s="65">
        <f>ROUND(SUMIFS(险种!Q:Q,险种!E:E,E:E,险种!V:V,"&lt;=20210506")-SUMIFS(险种!Q:Q,险种!U:U,"终止",险种!E:E,E:E,险种!V:V,"&lt;=20210506"),1)</f>
        <v>0</v>
      </c>
      <c r="T131" s="65">
        <f>ROUND(SUMIFS(险种!Q:Q,险种!U:U,"有效",险种!E:E,E:E,险种!V:V,"&lt;=20210506"),1)</f>
        <v>0</v>
      </c>
      <c r="U131" s="65">
        <f>ROUND(SUMIFS(险种!Q:Q,险种!E:E,E:E,险种!V:V,"&lt;=20210510")-SUMIFS(险种!Q:Q,险种!U:U,"终止",险种!E:E,E:E,险种!V:V,"&lt;=20210510"),1)</f>
        <v>0</v>
      </c>
      <c r="V131" s="65">
        <f>ROUND(SUMIFS(险种!Q:Q,险种!U:U,"有效",险种!E:E,E:E,险种!V:V,"&lt;=20210510"),1)</f>
        <v>0</v>
      </c>
      <c r="W131" s="65">
        <f t="shared" si="2"/>
        <v>0</v>
      </c>
      <c r="X131" s="68">
        <f>SUMIF(险种!E:E,E:E,险种!Y:Y)</f>
        <v>0</v>
      </c>
      <c r="Y131" s="65">
        <f>MAX(_xlfn.IFS(OR(X:X=1,X:X=2),J:J*0.1,X:X&gt;=3,J:J*0.2,X:X=0,0),IF(J:J&gt;=20000,J:J*0.2,0))</f>
        <v>0</v>
      </c>
      <c r="Z131" s="65" t="str">
        <f>A131&amp;D131&amp;G131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淮南本部夏大鹏伙伴5.1-5.10预收价值保费0，首周预收3000P件数0件，预收拟加佣0元。温馨提示，保单需10日（含）前承保，目前还有0价值保费未承保,开单一件即可获得10%加佣</v>
      </c>
      <c r="AA131" s="68">
        <f>SUMIF(险种!E:E,E:E,险种!Z:Z)</f>
        <v>0</v>
      </c>
      <c r="AB131" s="65"/>
      <c r="AC131" s="68">
        <f>SUMIF(险种!E:E,E:E,险种!AA:AA)</f>
        <v>0</v>
      </c>
      <c r="AD131" s="68">
        <f>SUMIFS(险种!AA:AA,险种!U:U,"有效",险种!E:E,E:E)</f>
        <v>0</v>
      </c>
      <c r="AE131" s="68" t="str">
        <f>A131&amp;D131&amp;G131&amp;"目前获得"&amp;$AC$1&amp;AC:AC&amp;"名，获得"&amp;$AD$1&amp;AD:AD&amp;"名"</f>
        <v>淮南本部夏大鹏伙伴目前获得龙虾节预收名额0名，获得龙虾节承保名额0名</v>
      </c>
      <c r="AF131" s="68">
        <f>SUMIF(认购返还案!D:D,E:E,认购返还案!E:E)</f>
        <v>0</v>
      </c>
      <c r="AG131" s="68">
        <f>_xlfn.IFS(AND(U:U&gt;=3000,U:U&lt;5000),AF:AF*0.5,U:U&gt;=5000,AF:AF*1,U:U&lt;3000,0)</f>
        <v>0</v>
      </c>
      <c r="AH131" s="68">
        <f>_xlfn.IFS(AND(V:V&gt;=3000,V:V&lt;5000),AF:AF*0.5,V:V&gt;=5000,AF:AF*1,V:V&lt;3000,0)</f>
        <v>0</v>
      </c>
      <c r="AI131" s="68" t="str">
        <f>A:A&amp;D:D&amp;G:G&amp;$AF$1&amp;AF:AF&amp;"元，目前预收价值"&amp;U:U&amp;"，"&amp;$AG$1&amp;AG:AG&amp;"元，"&amp;$AH$1&amp;AH:AH&amp;"元"</f>
        <v>淮南本部夏大鹏伙伴冲锋队缴费金额0元，目前预收价值0，预收拟返还0元，承保拟返还0元</v>
      </c>
      <c r="AJ131" s="68">
        <f>SUMIF(保单!R:R,E:E,保单!BE:BE)*IF(AF:AF&gt;1,1,0)</f>
        <v>0</v>
      </c>
      <c r="AK131" s="68">
        <f>SUMIFS(保单!BE:BE,保单!R:R,E:E,保单!BB:BB,"有效")*IF(AF:AF&gt;1,1,0)</f>
        <v>0</v>
      </c>
      <c r="AL131" s="72" t="str">
        <f>A:A&amp;D:D&amp;G:G&amp;"只要在1-10日承保全部保单，即可获得"&amp;$AJ$1&amp;AJ:AJ&amp;"个"</f>
        <v>淮南本部夏大鹏伙伴只要在1-10日承保全部保单，即可获得冲锋队按摩仪0个</v>
      </c>
    </row>
    <row r="132" spans="1:38">
      <c r="A132" s="64" t="s">
        <v>48</v>
      </c>
      <c r="B132" s="64" t="s">
        <v>49</v>
      </c>
      <c r="C132" s="64" t="s">
        <v>82</v>
      </c>
      <c r="D132" s="64" t="s">
        <v>372</v>
      </c>
      <c r="E132" s="64">
        <v>6407283342</v>
      </c>
      <c r="F132" s="64" t="s">
        <v>174</v>
      </c>
      <c r="G132" s="64" t="str">
        <f>IF(OR(F:F="高级经理一级",F:F="业务经理一级"),"主管","伙伴")</f>
        <v>伙伴</v>
      </c>
      <c r="H132" s="65">
        <f>SUMIF(险种!E:E,E:E,险种!R:R)-SUMIFS(险种!R:R,险种!U:U,"终止",险种!E:E,E:E)</f>
        <v>0</v>
      </c>
      <c r="I132" s="65">
        <f>SUMIFS(险种!R:R,险种!U:U,"有效",险种!E:E,E:E)</f>
        <v>0</v>
      </c>
      <c r="J132" s="65">
        <f>ROUND(SUMIF(险种!E:E,E:E,险种!Q:Q)-SUMIFS(险种!Q:Q,险种!U:U,"终止",险种!E:E,E:E),1)</f>
        <v>0</v>
      </c>
      <c r="K132" s="68">
        <f>RANK(J132,J:J)</f>
        <v>22</v>
      </c>
      <c r="L132" s="65">
        <f>ROUND(SUMIFS(险种!Q:Q,险种!U:U,"有效",险种!E:E,E:E),1)</f>
        <v>0</v>
      </c>
      <c r="M132" s="68">
        <f>RANK(L132,L:L,)</f>
        <v>14</v>
      </c>
      <c r="N132" s="68">
        <f>SUMIF(险种!E:E,E:E,险种!W:W)</f>
        <v>0</v>
      </c>
      <c r="O132" s="68">
        <f>IF(N:N&gt;=1,1,0)</f>
        <v>0</v>
      </c>
      <c r="P132" s="65">
        <f>ROUND(SUMIFS(险种!Q:Q,险种!V:V,$P$1,险种!E:E,E:E),1)</f>
        <v>0</v>
      </c>
      <c r="Q132" s="68">
        <f>RANK(P132,$P:$P,0)-1</f>
        <v>5</v>
      </c>
      <c r="R132" s="68" t="str">
        <f>A:A&amp;D:D&amp;G:G&amp;"在"&amp;$P$1&amp;"预收"&amp;P:P&amp;"排名中支第"&amp;Q:Q&amp;"位"</f>
        <v>谢家集祁玉苗伙伴在20210509预收0排名中支第5位</v>
      </c>
      <c r="S132" s="65">
        <f>ROUND(SUMIFS(险种!Q:Q,险种!E:E,E:E,险种!V:V,"&lt;=20210506")-SUMIFS(险种!Q:Q,险种!U:U,"终止",险种!E:E,E:E,险种!V:V,"&lt;=20210506"),1)</f>
        <v>0</v>
      </c>
      <c r="T132" s="65">
        <f>ROUND(SUMIFS(险种!Q:Q,险种!U:U,"有效",险种!E:E,E:E,险种!V:V,"&lt;=20210506"),1)</f>
        <v>0</v>
      </c>
      <c r="U132" s="65">
        <f>ROUND(SUMIFS(险种!Q:Q,险种!E:E,E:E,险种!V:V,"&lt;=20210510")-SUMIFS(险种!Q:Q,险种!U:U,"终止",险种!E:E,E:E,险种!V:V,"&lt;=20210510"),1)</f>
        <v>0</v>
      </c>
      <c r="V132" s="65">
        <f>ROUND(SUMIFS(险种!Q:Q,险种!U:U,"有效",险种!E:E,E:E,险种!V:V,"&lt;=20210510"),1)</f>
        <v>0</v>
      </c>
      <c r="W132" s="65">
        <f t="shared" si="2"/>
        <v>0</v>
      </c>
      <c r="X132" s="68">
        <f>SUMIF(险种!E:E,E:E,险种!Y:Y)</f>
        <v>0</v>
      </c>
      <c r="Y132" s="65">
        <f>MAX(_xlfn.IFS(OR(X:X=1,X:X=2),J:J*0.1,X:X&gt;=3,J:J*0.2,X:X=0,0),IF(J:J&gt;=20000,J:J*0.2,0))</f>
        <v>0</v>
      </c>
      <c r="Z132" s="65" t="str">
        <f>A132&amp;D132&amp;G132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谢家集祁玉苗伙伴5.1-5.10预收价值保费0，首周预收3000P件数0件，预收拟加佣0元。温馨提示，保单需10日（含）前承保，目前还有0价值保费未承保,开单一件即可获得10%加佣</v>
      </c>
      <c r="AA132" s="68">
        <f>SUMIF(险种!E:E,E:E,险种!Z:Z)</f>
        <v>0</v>
      </c>
      <c r="AB132" s="65"/>
      <c r="AC132" s="68">
        <f>SUMIF(险种!E:E,E:E,险种!AA:AA)</f>
        <v>0</v>
      </c>
      <c r="AD132" s="68">
        <f>SUMIFS(险种!AA:AA,险种!U:U,"有效",险种!E:E,E:E)</f>
        <v>0</v>
      </c>
      <c r="AE132" s="68" t="str">
        <f>A132&amp;D132&amp;G132&amp;"目前获得"&amp;$AC$1&amp;AC:AC&amp;"名，获得"&amp;$AD$1&amp;AD:AD&amp;"名"</f>
        <v>谢家集祁玉苗伙伴目前获得龙虾节预收名额0名，获得龙虾节承保名额0名</v>
      </c>
      <c r="AF132" s="68">
        <f>SUMIF(认购返还案!D:D,E:E,认购返还案!E:E)</f>
        <v>0</v>
      </c>
      <c r="AG132" s="68">
        <f>_xlfn.IFS(AND(U:U&gt;=3000,U:U&lt;5000),AF:AF*0.5,U:U&gt;=5000,AF:AF*1,U:U&lt;3000,0)</f>
        <v>0</v>
      </c>
      <c r="AH132" s="68">
        <f>_xlfn.IFS(AND(V:V&gt;=3000,V:V&lt;5000),AF:AF*0.5,V:V&gt;=5000,AF:AF*1,V:V&lt;3000,0)</f>
        <v>0</v>
      </c>
      <c r="AI132" s="68" t="str">
        <f>A:A&amp;D:D&amp;G:G&amp;$AF$1&amp;AF:AF&amp;"元，目前预收价值"&amp;U:U&amp;"，"&amp;$AG$1&amp;AG:AG&amp;"元，"&amp;$AH$1&amp;AH:AH&amp;"元"</f>
        <v>谢家集祁玉苗伙伴冲锋队缴费金额0元，目前预收价值0，预收拟返还0元，承保拟返还0元</v>
      </c>
      <c r="AJ132" s="68">
        <f>SUMIF(保单!R:R,E:E,保单!BE:BE)*IF(AF:AF&gt;1,1,0)</f>
        <v>0</v>
      </c>
      <c r="AK132" s="68">
        <f>SUMIFS(保单!BE:BE,保单!R:R,E:E,保单!BB:BB,"有效")*IF(AF:AF&gt;1,1,0)</f>
        <v>0</v>
      </c>
      <c r="AL132" s="72" t="str">
        <f>A:A&amp;D:D&amp;G:G&amp;"只要在1-10日承保全部保单，即可获得"&amp;$AJ$1&amp;AJ:AJ&amp;"个"</f>
        <v>谢家集祁玉苗伙伴只要在1-10日承保全部保单，即可获得冲锋队按摩仪0个</v>
      </c>
    </row>
    <row r="133" spans="1:38">
      <c r="A133" s="64" t="s">
        <v>42</v>
      </c>
      <c r="B133" s="64" t="s">
        <v>66</v>
      </c>
      <c r="C133" s="64" t="s">
        <v>343</v>
      </c>
      <c r="D133" s="64" t="s">
        <v>373</v>
      </c>
      <c r="E133" s="64">
        <v>6405516502</v>
      </c>
      <c r="F133" s="64" t="s">
        <v>174</v>
      </c>
      <c r="G133" s="64" t="str">
        <f>IF(OR(F:F="高级经理一级",F:F="业务经理一级"),"主管","伙伴")</f>
        <v>伙伴</v>
      </c>
      <c r="H133" s="65">
        <f>SUMIF(险种!E:E,E:E,险种!R:R)-SUMIFS(险种!R:R,险种!U:U,"终止",险种!E:E,E:E)</f>
        <v>0</v>
      </c>
      <c r="I133" s="65">
        <f>SUMIFS(险种!R:R,险种!U:U,"有效",险种!E:E,E:E)</f>
        <v>0</v>
      </c>
      <c r="J133" s="65">
        <f>ROUND(SUMIF(险种!E:E,E:E,险种!Q:Q)-SUMIFS(险种!Q:Q,险种!U:U,"终止",险种!E:E,E:E),1)</f>
        <v>0</v>
      </c>
      <c r="K133" s="68">
        <f>RANK(J133,J:J)</f>
        <v>22</v>
      </c>
      <c r="L133" s="65">
        <f>ROUND(SUMIFS(险种!Q:Q,险种!U:U,"有效",险种!E:E,E:E),1)</f>
        <v>0</v>
      </c>
      <c r="M133" s="68">
        <f>RANK(L133,L:L,)</f>
        <v>14</v>
      </c>
      <c r="N133" s="68">
        <f>SUMIF(险种!E:E,E:E,险种!W:W)</f>
        <v>0</v>
      </c>
      <c r="O133" s="68">
        <f>IF(N:N&gt;=1,1,0)</f>
        <v>0</v>
      </c>
      <c r="P133" s="65">
        <f>ROUND(SUMIFS(险种!Q:Q,险种!V:V,$P$1,险种!E:E,E:E),1)</f>
        <v>0</v>
      </c>
      <c r="Q133" s="68">
        <f>RANK(P133,$P:$P,0)-1</f>
        <v>5</v>
      </c>
      <c r="R133" s="68" t="str">
        <f>A:A&amp;D:D&amp;G:G&amp;"在"&amp;$P$1&amp;"预收"&amp;P:P&amp;"排名中支第"&amp;Q:Q&amp;"位"</f>
        <v>淮南本部胡成梅伙伴在20210509预收0排名中支第5位</v>
      </c>
      <c r="S133" s="65">
        <f>ROUND(SUMIFS(险种!Q:Q,险种!E:E,E:E,险种!V:V,"&lt;=20210506")-SUMIFS(险种!Q:Q,险种!U:U,"终止",险种!E:E,E:E,险种!V:V,"&lt;=20210506"),1)</f>
        <v>0</v>
      </c>
      <c r="T133" s="65">
        <f>ROUND(SUMIFS(险种!Q:Q,险种!U:U,"有效",险种!E:E,E:E,险种!V:V,"&lt;=20210506"),1)</f>
        <v>0</v>
      </c>
      <c r="U133" s="65">
        <f>ROUND(SUMIFS(险种!Q:Q,险种!E:E,E:E,险种!V:V,"&lt;=20210510")-SUMIFS(险种!Q:Q,险种!U:U,"终止",险种!E:E,E:E,险种!V:V,"&lt;=20210510"),1)</f>
        <v>0</v>
      </c>
      <c r="V133" s="65">
        <f>ROUND(SUMIFS(险种!Q:Q,险种!U:U,"有效",险种!E:E,E:E,险种!V:V,"&lt;=20210510"),1)</f>
        <v>0</v>
      </c>
      <c r="W133" s="65">
        <f t="shared" si="2"/>
        <v>0</v>
      </c>
      <c r="X133" s="68">
        <f>SUMIF(险种!E:E,E:E,险种!Y:Y)</f>
        <v>0</v>
      </c>
      <c r="Y133" s="65">
        <f>MAX(_xlfn.IFS(OR(X:X=1,X:X=2),J:J*0.1,X:X&gt;=3,J:J*0.2,X:X=0,0),IF(J:J&gt;=20000,J:J*0.2,0))</f>
        <v>0</v>
      </c>
      <c r="Z133" s="65" t="str">
        <f>A133&amp;D133&amp;G133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淮南本部胡成梅伙伴5.1-5.10预收价值保费0，首周预收3000P件数0件，预收拟加佣0元。温馨提示，保单需10日（含）前承保，目前还有0价值保费未承保,开单一件即可获得10%加佣</v>
      </c>
      <c r="AA133" s="68">
        <f>SUMIF(险种!E:E,E:E,险种!Z:Z)</f>
        <v>0</v>
      </c>
      <c r="AB133" s="65"/>
      <c r="AC133" s="68">
        <f>SUMIF(险种!E:E,E:E,险种!AA:AA)</f>
        <v>0</v>
      </c>
      <c r="AD133" s="68">
        <f>SUMIFS(险种!AA:AA,险种!U:U,"有效",险种!E:E,E:E)</f>
        <v>0</v>
      </c>
      <c r="AE133" s="68" t="str">
        <f>A133&amp;D133&amp;G133&amp;"目前获得"&amp;$AC$1&amp;AC:AC&amp;"名，获得"&amp;$AD$1&amp;AD:AD&amp;"名"</f>
        <v>淮南本部胡成梅伙伴目前获得龙虾节预收名额0名，获得龙虾节承保名额0名</v>
      </c>
      <c r="AF133" s="68">
        <f>SUMIF(认购返还案!D:D,E:E,认购返还案!E:E)</f>
        <v>0</v>
      </c>
      <c r="AG133" s="68">
        <f>_xlfn.IFS(AND(U:U&gt;=3000,U:U&lt;5000),AF:AF*0.5,U:U&gt;=5000,AF:AF*1,U:U&lt;3000,0)</f>
        <v>0</v>
      </c>
      <c r="AH133" s="68">
        <f>_xlfn.IFS(AND(V:V&gt;=3000,V:V&lt;5000),AF:AF*0.5,V:V&gt;=5000,AF:AF*1,V:V&lt;3000,0)</f>
        <v>0</v>
      </c>
      <c r="AI133" s="68" t="str">
        <f>A:A&amp;D:D&amp;G:G&amp;$AF$1&amp;AF:AF&amp;"元，目前预收价值"&amp;U:U&amp;"，"&amp;$AG$1&amp;AG:AG&amp;"元，"&amp;$AH$1&amp;AH:AH&amp;"元"</f>
        <v>淮南本部胡成梅伙伴冲锋队缴费金额0元，目前预收价值0，预收拟返还0元，承保拟返还0元</v>
      </c>
      <c r="AJ133" s="68">
        <f>SUMIF(保单!R:R,E:E,保单!BE:BE)*IF(AF:AF&gt;1,1,0)</f>
        <v>0</v>
      </c>
      <c r="AK133" s="68">
        <f>SUMIFS(保单!BE:BE,保单!R:R,E:E,保单!BB:BB,"有效")*IF(AF:AF&gt;1,1,0)</f>
        <v>0</v>
      </c>
      <c r="AL133" s="72" t="str">
        <f>A:A&amp;D:D&amp;G:G&amp;"只要在1-10日承保全部保单，即可获得"&amp;$AJ$1&amp;AJ:AJ&amp;"个"</f>
        <v>淮南本部胡成梅伙伴只要在1-10日承保全部保单，即可获得冲锋队按摩仪0个</v>
      </c>
    </row>
    <row r="134" spans="1:38">
      <c r="A134" s="64" t="s">
        <v>48</v>
      </c>
      <c r="B134" s="64" t="s">
        <v>49</v>
      </c>
      <c r="C134" s="64" t="s">
        <v>50</v>
      </c>
      <c r="D134" s="64" t="s">
        <v>374</v>
      </c>
      <c r="E134" s="64">
        <v>6401858612</v>
      </c>
      <c r="F134" s="64" t="s">
        <v>174</v>
      </c>
      <c r="G134" s="64" t="str">
        <f>IF(OR(F:F="高级经理一级",F:F="业务经理一级"),"主管","伙伴")</f>
        <v>伙伴</v>
      </c>
      <c r="H134" s="65">
        <f>SUMIF(险种!E:E,E:E,险种!R:R)-SUMIFS(险种!R:R,险种!U:U,"终止",险种!E:E,E:E)</f>
        <v>0</v>
      </c>
      <c r="I134" s="65">
        <f>SUMIFS(险种!R:R,险种!U:U,"有效",险种!E:E,E:E)</f>
        <v>0</v>
      </c>
      <c r="J134" s="65">
        <f>ROUND(SUMIF(险种!E:E,E:E,险种!Q:Q)-SUMIFS(险种!Q:Q,险种!U:U,"终止",险种!E:E,E:E),1)</f>
        <v>0</v>
      </c>
      <c r="K134" s="68">
        <f>RANK(J134,J:J)</f>
        <v>22</v>
      </c>
      <c r="L134" s="65">
        <f>ROUND(SUMIFS(险种!Q:Q,险种!U:U,"有效",险种!E:E,E:E),1)</f>
        <v>0</v>
      </c>
      <c r="M134" s="68">
        <f>RANK(L134,L:L,)</f>
        <v>14</v>
      </c>
      <c r="N134" s="68">
        <f>SUMIF(险种!E:E,E:E,险种!W:W)</f>
        <v>0</v>
      </c>
      <c r="O134" s="68">
        <f>IF(N:N&gt;=1,1,0)</f>
        <v>0</v>
      </c>
      <c r="P134" s="65">
        <f>ROUND(SUMIFS(险种!Q:Q,险种!V:V,$P$1,险种!E:E,E:E),1)</f>
        <v>0</v>
      </c>
      <c r="Q134" s="68">
        <f>RANK(P134,$P:$P,0)-1</f>
        <v>5</v>
      </c>
      <c r="R134" s="68" t="str">
        <f>A:A&amp;D:D&amp;G:G&amp;"在"&amp;$P$1&amp;"预收"&amp;P:P&amp;"排名中支第"&amp;Q:Q&amp;"位"</f>
        <v>谢家集李萍伙伴在20210509预收0排名中支第5位</v>
      </c>
      <c r="S134" s="65">
        <f>ROUND(SUMIFS(险种!Q:Q,险种!E:E,E:E,险种!V:V,"&lt;=20210506")-SUMIFS(险种!Q:Q,险种!U:U,"终止",险种!E:E,E:E,险种!V:V,"&lt;=20210506"),1)</f>
        <v>0</v>
      </c>
      <c r="T134" s="65">
        <f>ROUND(SUMIFS(险种!Q:Q,险种!U:U,"有效",险种!E:E,E:E,险种!V:V,"&lt;=20210506"),1)</f>
        <v>0</v>
      </c>
      <c r="U134" s="65">
        <f>ROUND(SUMIFS(险种!Q:Q,险种!E:E,E:E,险种!V:V,"&lt;=20210510")-SUMIFS(险种!Q:Q,险种!U:U,"终止",险种!E:E,E:E,险种!V:V,"&lt;=20210510"),1)</f>
        <v>0</v>
      </c>
      <c r="V134" s="65">
        <f>ROUND(SUMIFS(险种!Q:Q,险种!U:U,"有效",险种!E:E,E:E,险种!V:V,"&lt;=20210510"),1)</f>
        <v>0</v>
      </c>
      <c r="W134" s="65">
        <f t="shared" si="2"/>
        <v>0</v>
      </c>
      <c r="X134" s="68">
        <f>SUMIF(险种!E:E,E:E,险种!Y:Y)</f>
        <v>0</v>
      </c>
      <c r="Y134" s="65">
        <f>MAX(_xlfn.IFS(OR(X:X=1,X:X=2),J:J*0.1,X:X&gt;=3,J:J*0.2,X:X=0,0),IF(J:J&gt;=20000,J:J*0.2,0))</f>
        <v>0</v>
      </c>
      <c r="Z134" s="65" t="str">
        <f>A134&amp;D134&amp;G134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谢家集李萍伙伴5.1-5.10预收价值保费0，首周预收3000P件数0件，预收拟加佣0元。温馨提示，保单需10日（含）前承保，目前还有0价值保费未承保,开单一件即可获得10%加佣</v>
      </c>
      <c r="AA134" s="68">
        <f>SUMIF(险种!E:E,E:E,险种!Z:Z)</f>
        <v>0</v>
      </c>
      <c r="AB134" s="65"/>
      <c r="AC134" s="68">
        <f>SUMIF(险种!E:E,E:E,险种!AA:AA)</f>
        <v>0</v>
      </c>
      <c r="AD134" s="68">
        <f>SUMIFS(险种!AA:AA,险种!U:U,"有效",险种!E:E,E:E)</f>
        <v>0</v>
      </c>
      <c r="AE134" s="68" t="str">
        <f>A134&amp;D134&amp;G134&amp;"目前获得"&amp;$AC$1&amp;AC:AC&amp;"名，获得"&amp;$AD$1&amp;AD:AD&amp;"名"</f>
        <v>谢家集李萍伙伴目前获得龙虾节预收名额0名，获得龙虾节承保名额0名</v>
      </c>
      <c r="AF134" s="68">
        <f>SUMIF(认购返还案!D:D,E:E,认购返还案!E:E)</f>
        <v>0</v>
      </c>
      <c r="AG134" s="68">
        <f>_xlfn.IFS(AND(U:U&gt;=3000,U:U&lt;5000),AF:AF*0.5,U:U&gt;=5000,AF:AF*1,U:U&lt;3000,0)</f>
        <v>0</v>
      </c>
      <c r="AH134" s="68">
        <f>_xlfn.IFS(AND(V:V&gt;=3000,V:V&lt;5000),AF:AF*0.5,V:V&gt;=5000,AF:AF*1,V:V&lt;3000,0)</f>
        <v>0</v>
      </c>
      <c r="AI134" s="68" t="str">
        <f>A:A&amp;D:D&amp;G:G&amp;$AF$1&amp;AF:AF&amp;"元，目前预收价值"&amp;U:U&amp;"，"&amp;$AG$1&amp;AG:AG&amp;"元，"&amp;$AH$1&amp;AH:AH&amp;"元"</f>
        <v>谢家集李萍伙伴冲锋队缴费金额0元，目前预收价值0，预收拟返还0元，承保拟返还0元</v>
      </c>
      <c r="AJ134" s="68">
        <f>SUMIF(保单!R:R,E:E,保单!BE:BE)*IF(AF:AF&gt;1,1,0)</f>
        <v>0</v>
      </c>
      <c r="AK134" s="68">
        <f>SUMIFS(保单!BE:BE,保单!R:R,E:E,保单!BB:BB,"有效")*IF(AF:AF&gt;1,1,0)</f>
        <v>0</v>
      </c>
      <c r="AL134" s="72" t="str">
        <f>A:A&amp;D:D&amp;G:G&amp;"只要在1-10日承保全部保单，即可获得"&amp;$AJ$1&amp;AJ:AJ&amp;"个"</f>
        <v>谢家集李萍伙伴只要在1-10日承保全部保单，即可获得冲锋队按摩仪0个</v>
      </c>
    </row>
    <row r="135" spans="1:38">
      <c r="A135" s="64" t="s">
        <v>27</v>
      </c>
      <c r="B135" s="64" t="s">
        <v>28</v>
      </c>
      <c r="C135" s="64" t="s">
        <v>29</v>
      </c>
      <c r="D135" s="64" t="s">
        <v>375</v>
      </c>
      <c r="E135" s="64">
        <v>6396799172</v>
      </c>
      <c r="F135" s="64" t="s">
        <v>158</v>
      </c>
      <c r="G135" s="64" t="str">
        <f>IF(OR(F:F="高级经理一级",F:F="业务经理一级"),"主管","伙伴")</f>
        <v>伙伴</v>
      </c>
      <c r="H135" s="65">
        <f>SUMIF(险种!E:E,E:E,险种!R:R)-SUMIFS(险种!R:R,险种!U:U,"终止",险种!E:E,E:E)</f>
        <v>0</v>
      </c>
      <c r="I135" s="65">
        <f>SUMIFS(险种!R:R,险种!U:U,"有效",险种!E:E,E:E)</f>
        <v>0</v>
      </c>
      <c r="J135" s="65">
        <f>ROUND(SUMIF(险种!E:E,E:E,险种!Q:Q)-SUMIFS(险种!Q:Q,险种!U:U,"终止",险种!E:E,E:E),1)</f>
        <v>0</v>
      </c>
      <c r="K135" s="68">
        <f>RANK(J135,J:J)</f>
        <v>22</v>
      </c>
      <c r="L135" s="65">
        <f>ROUND(SUMIFS(险种!Q:Q,险种!U:U,"有效",险种!E:E,E:E),1)</f>
        <v>0</v>
      </c>
      <c r="M135" s="68">
        <f>RANK(L135,L:L,)</f>
        <v>14</v>
      </c>
      <c r="N135" s="68">
        <f>SUMIF(险种!E:E,E:E,险种!W:W)</f>
        <v>0</v>
      </c>
      <c r="O135" s="68">
        <f>IF(N:N&gt;=1,1,0)</f>
        <v>0</v>
      </c>
      <c r="P135" s="65">
        <f>ROUND(SUMIFS(险种!Q:Q,险种!V:V,$P$1,险种!E:E,E:E),1)</f>
        <v>0</v>
      </c>
      <c r="Q135" s="68">
        <f>RANK(P135,$P:$P,0)-1</f>
        <v>5</v>
      </c>
      <c r="R135" s="68" t="str">
        <f>A:A&amp;D:D&amp;G:G&amp;"在"&amp;$P$1&amp;"预收"&amp;P:P&amp;"排名中支第"&amp;Q:Q&amp;"位"</f>
        <v>凤台段军平伙伴在20210509预收0排名中支第5位</v>
      </c>
      <c r="S135" s="65">
        <f>ROUND(SUMIFS(险种!Q:Q,险种!E:E,E:E,险种!V:V,"&lt;=20210506")-SUMIFS(险种!Q:Q,险种!U:U,"终止",险种!E:E,E:E,险种!V:V,"&lt;=20210506"),1)</f>
        <v>0</v>
      </c>
      <c r="T135" s="65">
        <f>ROUND(SUMIFS(险种!Q:Q,险种!U:U,"有效",险种!E:E,E:E,险种!V:V,"&lt;=20210506"),1)</f>
        <v>0</v>
      </c>
      <c r="U135" s="65">
        <f>ROUND(SUMIFS(险种!Q:Q,险种!E:E,E:E,险种!V:V,"&lt;=20210510")-SUMIFS(险种!Q:Q,险种!U:U,"终止",险种!E:E,E:E,险种!V:V,"&lt;=20210510"),1)</f>
        <v>0</v>
      </c>
      <c r="V135" s="65">
        <f>ROUND(SUMIFS(险种!Q:Q,险种!U:U,"有效",险种!E:E,E:E,险种!V:V,"&lt;=20210510"),1)</f>
        <v>0</v>
      </c>
      <c r="W135" s="65">
        <f t="shared" si="2"/>
        <v>0</v>
      </c>
      <c r="X135" s="68">
        <f>SUMIF(险种!E:E,E:E,险种!Y:Y)</f>
        <v>0</v>
      </c>
      <c r="Y135" s="65">
        <f>MAX(_xlfn.IFS(OR(X:X=1,X:X=2),J:J*0.1,X:X&gt;=3,J:J*0.2,X:X=0,0),IF(J:J&gt;=20000,J:J*0.2,0))</f>
        <v>0</v>
      </c>
      <c r="Z135" s="65" t="str">
        <f>A135&amp;D135&amp;G135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凤台段军平伙伴5.1-5.10预收价值保费0，首周预收3000P件数0件，预收拟加佣0元。温馨提示，保单需10日（含）前承保，目前还有0价值保费未承保,开单一件即可获得10%加佣</v>
      </c>
      <c r="AA135" s="68">
        <f>SUMIF(险种!E:E,E:E,险种!Z:Z)</f>
        <v>0</v>
      </c>
      <c r="AB135" s="65"/>
      <c r="AC135" s="68">
        <f>SUMIF(险种!E:E,E:E,险种!AA:AA)</f>
        <v>0</v>
      </c>
      <c r="AD135" s="68">
        <f>SUMIFS(险种!AA:AA,险种!U:U,"有效",险种!E:E,E:E)</f>
        <v>0</v>
      </c>
      <c r="AE135" s="68" t="str">
        <f>A135&amp;D135&amp;G135&amp;"目前获得"&amp;$AC$1&amp;AC:AC&amp;"名，获得"&amp;$AD$1&amp;AD:AD&amp;"名"</f>
        <v>凤台段军平伙伴目前获得龙虾节预收名额0名，获得龙虾节承保名额0名</v>
      </c>
      <c r="AF135" s="68">
        <f>SUMIF(认购返还案!D:D,E:E,认购返还案!E:E)</f>
        <v>0</v>
      </c>
      <c r="AG135" s="68">
        <f>_xlfn.IFS(AND(U:U&gt;=3000,U:U&lt;5000),AF:AF*0.5,U:U&gt;=5000,AF:AF*1,U:U&lt;3000,0)</f>
        <v>0</v>
      </c>
      <c r="AH135" s="68">
        <f>_xlfn.IFS(AND(V:V&gt;=3000,V:V&lt;5000),AF:AF*0.5,V:V&gt;=5000,AF:AF*1,V:V&lt;3000,0)</f>
        <v>0</v>
      </c>
      <c r="AI135" s="68" t="str">
        <f>A:A&amp;D:D&amp;G:G&amp;$AF$1&amp;AF:AF&amp;"元，目前预收价值"&amp;U:U&amp;"，"&amp;$AG$1&amp;AG:AG&amp;"元，"&amp;$AH$1&amp;AH:AH&amp;"元"</f>
        <v>凤台段军平伙伴冲锋队缴费金额0元，目前预收价值0，预收拟返还0元，承保拟返还0元</v>
      </c>
      <c r="AJ135" s="68">
        <f>SUMIF(保单!R:R,E:E,保单!BE:BE)*IF(AF:AF&gt;1,1,0)</f>
        <v>0</v>
      </c>
      <c r="AK135" s="68">
        <f>SUMIFS(保单!BE:BE,保单!R:R,E:E,保单!BB:BB,"有效")*IF(AF:AF&gt;1,1,0)</f>
        <v>0</v>
      </c>
      <c r="AL135" s="72" t="str">
        <f>A:A&amp;D:D&amp;G:G&amp;"只要在1-10日承保全部保单，即可获得"&amp;$AJ$1&amp;AJ:AJ&amp;"个"</f>
        <v>凤台段军平伙伴只要在1-10日承保全部保单，即可获得冲锋队按摩仪0个</v>
      </c>
    </row>
    <row r="136" spans="1:38">
      <c r="A136" s="64" t="s">
        <v>42</v>
      </c>
      <c r="B136" s="64" t="s">
        <v>66</v>
      </c>
      <c r="C136" s="64" t="s">
        <v>67</v>
      </c>
      <c r="D136" s="64" t="s">
        <v>376</v>
      </c>
      <c r="E136" s="64">
        <v>6396794672</v>
      </c>
      <c r="F136" s="64" t="s">
        <v>174</v>
      </c>
      <c r="G136" s="64" t="str">
        <f>IF(OR(F:F="高级经理一级",F:F="业务经理一级"),"主管","伙伴")</f>
        <v>伙伴</v>
      </c>
      <c r="H136" s="65">
        <f>SUMIF(险种!E:E,E:E,险种!R:R)-SUMIFS(险种!R:R,险种!U:U,"终止",险种!E:E,E:E)</f>
        <v>0</v>
      </c>
      <c r="I136" s="65">
        <f>SUMIFS(险种!R:R,险种!U:U,"有效",险种!E:E,E:E)</f>
        <v>0</v>
      </c>
      <c r="J136" s="65">
        <f>ROUND(SUMIF(险种!E:E,E:E,险种!Q:Q)-SUMIFS(险种!Q:Q,险种!U:U,"终止",险种!E:E,E:E),1)</f>
        <v>0</v>
      </c>
      <c r="K136" s="68">
        <f>RANK(J136,J:J)</f>
        <v>22</v>
      </c>
      <c r="L136" s="65">
        <f>ROUND(SUMIFS(险种!Q:Q,险种!U:U,"有效",险种!E:E,E:E),1)</f>
        <v>0</v>
      </c>
      <c r="M136" s="68">
        <f>RANK(L136,L:L,)</f>
        <v>14</v>
      </c>
      <c r="N136" s="68">
        <f>SUMIF(险种!E:E,E:E,险种!W:W)</f>
        <v>0</v>
      </c>
      <c r="O136" s="68">
        <f>IF(N:N&gt;=1,1,0)</f>
        <v>0</v>
      </c>
      <c r="P136" s="65">
        <f>ROUND(SUMIFS(险种!Q:Q,险种!V:V,$P$1,险种!E:E,E:E),1)</f>
        <v>0</v>
      </c>
      <c r="Q136" s="68">
        <f>RANK(P136,$P:$P,0)-1</f>
        <v>5</v>
      </c>
      <c r="R136" s="68" t="str">
        <f>A:A&amp;D:D&amp;G:G&amp;"在"&amp;$P$1&amp;"预收"&amp;P:P&amp;"排名中支第"&amp;Q:Q&amp;"位"</f>
        <v>淮南本部曹建航伙伴在20210509预收0排名中支第5位</v>
      </c>
      <c r="S136" s="65">
        <f>ROUND(SUMIFS(险种!Q:Q,险种!E:E,E:E,险种!V:V,"&lt;=20210506")-SUMIFS(险种!Q:Q,险种!U:U,"终止",险种!E:E,E:E,险种!V:V,"&lt;=20210506"),1)</f>
        <v>0</v>
      </c>
      <c r="T136" s="65">
        <f>ROUND(SUMIFS(险种!Q:Q,险种!U:U,"有效",险种!E:E,E:E,险种!V:V,"&lt;=20210506"),1)</f>
        <v>0</v>
      </c>
      <c r="U136" s="65">
        <f>ROUND(SUMIFS(险种!Q:Q,险种!E:E,E:E,险种!V:V,"&lt;=20210510")-SUMIFS(险种!Q:Q,险种!U:U,"终止",险种!E:E,E:E,险种!V:V,"&lt;=20210510"),1)</f>
        <v>0</v>
      </c>
      <c r="V136" s="65">
        <f>ROUND(SUMIFS(险种!Q:Q,险种!U:U,"有效",险种!E:E,E:E,险种!V:V,"&lt;=20210510"),1)</f>
        <v>0</v>
      </c>
      <c r="W136" s="65">
        <f t="shared" si="2"/>
        <v>0</v>
      </c>
      <c r="X136" s="68">
        <f>SUMIF(险种!E:E,E:E,险种!Y:Y)</f>
        <v>0</v>
      </c>
      <c r="Y136" s="65">
        <f>MAX(_xlfn.IFS(OR(X:X=1,X:X=2),J:J*0.1,X:X&gt;=3,J:J*0.2,X:X=0,0),IF(J:J&gt;=20000,J:J*0.2,0))</f>
        <v>0</v>
      </c>
      <c r="Z136" s="65" t="str">
        <f>A136&amp;D136&amp;G136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淮南本部曹建航伙伴5.1-5.10预收价值保费0，首周预收3000P件数0件，预收拟加佣0元。温馨提示，保单需10日（含）前承保，目前还有0价值保费未承保,开单一件即可获得10%加佣</v>
      </c>
      <c r="AA136" s="68">
        <f>SUMIF(险种!E:E,E:E,险种!Z:Z)</f>
        <v>0</v>
      </c>
      <c r="AB136" s="65"/>
      <c r="AC136" s="68">
        <f>SUMIF(险种!E:E,E:E,险种!AA:AA)</f>
        <v>0</v>
      </c>
      <c r="AD136" s="68">
        <f>SUMIFS(险种!AA:AA,险种!U:U,"有效",险种!E:E,E:E)</f>
        <v>0</v>
      </c>
      <c r="AE136" s="68" t="str">
        <f>A136&amp;D136&amp;G136&amp;"目前获得"&amp;$AC$1&amp;AC:AC&amp;"名，获得"&amp;$AD$1&amp;AD:AD&amp;"名"</f>
        <v>淮南本部曹建航伙伴目前获得龙虾节预收名额0名，获得龙虾节承保名额0名</v>
      </c>
      <c r="AF136" s="68">
        <f>SUMIF(认购返还案!D:D,E:E,认购返还案!E:E)</f>
        <v>0</v>
      </c>
      <c r="AG136" s="68">
        <f>_xlfn.IFS(AND(U:U&gt;=3000,U:U&lt;5000),AF:AF*0.5,U:U&gt;=5000,AF:AF*1,U:U&lt;3000,0)</f>
        <v>0</v>
      </c>
      <c r="AH136" s="68">
        <f>_xlfn.IFS(AND(V:V&gt;=3000,V:V&lt;5000),AF:AF*0.5,V:V&gt;=5000,AF:AF*1,V:V&lt;3000,0)</f>
        <v>0</v>
      </c>
      <c r="AI136" s="68" t="str">
        <f>A:A&amp;D:D&amp;G:G&amp;$AF$1&amp;AF:AF&amp;"元，目前预收价值"&amp;U:U&amp;"，"&amp;$AG$1&amp;AG:AG&amp;"元，"&amp;$AH$1&amp;AH:AH&amp;"元"</f>
        <v>淮南本部曹建航伙伴冲锋队缴费金额0元，目前预收价值0，预收拟返还0元，承保拟返还0元</v>
      </c>
      <c r="AJ136" s="68">
        <f>SUMIF(保单!R:R,E:E,保单!BE:BE)*IF(AF:AF&gt;1,1,0)</f>
        <v>0</v>
      </c>
      <c r="AK136" s="68">
        <f>SUMIFS(保单!BE:BE,保单!R:R,E:E,保单!BB:BB,"有效")*IF(AF:AF&gt;1,1,0)</f>
        <v>0</v>
      </c>
      <c r="AL136" s="72" t="str">
        <f>A:A&amp;D:D&amp;G:G&amp;"只要在1-10日承保全部保单，即可获得"&amp;$AJ$1&amp;AJ:AJ&amp;"个"</f>
        <v>淮南本部曹建航伙伴只要在1-10日承保全部保单，即可获得冲锋队按摩仪0个</v>
      </c>
    </row>
    <row r="137" spans="1:38">
      <c r="A137" s="64" t="s">
        <v>42</v>
      </c>
      <c r="B137" s="64" t="s">
        <v>62</v>
      </c>
      <c r="C137" s="64" t="s">
        <v>63</v>
      </c>
      <c r="D137" s="64" t="s">
        <v>216</v>
      </c>
      <c r="E137" s="64">
        <v>6396788302</v>
      </c>
      <c r="F137" s="64" t="s">
        <v>165</v>
      </c>
      <c r="G137" s="64" t="str">
        <f>IF(OR(F:F="高级经理一级",F:F="业务经理一级"),"主管","伙伴")</f>
        <v>主管</v>
      </c>
      <c r="H137" s="65">
        <f>SUMIF(险种!E:E,E:E,险种!R:R)-SUMIFS(险种!R:R,险种!U:U,"终止",险种!E:E,E:E)</f>
        <v>0</v>
      </c>
      <c r="I137" s="65">
        <f>SUMIFS(险种!R:R,险种!U:U,"有效",险种!E:E,E:E)</f>
        <v>0</v>
      </c>
      <c r="J137" s="65">
        <f>ROUND(SUMIF(险种!E:E,E:E,险种!Q:Q)-SUMIFS(险种!Q:Q,险种!U:U,"终止",险种!E:E,E:E),1)</f>
        <v>0</v>
      </c>
      <c r="K137" s="68">
        <f>RANK(J137,J:J)</f>
        <v>22</v>
      </c>
      <c r="L137" s="65">
        <f>ROUND(SUMIFS(险种!Q:Q,险种!U:U,"有效",险种!E:E,E:E),1)</f>
        <v>0</v>
      </c>
      <c r="M137" s="68">
        <f>RANK(L137,L:L,)</f>
        <v>14</v>
      </c>
      <c r="N137" s="68">
        <f>SUMIF(险种!E:E,E:E,险种!W:W)</f>
        <v>0</v>
      </c>
      <c r="O137" s="68">
        <f>IF(N:N&gt;=1,1,0)</f>
        <v>0</v>
      </c>
      <c r="P137" s="65">
        <f>ROUND(SUMIFS(险种!Q:Q,险种!V:V,$P$1,险种!E:E,E:E),1)</f>
        <v>0</v>
      </c>
      <c r="Q137" s="68">
        <f>RANK(P137,$P:$P,0)-1</f>
        <v>5</v>
      </c>
      <c r="R137" s="68" t="str">
        <f>A:A&amp;D:D&amp;G:G&amp;"在"&amp;$P$1&amp;"预收"&amp;P:P&amp;"排名中支第"&amp;Q:Q&amp;"位"</f>
        <v>淮南本部王沁主管在20210509预收0排名中支第5位</v>
      </c>
      <c r="S137" s="65">
        <f>ROUND(SUMIFS(险种!Q:Q,险种!E:E,E:E,险种!V:V,"&lt;=20210506")-SUMIFS(险种!Q:Q,险种!U:U,"终止",险种!E:E,E:E,险种!V:V,"&lt;=20210506"),1)</f>
        <v>0</v>
      </c>
      <c r="T137" s="65">
        <f>ROUND(SUMIFS(险种!Q:Q,险种!U:U,"有效",险种!E:E,E:E,险种!V:V,"&lt;=20210506"),1)</f>
        <v>0</v>
      </c>
      <c r="U137" s="65">
        <f>ROUND(SUMIFS(险种!Q:Q,险种!E:E,E:E,险种!V:V,"&lt;=20210510")-SUMIFS(险种!Q:Q,险种!U:U,"终止",险种!E:E,E:E,险种!V:V,"&lt;=20210510"),1)</f>
        <v>0</v>
      </c>
      <c r="V137" s="65">
        <f>ROUND(SUMIFS(险种!Q:Q,险种!U:U,"有效",险种!E:E,E:E,险种!V:V,"&lt;=20210510"),1)</f>
        <v>0</v>
      </c>
      <c r="W137" s="65">
        <f t="shared" si="2"/>
        <v>0</v>
      </c>
      <c r="X137" s="68">
        <f>SUMIF(险种!E:E,E:E,险种!Y:Y)</f>
        <v>0</v>
      </c>
      <c r="Y137" s="65">
        <f>MAX(_xlfn.IFS(OR(X:X=1,X:X=2),J:J*0.1,X:X&gt;=3,J:J*0.2,X:X=0,0),IF(J:J&gt;=20000,J:J*0.2,0))</f>
        <v>0</v>
      </c>
      <c r="Z137" s="65" t="str">
        <f>A137&amp;D137&amp;G137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淮南本部王沁主管5.1-5.10预收价值保费0，首周预收3000P件数0件，预收拟加佣0元。温馨提示，保单需10日（含）前承保，目前还有0价值保费未承保,开单一件即可获得10%加佣</v>
      </c>
      <c r="AA137" s="68">
        <f>SUMIF(险种!E:E,E:E,险种!Z:Z)</f>
        <v>0</v>
      </c>
      <c r="AB137" s="65"/>
      <c r="AC137" s="68">
        <f>SUMIF(险种!E:E,E:E,险种!AA:AA)</f>
        <v>0</v>
      </c>
      <c r="AD137" s="68">
        <f>SUMIFS(险种!AA:AA,险种!U:U,"有效",险种!E:E,E:E)</f>
        <v>0</v>
      </c>
      <c r="AE137" s="68" t="str">
        <f>A137&amp;D137&amp;G137&amp;"目前获得"&amp;$AC$1&amp;AC:AC&amp;"名，获得"&amp;$AD$1&amp;AD:AD&amp;"名"</f>
        <v>淮南本部王沁主管目前获得龙虾节预收名额0名，获得龙虾节承保名额0名</v>
      </c>
      <c r="AF137" s="68">
        <f>SUMIF(认购返还案!D:D,E:E,认购返还案!E:E)</f>
        <v>200</v>
      </c>
      <c r="AG137" s="68">
        <f>_xlfn.IFS(AND(U:U&gt;=3000,U:U&lt;5000),AF:AF*0.5,U:U&gt;=5000,AF:AF*1,U:U&lt;3000,0)</f>
        <v>0</v>
      </c>
      <c r="AH137" s="68">
        <f>_xlfn.IFS(AND(V:V&gt;=3000,V:V&lt;5000),AF:AF*0.5,V:V&gt;=5000,AF:AF*1,V:V&lt;3000,0)</f>
        <v>0</v>
      </c>
      <c r="AI137" s="68" t="str">
        <f>A:A&amp;D:D&amp;G:G&amp;$AF$1&amp;AF:AF&amp;"元，目前预收价值"&amp;U:U&amp;"，"&amp;$AG$1&amp;AG:AG&amp;"元，"&amp;$AH$1&amp;AH:AH&amp;"元"</f>
        <v>淮南本部王沁主管冲锋队缴费金额200元，目前预收价值0，预收拟返还0元，承保拟返还0元</v>
      </c>
      <c r="AJ137" s="68">
        <f>SUMIF(保单!R:R,E:E,保单!BE:BE)*IF(AF:AF&gt;1,1,0)</f>
        <v>0</v>
      </c>
      <c r="AK137" s="68">
        <f>SUMIFS(保单!BE:BE,保单!R:R,E:E,保单!BB:BB,"有效")*IF(AF:AF&gt;1,1,0)</f>
        <v>0</v>
      </c>
      <c r="AL137" s="72" t="str">
        <f>A:A&amp;D:D&amp;G:G&amp;"只要在1-10日承保全部保单，即可获得"&amp;$AJ$1&amp;AJ:AJ&amp;"个"</f>
        <v>淮南本部王沁主管只要在1-10日承保全部保单，即可获得冲锋队按摩仪0个</v>
      </c>
    </row>
    <row r="138" spans="1:38">
      <c r="A138" s="64" t="s">
        <v>27</v>
      </c>
      <c r="B138" s="64" t="s">
        <v>28</v>
      </c>
      <c r="C138" s="64" t="s">
        <v>29</v>
      </c>
      <c r="D138" s="64" t="s">
        <v>377</v>
      </c>
      <c r="E138" s="64">
        <v>6392046172</v>
      </c>
      <c r="F138" s="64" t="s">
        <v>174</v>
      </c>
      <c r="G138" s="64" t="str">
        <f>IF(OR(F:F="高级经理一级",F:F="业务经理一级"),"主管","伙伴")</f>
        <v>伙伴</v>
      </c>
      <c r="H138" s="65">
        <f>SUMIF(险种!E:E,E:E,险种!R:R)-SUMIFS(险种!R:R,险种!U:U,"终止",险种!E:E,E:E)</f>
        <v>0</v>
      </c>
      <c r="I138" s="65">
        <f>SUMIFS(险种!R:R,险种!U:U,"有效",险种!E:E,E:E)</f>
        <v>0</v>
      </c>
      <c r="J138" s="65">
        <f>ROUND(SUMIF(险种!E:E,E:E,险种!Q:Q)-SUMIFS(险种!Q:Q,险种!U:U,"终止",险种!E:E,E:E),1)</f>
        <v>0</v>
      </c>
      <c r="K138" s="68">
        <f>RANK(J138,J:J)</f>
        <v>22</v>
      </c>
      <c r="L138" s="65">
        <f>ROUND(SUMIFS(险种!Q:Q,险种!U:U,"有效",险种!E:E,E:E),1)</f>
        <v>0</v>
      </c>
      <c r="M138" s="68">
        <f>RANK(L138,L:L,)</f>
        <v>14</v>
      </c>
      <c r="N138" s="68">
        <f>SUMIF(险种!E:E,E:E,险种!W:W)</f>
        <v>0</v>
      </c>
      <c r="O138" s="68">
        <f>IF(N:N&gt;=1,1,0)</f>
        <v>0</v>
      </c>
      <c r="P138" s="65">
        <f>ROUND(SUMIFS(险种!Q:Q,险种!V:V,$P$1,险种!E:E,E:E),1)</f>
        <v>0</v>
      </c>
      <c r="Q138" s="68">
        <f>RANK(P138,$P:$P,0)-1</f>
        <v>5</v>
      </c>
      <c r="R138" s="68" t="str">
        <f>A:A&amp;D:D&amp;G:G&amp;"在"&amp;$P$1&amp;"预收"&amp;P:P&amp;"排名中支第"&amp;Q:Q&amp;"位"</f>
        <v>凤台王克侠伙伴在20210509预收0排名中支第5位</v>
      </c>
      <c r="S138" s="65">
        <f>ROUND(SUMIFS(险种!Q:Q,险种!E:E,E:E,险种!V:V,"&lt;=20210506")-SUMIFS(险种!Q:Q,险种!U:U,"终止",险种!E:E,E:E,险种!V:V,"&lt;=20210506"),1)</f>
        <v>0</v>
      </c>
      <c r="T138" s="65">
        <f>ROUND(SUMIFS(险种!Q:Q,险种!U:U,"有效",险种!E:E,E:E,险种!V:V,"&lt;=20210506"),1)</f>
        <v>0</v>
      </c>
      <c r="U138" s="65">
        <f>ROUND(SUMIFS(险种!Q:Q,险种!E:E,E:E,险种!V:V,"&lt;=20210510")-SUMIFS(险种!Q:Q,险种!U:U,"终止",险种!E:E,E:E,险种!V:V,"&lt;=20210510"),1)</f>
        <v>0</v>
      </c>
      <c r="V138" s="65">
        <f>ROUND(SUMIFS(险种!Q:Q,险种!U:U,"有效",险种!E:E,E:E,险种!V:V,"&lt;=20210510"),1)</f>
        <v>0</v>
      </c>
      <c r="W138" s="65">
        <f t="shared" si="2"/>
        <v>0</v>
      </c>
      <c r="X138" s="68">
        <f>SUMIF(险种!E:E,E:E,险种!Y:Y)</f>
        <v>0</v>
      </c>
      <c r="Y138" s="65">
        <f>MAX(_xlfn.IFS(OR(X:X=1,X:X=2),J:J*0.1,X:X&gt;=3,J:J*0.2,X:X=0,0),IF(J:J&gt;=20000,J:J*0.2,0))</f>
        <v>0</v>
      </c>
      <c r="Z138" s="65" t="str">
        <f>A138&amp;D138&amp;G138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凤台王克侠伙伴5.1-5.10预收价值保费0，首周预收3000P件数0件，预收拟加佣0元。温馨提示，保单需10日（含）前承保，目前还有0价值保费未承保,开单一件即可获得10%加佣</v>
      </c>
      <c r="AA138" s="68">
        <f>SUMIF(险种!E:E,E:E,险种!Z:Z)</f>
        <v>0</v>
      </c>
      <c r="AB138" s="65"/>
      <c r="AC138" s="68">
        <f>SUMIF(险种!E:E,E:E,险种!AA:AA)</f>
        <v>0</v>
      </c>
      <c r="AD138" s="68">
        <f>SUMIFS(险种!AA:AA,险种!U:U,"有效",险种!E:E,E:E)</f>
        <v>0</v>
      </c>
      <c r="AE138" s="68" t="str">
        <f>A138&amp;D138&amp;G138&amp;"目前获得"&amp;$AC$1&amp;AC:AC&amp;"名，获得"&amp;$AD$1&amp;AD:AD&amp;"名"</f>
        <v>凤台王克侠伙伴目前获得龙虾节预收名额0名，获得龙虾节承保名额0名</v>
      </c>
      <c r="AF138" s="68">
        <f>SUMIF(认购返还案!D:D,E:E,认购返还案!E:E)</f>
        <v>0</v>
      </c>
      <c r="AG138" s="68">
        <f>_xlfn.IFS(AND(U:U&gt;=3000,U:U&lt;5000),AF:AF*0.5,U:U&gt;=5000,AF:AF*1,U:U&lt;3000,0)</f>
        <v>0</v>
      </c>
      <c r="AH138" s="68">
        <f>_xlfn.IFS(AND(V:V&gt;=3000,V:V&lt;5000),AF:AF*0.5,V:V&gt;=5000,AF:AF*1,V:V&lt;3000,0)</f>
        <v>0</v>
      </c>
      <c r="AI138" s="68" t="str">
        <f>A:A&amp;D:D&amp;G:G&amp;$AF$1&amp;AF:AF&amp;"元，目前预收价值"&amp;U:U&amp;"，"&amp;$AG$1&amp;AG:AG&amp;"元，"&amp;$AH$1&amp;AH:AH&amp;"元"</f>
        <v>凤台王克侠伙伴冲锋队缴费金额0元，目前预收价值0，预收拟返还0元，承保拟返还0元</v>
      </c>
      <c r="AJ138" s="68">
        <f>SUMIF(保单!R:R,E:E,保单!BE:BE)*IF(AF:AF&gt;1,1,0)</f>
        <v>0</v>
      </c>
      <c r="AK138" s="68">
        <f>SUMIFS(保单!BE:BE,保单!R:R,E:E,保单!BB:BB,"有效")*IF(AF:AF&gt;1,1,0)</f>
        <v>0</v>
      </c>
      <c r="AL138" s="72" t="str">
        <f>A:A&amp;D:D&amp;G:G&amp;"只要在1-10日承保全部保单，即可获得"&amp;$AJ$1&amp;AJ:AJ&amp;"个"</f>
        <v>凤台王克侠伙伴只要在1-10日承保全部保单，即可获得冲锋队按摩仪0个</v>
      </c>
    </row>
    <row r="139" spans="1:38">
      <c r="A139" s="64" t="s">
        <v>27</v>
      </c>
      <c r="B139" s="64" t="s">
        <v>100</v>
      </c>
      <c r="C139" s="64" t="s">
        <v>101</v>
      </c>
      <c r="D139" s="64" t="s">
        <v>378</v>
      </c>
      <c r="E139" s="64">
        <v>6390989142</v>
      </c>
      <c r="F139" s="64" t="s">
        <v>158</v>
      </c>
      <c r="G139" s="64" t="str">
        <f>IF(OR(F:F="高级经理一级",F:F="业务经理一级"),"主管","伙伴")</f>
        <v>伙伴</v>
      </c>
      <c r="H139" s="65">
        <f>SUMIF(险种!E:E,E:E,险种!R:R)-SUMIFS(险种!R:R,险种!U:U,"终止",险种!E:E,E:E)</f>
        <v>0</v>
      </c>
      <c r="I139" s="65">
        <f>SUMIFS(险种!R:R,险种!U:U,"有效",险种!E:E,E:E)</f>
        <v>0</v>
      </c>
      <c r="J139" s="65">
        <f>ROUND(SUMIF(险种!E:E,E:E,险种!Q:Q)-SUMIFS(险种!Q:Q,险种!U:U,"终止",险种!E:E,E:E),1)</f>
        <v>0</v>
      </c>
      <c r="K139" s="68">
        <f>RANK(J139,J:J)</f>
        <v>22</v>
      </c>
      <c r="L139" s="65">
        <f>ROUND(SUMIFS(险种!Q:Q,险种!U:U,"有效",险种!E:E,E:E),1)</f>
        <v>0</v>
      </c>
      <c r="M139" s="68">
        <f>RANK(L139,L:L,)</f>
        <v>14</v>
      </c>
      <c r="N139" s="68">
        <f>SUMIF(险种!E:E,E:E,险种!W:W)</f>
        <v>0</v>
      </c>
      <c r="O139" s="68">
        <f>IF(N:N&gt;=1,1,0)</f>
        <v>0</v>
      </c>
      <c r="P139" s="65">
        <f>ROUND(SUMIFS(险种!Q:Q,险种!V:V,$P$1,险种!E:E,E:E),1)</f>
        <v>0</v>
      </c>
      <c r="Q139" s="68">
        <f>RANK(P139,$P:$P,0)-1</f>
        <v>5</v>
      </c>
      <c r="R139" s="68" t="str">
        <f>A:A&amp;D:D&amp;G:G&amp;"在"&amp;$P$1&amp;"预收"&amp;P:P&amp;"排名中支第"&amp;Q:Q&amp;"位"</f>
        <v>凤台李芹伙伴在20210509预收0排名中支第5位</v>
      </c>
      <c r="S139" s="65">
        <f>ROUND(SUMIFS(险种!Q:Q,险种!E:E,E:E,险种!V:V,"&lt;=20210506")-SUMIFS(险种!Q:Q,险种!U:U,"终止",险种!E:E,E:E,险种!V:V,"&lt;=20210506"),1)</f>
        <v>0</v>
      </c>
      <c r="T139" s="65">
        <f>ROUND(SUMIFS(险种!Q:Q,险种!U:U,"有效",险种!E:E,E:E,险种!V:V,"&lt;=20210506"),1)</f>
        <v>0</v>
      </c>
      <c r="U139" s="65">
        <f>ROUND(SUMIFS(险种!Q:Q,险种!E:E,E:E,险种!V:V,"&lt;=20210510")-SUMIFS(险种!Q:Q,险种!U:U,"终止",险种!E:E,E:E,险种!V:V,"&lt;=20210510"),1)</f>
        <v>0</v>
      </c>
      <c r="V139" s="65">
        <f>ROUND(SUMIFS(险种!Q:Q,险种!U:U,"有效",险种!E:E,E:E,险种!V:V,"&lt;=20210510"),1)</f>
        <v>0</v>
      </c>
      <c r="W139" s="65">
        <f t="shared" si="2"/>
        <v>0</v>
      </c>
      <c r="X139" s="68">
        <f>SUMIF(险种!E:E,E:E,险种!Y:Y)</f>
        <v>0</v>
      </c>
      <c r="Y139" s="65">
        <f>MAX(_xlfn.IFS(OR(X:X=1,X:X=2),J:J*0.1,X:X&gt;=3,J:J*0.2,X:X=0,0),IF(J:J&gt;=20000,J:J*0.2,0))</f>
        <v>0</v>
      </c>
      <c r="Z139" s="65" t="str">
        <f>A139&amp;D139&amp;G139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凤台李芹伙伴5.1-5.10预收价值保费0，首周预收3000P件数0件，预收拟加佣0元。温馨提示，保单需10日（含）前承保，目前还有0价值保费未承保,开单一件即可获得10%加佣</v>
      </c>
      <c r="AA139" s="68">
        <f>SUMIF(险种!E:E,E:E,险种!Z:Z)</f>
        <v>0</v>
      </c>
      <c r="AB139" s="65"/>
      <c r="AC139" s="68">
        <f>SUMIF(险种!E:E,E:E,险种!AA:AA)</f>
        <v>0</v>
      </c>
      <c r="AD139" s="68">
        <f>SUMIFS(险种!AA:AA,险种!U:U,"有效",险种!E:E,E:E)</f>
        <v>0</v>
      </c>
      <c r="AE139" s="68" t="str">
        <f>A139&amp;D139&amp;G139&amp;"目前获得"&amp;$AC$1&amp;AC:AC&amp;"名，获得"&amp;$AD$1&amp;AD:AD&amp;"名"</f>
        <v>凤台李芹伙伴目前获得龙虾节预收名额0名，获得龙虾节承保名额0名</v>
      </c>
      <c r="AF139" s="68">
        <f>SUMIF(认购返还案!D:D,E:E,认购返还案!E:E)</f>
        <v>0</v>
      </c>
      <c r="AG139" s="68">
        <f>_xlfn.IFS(AND(U:U&gt;=3000,U:U&lt;5000),AF:AF*0.5,U:U&gt;=5000,AF:AF*1,U:U&lt;3000,0)</f>
        <v>0</v>
      </c>
      <c r="AH139" s="68">
        <f>_xlfn.IFS(AND(V:V&gt;=3000,V:V&lt;5000),AF:AF*0.5,V:V&gt;=5000,AF:AF*1,V:V&lt;3000,0)</f>
        <v>0</v>
      </c>
      <c r="AI139" s="68" t="str">
        <f>A:A&amp;D:D&amp;G:G&amp;$AF$1&amp;AF:AF&amp;"元，目前预收价值"&amp;U:U&amp;"，"&amp;$AG$1&amp;AG:AG&amp;"元，"&amp;$AH$1&amp;AH:AH&amp;"元"</f>
        <v>凤台李芹伙伴冲锋队缴费金额0元，目前预收价值0，预收拟返还0元，承保拟返还0元</v>
      </c>
      <c r="AJ139" s="68">
        <f>SUMIF(保单!R:R,E:E,保单!BE:BE)*IF(AF:AF&gt;1,1,0)</f>
        <v>0</v>
      </c>
      <c r="AK139" s="68">
        <f>SUMIFS(保单!BE:BE,保单!R:R,E:E,保单!BB:BB,"有效")*IF(AF:AF&gt;1,1,0)</f>
        <v>0</v>
      </c>
      <c r="AL139" s="72" t="str">
        <f>A:A&amp;D:D&amp;G:G&amp;"只要在1-10日承保全部保单，即可获得"&amp;$AJ$1&amp;AJ:AJ&amp;"个"</f>
        <v>凤台李芹伙伴只要在1-10日承保全部保单，即可获得冲锋队按摩仪0个</v>
      </c>
    </row>
    <row r="140" spans="1:38">
      <c r="A140" s="64" t="s">
        <v>42</v>
      </c>
      <c r="B140" s="64" t="s">
        <v>43</v>
      </c>
      <c r="C140" s="64" t="s">
        <v>70</v>
      </c>
      <c r="D140" s="64" t="s">
        <v>379</v>
      </c>
      <c r="E140" s="64">
        <v>6390442522</v>
      </c>
      <c r="F140" s="64" t="s">
        <v>158</v>
      </c>
      <c r="G140" s="64" t="str">
        <f>IF(OR(F:F="高级经理一级",F:F="业务经理一级"),"主管","伙伴")</f>
        <v>伙伴</v>
      </c>
      <c r="H140" s="65">
        <f>SUMIF(险种!E:E,E:E,险种!R:R)-SUMIFS(险种!R:R,险种!U:U,"终止",险种!E:E,E:E)</f>
        <v>0</v>
      </c>
      <c r="I140" s="65">
        <f>SUMIFS(险种!R:R,险种!U:U,"有效",险种!E:E,E:E)</f>
        <v>0</v>
      </c>
      <c r="J140" s="65">
        <f>ROUND(SUMIF(险种!E:E,E:E,险种!Q:Q)-SUMIFS(险种!Q:Q,险种!U:U,"终止",险种!E:E,E:E),1)</f>
        <v>0</v>
      </c>
      <c r="K140" s="68">
        <f>RANK(J140,J:J)</f>
        <v>22</v>
      </c>
      <c r="L140" s="65">
        <f>ROUND(SUMIFS(险种!Q:Q,险种!U:U,"有效",险种!E:E,E:E),1)</f>
        <v>0</v>
      </c>
      <c r="M140" s="68">
        <f>RANK(L140,L:L,)</f>
        <v>14</v>
      </c>
      <c r="N140" s="68">
        <f>SUMIF(险种!E:E,E:E,险种!W:W)</f>
        <v>0</v>
      </c>
      <c r="O140" s="68">
        <f>IF(N:N&gt;=1,1,0)</f>
        <v>0</v>
      </c>
      <c r="P140" s="65">
        <f>ROUND(SUMIFS(险种!Q:Q,险种!V:V,$P$1,险种!E:E,E:E),1)</f>
        <v>0</v>
      </c>
      <c r="Q140" s="68">
        <f>RANK(P140,$P:$P,0)-1</f>
        <v>5</v>
      </c>
      <c r="R140" s="68" t="str">
        <f>A:A&amp;D:D&amp;G:G&amp;"在"&amp;$P$1&amp;"预收"&amp;P:P&amp;"排名中支第"&amp;Q:Q&amp;"位"</f>
        <v>淮南本部钟秀丽伙伴在20210509预收0排名中支第5位</v>
      </c>
      <c r="S140" s="65">
        <f>ROUND(SUMIFS(险种!Q:Q,险种!E:E,E:E,险种!V:V,"&lt;=20210506")-SUMIFS(险种!Q:Q,险种!U:U,"终止",险种!E:E,E:E,险种!V:V,"&lt;=20210506"),1)</f>
        <v>0</v>
      </c>
      <c r="T140" s="65">
        <f>ROUND(SUMIFS(险种!Q:Q,险种!U:U,"有效",险种!E:E,E:E,险种!V:V,"&lt;=20210506"),1)</f>
        <v>0</v>
      </c>
      <c r="U140" s="65">
        <f>ROUND(SUMIFS(险种!Q:Q,险种!E:E,E:E,险种!V:V,"&lt;=20210510")-SUMIFS(险种!Q:Q,险种!U:U,"终止",险种!E:E,E:E,险种!V:V,"&lt;=20210510"),1)</f>
        <v>0</v>
      </c>
      <c r="V140" s="65">
        <f>ROUND(SUMIFS(险种!Q:Q,险种!U:U,"有效",险种!E:E,E:E,险种!V:V,"&lt;=20210510"),1)</f>
        <v>0</v>
      </c>
      <c r="W140" s="65">
        <f t="shared" si="2"/>
        <v>0</v>
      </c>
      <c r="X140" s="68">
        <f>SUMIF(险种!E:E,E:E,险种!Y:Y)</f>
        <v>0</v>
      </c>
      <c r="Y140" s="65">
        <f>MAX(_xlfn.IFS(OR(X:X=1,X:X=2),J:J*0.1,X:X&gt;=3,J:J*0.2,X:X=0,0),IF(J:J&gt;=20000,J:J*0.2,0))</f>
        <v>0</v>
      </c>
      <c r="Z140" s="65" t="str">
        <f>A140&amp;D140&amp;G140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淮南本部钟秀丽伙伴5.1-5.10预收价值保费0，首周预收3000P件数0件，预收拟加佣0元。温馨提示，保单需10日（含）前承保，目前还有0价值保费未承保,开单一件即可获得10%加佣</v>
      </c>
      <c r="AA140" s="68">
        <f>SUMIF(险种!E:E,E:E,险种!Z:Z)</f>
        <v>0</v>
      </c>
      <c r="AB140" s="65"/>
      <c r="AC140" s="68">
        <f>SUMIF(险种!E:E,E:E,险种!AA:AA)</f>
        <v>0</v>
      </c>
      <c r="AD140" s="68">
        <f>SUMIFS(险种!AA:AA,险种!U:U,"有效",险种!E:E,E:E)</f>
        <v>0</v>
      </c>
      <c r="AE140" s="68" t="str">
        <f>A140&amp;D140&amp;G140&amp;"目前获得"&amp;$AC$1&amp;AC:AC&amp;"名，获得"&amp;$AD$1&amp;AD:AD&amp;"名"</f>
        <v>淮南本部钟秀丽伙伴目前获得龙虾节预收名额0名，获得龙虾节承保名额0名</v>
      </c>
      <c r="AF140" s="68">
        <f>SUMIF(认购返还案!D:D,E:E,认购返还案!E:E)</f>
        <v>0</v>
      </c>
      <c r="AG140" s="68">
        <f>_xlfn.IFS(AND(U:U&gt;=3000,U:U&lt;5000),AF:AF*0.5,U:U&gt;=5000,AF:AF*1,U:U&lt;3000,0)</f>
        <v>0</v>
      </c>
      <c r="AH140" s="68">
        <f>_xlfn.IFS(AND(V:V&gt;=3000,V:V&lt;5000),AF:AF*0.5,V:V&gt;=5000,AF:AF*1,V:V&lt;3000,0)</f>
        <v>0</v>
      </c>
      <c r="AI140" s="68" t="str">
        <f>A:A&amp;D:D&amp;G:G&amp;$AF$1&amp;AF:AF&amp;"元，目前预收价值"&amp;U:U&amp;"，"&amp;$AG$1&amp;AG:AG&amp;"元，"&amp;$AH$1&amp;AH:AH&amp;"元"</f>
        <v>淮南本部钟秀丽伙伴冲锋队缴费金额0元，目前预收价值0，预收拟返还0元，承保拟返还0元</v>
      </c>
      <c r="AJ140" s="68">
        <f>SUMIF(保单!R:R,E:E,保单!BE:BE)*IF(AF:AF&gt;1,1,0)</f>
        <v>0</v>
      </c>
      <c r="AK140" s="68">
        <f>SUMIFS(保单!BE:BE,保单!R:R,E:E,保单!BB:BB,"有效")*IF(AF:AF&gt;1,1,0)</f>
        <v>0</v>
      </c>
      <c r="AL140" s="72" t="str">
        <f>A:A&amp;D:D&amp;G:G&amp;"只要在1-10日承保全部保单，即可获得"&amp;$AJ$1&amp;AJ:AJ&amp;"个"</f>
        <v>淮南本部钟秀丽伙伴只要在1-10日承保全部保单，即可获得冲锋队按摩仪0个</v>
      </c>
    </row>
    <row r="141" spans="1:38">
      <c r="A141" s="64" t="s">
        <v>42</v>
      </c>
      <c r="B141" s="64" t="s">
        <v>43</v>
      </c>
      <c r="C141" s="64" t="s">
        <v>44</v>
      </c>
      <c r="D141" s="64" t="s">
        <v>380</v>
      </c>
      <c r="E141" s="64">
        <v>6390424382</v>
      </c>
      <c r="F141" s="64" t="s">
        <v>174</v>
      </c>
      <c r="G141" s="64" t="str">
        <f>IF(OR(F:F="高级经理一级",F:F="业务经理一级"),"主管","伙伴")</f>
        <v>伙伴</v>
      </c>
      <c r="H141" s="65">
        <f>SUMIF(险种!E:E,E:E,险种!R:R)-SUMIFS(险种!R:R,险种!U:U,"终止",险种!E:E,E:E)</f>
        <v>0</v>
      </c>
      <c r="I141" s="65">
        <f>SUMIFS(险种!R:R,险种!U:U,"有效",险种!E:E,E:E)</f>
        <v>0</v>
      </c>
      <c r="J141" s="65">
        <f>ROUND(SUMIF(险种!E:E,E:E,险种!Q:Q)-SUMIFS(险种!Q:Q,险种!U:U,"终止",险种!E:E,E:E),1)</f>
        <v>0</v>
      </c>
      <c r="K141" s="68">
        <f>RANK(J141,J:J)</f>
        <v>22</v>
      </c>
      <c r="L141" s="65">
        <f>ROUND(SUMIFS(险种!Q:Q,险种!U:U,"有效",险种!E:E,E:E),1)</f>
        <v>0</v>
      </c>
      <c r="M141" s="68">
        <f>RANK(L141,L:L,)</f>
        <v>14</v>
      </c>
      <c r="N141" s="68">
        <f>SUMIF(险种!E:E,E:E,险种!W:W)</f>
        <v>0</v>
      </c>
      <c r="O141" s="68">
        <f>IF(N:N&gt;=1,1,0)</f>
        <v>0</v>
      </c>
      <c r="P141" s="65">
        <f>ROUND(SUMIFS(险种!Q:Q,险种!V:V,$P$1,险种!E:E,E:E),1)</f>
        <v>0</v>
      </c>
      <c r="Q141" s="68">
        <f>RANK(P141,$P:$P,0)-1</f>
        <v>5</v>
      </c>
      <c r="R141" s="68" t="str">
        <f>A:A&amp;D:D&amp;G:G&amp;"在"&amp;$P$1&amp;"预收"&amp;P:P&amp;"排名中支第"&amp;Q:Q&amp;"位"</f>
        <v>淮南本部张萍伙伴在20210509预收0排名中支第5位</v>
      </c>
      <c r="S141" s="65">
        <f>ROUND(SUMIFS(险种!Q:Q,险种!E:E,E:E,险种!V:V,"&lt;=20210506")-SUMIFS(险种!Q:Q,险种!U:U,"终止",险种!E:E,E:E,险种!V:V,"&lt;=20210506"),1)</f>
        <v>0</v>
      </c>
      <c r="T141" s="65">
        <f>ROUND(SUMIFS(险种!Q:Q,险种!U:U,"有效",险种!E:E,E:E,险种!V:V,"&lt;=20210506"),1)</f>
        <v>0</v>
      </c>
      <c r="U141" s="65">
        <f>ROUND(SUMIFS(险种!Q:Q,险种!E:E,E:E,险种!V:V,"&lt;=20210510")-SUMIFS(险种!Q:Q,险种!U:U,"终止",险种!E:E,E:E,险种!V:V,"&lt;=20210510"),1)</f>
        <v>0</v>
      </c>
      <c r="V141" s="65">
        <f>ROUND(SUMIFS(险种!Q:Q,险种!U:U,"有效",险种!E:E,E:E,险种!V:V,"&lt;=20210510"),1)</f>
        <v>0</v>
      </c>
      <c r="W141" s="65">
        <f t="shared" si="2"/>
        <v>0</v>
      </c>
      <c r="X141" s="68">
        <f>SUMIF(险种!E:E,E:E,险种!Y:Y)</f>
        <v>0</v>
      </c>
      <c r="Y141" s="65">
        <f>MAX(_xlfn.IFS(OR(X:X=1,X:X=2),J:J*0.1,X:X&gt;=3,J:J*0.2,X:X=0,0),IF(J:J&gt;=20000,J:J*0.2,0))</f>
        <v>0</v>
      </c>
      <c r="Z141" s="65" t="str">
        <f>A141&amp;D141&amp;G141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淮南本部张萍伙伴5.1-5.10预收价值保费0，首周预收3000P件数0件，预收拟加佣0元。温馨提示，保单需10日（含）前承保，目前还有0价值保费未承保,开单一件即可获得10%加佣</v>
      </c>
      <c r="AA141" s="68">
        <f>SUMIF(险种!E:E,E:E,险种!Z:Z)</f>
        <v>0</v>
      </c>
      <c r="AB141" s="65"/>
      <c r="AC141" s="68">
        <f>SUMIF(险种!E:E,E:E,险种!AA:AA)</f>
        <v>0</v>
      </c>
      <c r="AD141" s="68">
        <f>SUMIFS(险种!AA:AA,险种!U:U,"有效",险种!E:E,E:E)</f>
        <v>0</v>
      </c>
      <c r="AE141" s="68" t="str">
        <f>A141&amp;D141&amp;G141&amp;"目前获得"&amp;$AC$1&amp;AC:AC&amp;"名，获得"&amp;$AD$1&amp;AD:AD&amp;"名"</f>
        <v>淮南本部张萍伙伴目前获得龙虾节预收名额0名，获得龙虾节承保名额0名</v>
      </c>
      <c r="AF141" s="68">
        <f>SUMIF(认购返还案!D:D,E:E,认购返还案!E:E)</f>
        <v>0</v>
      </c>
      <c r="AG141" s="68">
        <f>_xlfn.IFS(AND(U:U&gt;=3000,U:U&lt;5000),AF:AF*0.5,U:U&gt;=5000,AF:AF*1,U:U&lt;3000,0)</f>
        <v>0</v>
      </c>
      <c r="AH141" s="68">
        <f>_xlfn.IFS(AND(V:V&gt;=3000,V:V&lt;5000),AF:AF*0.5,V:V&gt;=5000,AF:AF*1,V:V&lt;3000,0)</f>
        <v>0</v>
      </c>
      <c r="AI141" s="68" t="str">
        <f>A:A&amp;D:D&amp;G:G&amp;$AF$1&amp;AF:AF&amp;"元，目前预收价值"&amp;U:U&amp;"，"&amp;$AG$1&amp;AG:AG&amp;"元，"&amp;$AH$1&amp;AH:AH&amp;"元"</f>
        <v>淮南本部张萍伙伴冲锋队缴费金额0元，目前预收价值0，预收拟返还0元，承保拟返还0元</v>
      </c>
      <c r="AJ141" s="68">
        <f>SUMIF(保单!R:R,E:E,保单!BE:BE)*IF(AF:AF&gt;1,1,0)</f>
        <v>0</v>
      </c>
      <c r="AK141" s="68">
        <f>SUMIFS(保单!BE:BE,保单!R:R,E:E,保单!BB:BB,"有效")*IF(AF:AF&gt;1,1,0)</f>
        <v>0</v>
      </c>
      <c r="AL141" s="72" t="str">
        <f>A:A&amp;D:D&amp;G:G&amp;"只要在1-10日承保全部保单，即可获得"&amp;$AJ$1&amp;AJ:AJ&amp;"个"</f>
        <v>淮南本部张萍伙伴只要在1-10日承保全部保单，即可获得冲锋队按摩仪0个</v>
      </c>
    </row>
    <row r="142" spans="1:38">
      <c r="A142" s="64" t="s">
        <v>27</v>
      </c>
      <c r="B142" s="64" t="s">
        <v>28</v>
      </c>
      <c r="C142" s="64" t="s">
        <v>29</v>
      </c>
      <c r="D142" s="64" t="s">
        <v>381</v>
      </c>
      <c r="E142" s="64">
        <v>6389324772</v>
      </c>
      <c r="F142" s="64" t="s">
        <v>158</v>
      </c>
      <c r="G142" s="64" t="str">
        <f>IF(OR(F:F="高级经理一级",F:F="业务经理一级"),"主管","伙伴")</f>
        <v>伙伴</v>
      </c>
      <c r="H142" s="65">
        <f>SUMIF(险种!E:E,E:E,险种!R:R)-SUMIFS(险种!R:R,险种!U:U,"终止",险种!E:E,E:E)</f>
        <v>0</v>
      </c>
      <c r="I142" s="65">
        <f>SUMIFS(险种!R:R,险种!U:U,"有效",险种!E:E,E:E)</f>
        <v>0</v>
      </c>
      <c r="J142" s="65">
        <f>ROUND(SUMIF(险种!E:E,E:E,险种!Q:Q)-SUMIFS(险种!Q:Q,险种!U:U,"终止",险种!E:E,E:E),1)</f>
        <v>0</v>
      </c>
      <c r="K142" s="68">
        <f>RANK(J142,J:J)</f>
        <v>22</v>
      </c>
      <c r="L142" s="65">
        <f>ROUND(SUMIFS(险种!Q:Q,险种!U:U,"有效",险种!E:E,E:E),1)</f>
        <v>0</v>
      </c>
      <c r="M142" s="68">
        <f>RANK(L142,L:L,)</f>
        <v>14</v>
      </c>
      <c r="N142" s="68">
        <f>SUMIF(险种!E:E,E:E,险种!W:W)</f>
        <v>0</v>
      </c>
      <c r="O142" s="68">
        <f>IF(N:N&gt;=1,1,0)</f>
        <v>0</v>
      </c>
      <c r="P142" s="65">
        <f>ROUND(SUMIFS(险种!Q:Q,险种!V:V,$P$1,险种!E:E,E:E),1)</f>
        <v>0</v>
      </c>
      <c r="Q142" s="68">
        <f>RANK(P142,$P:$P,0)-1</f>
        <v>5</v>
      </c>
      <c r="R142" s="68" t="str">
        <f>A:A&amp;D:D&amp;G:G&amp;"在"&amp;$P$1&amp;"预收"&amp;P:P&amp;"排名中支第"&amp;Q:Q&amp;"位"</f>
        <v>凤台荣树红伙伴在20210509预收0排名中支第5位</v>
      </c>
      <c r="S142" s="65">
        <f>ROUND(SUMIFS(险种!Q:Q,险种!E:E,E:E,险种!V:V,"&lt;=20210506")-SUMIFS(险种!Q:Q,险种!U:U,"终止",险种!E:E,E:E,险种!V:V,"&lt;=20210506"),1)</f>
        <v>0</v>
      </c>
      <c r="T142" s="65">
        <f>ROUND(SUMIFS(险种!Q:Q,险种!U:U,"有效",险种!E:E,E:E,险种!V:V,"&lt;=20210506"),1)</f>
        <v>0</v>
      </c>
      <c r="U142" s="65">
        <f>ROUND(SUMIFS(险种!Q:Q,险种!E:E,E:E,险种!V:V,"&lt;=20210510")-SUMIFS(险种!Q:Q,险种!U:U,"终止",险种!E:E,E:E,险种!V:V,"&lt;=20210510"),1)</f>
        <v>0</v>
      </c>
      <c r="V142" s="65">
        <f>ROUND(SUMIFS(险种!Q:Q,险种!U:U,"有效",险种!E:E,E:E,险种!V:V,"&lt;=20210510"),1)</f>
        <v>0</v>
      </c>
      <c r="W142" s="65">
        <f t="shared" si="2"/>
        <v>0</v>
      </c>
      <c r="X142" s="68">
        <f>SUMIF(险种!E:E,E:E,险种!Y:Y)</f>
        <v>0</v>
      </c>
      <c r="Y142" s="65">
        <f>MAX(_xlfn.IFS(OR(X:X=1,X:X=2),J:J*0.1,X:X&gt;=3,J:J*0.2,X:X=0,0),IF(J:J&gt;=20000,J:J*0.2,0))</f>
        <v>0</v>
      </c>
      <c r="Z142" s="65" t="str">
        <f>A142&amp;D142&amp;G142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凤台荣树红伙伴5.1-5.10预收价值保费0，首周预收3000P件数0件，预收拟加佣0元。温馨提示，保单需10日（含）前承保，目前还有0价值保费未承保,开单一件即可获得10%加佣</v>
      </c>
      <c r="AA142" s="68">
        <f>SUMIF(险种!E:E,E:E,险种!Z:Z)</f>
        <v>0</v>
      </c>
      <c r="AB142" s="65"/>
      <c r="AC142" s="68">
        <f>SUMIF(险种!E:E,E:E,险种!AA:AA)</f>
        <v>0</v>
      </c>
      <c r="AD142" s="68">
        <f>SUMIFS(险种!AA:AA,险种!U:U,"有效",险种!E:E,E:E)</f>
        <v>0</v>
      </c>
      <c r="AE142" s="68" t="str">
        <f>A142&amp;D142&amp;G142&amp;"目前获得"&amp;$AC$1&amp;AC:AC&amp;"名，获得"&amp;$AD$1&amp;AD:AD&amp;"名"</f>
        <v>凤台荣树红伙伴目前获得龙虾节预收名额0名，获得龙虾节承保名额0名</v>
      </c>
      <c r="AF142" s="68">
        <f>SUMIF(认购返还案!D:D,E:E,认购返还案!E:E)</f>
        <v>0</v>
      </c>
      <c r="AG142" s="68">
        <f>_xlfn.IFS(AND(U:U&gt;=3000,U:U&lt;5000),AF:AF*0.5,U:U&gt;=5000,AF:AF*1,U:U&lt;3000,0)</f>
        <v>0</v>
      </c>
      <c r="AH142" s="68">
        <f>_xlfn.IFS(AND(V:V&gt;=3000,V:V&lt;5000),AF:AF*0.5,V:V&gt;=5000,AF:AF*1,V:V&lt;3000,0)</f>
        <v>0</v>
      </c>
      <c r="AI142" s="68" t="str">
        <f>A:A&amp;D:D&amp;G:G&amp;$AF$1&amp;AF:AF&amp;"元，目前预收价值"&amp;U:U&amp;"，"&amp;$AG$1&amp;AG:AG&amp;"元，"&amp;$AH$1&amp;AH:AH&amp;"元"</f>
        <v>凤台荣树红伙伴冲锋队缴费金额0元，目前预收价值0，预收拟返还0元，承保拟返还0元</v>
      </c>
      <c r="AJ142" s="68">
        <f>SUMIF(保单!R:R,E:E,保单!BE:BE)*IF(AF:AF&gt;1,1,0)</f>
        <v>0</v>
      </c>
      <c r="AK142" s="68">
        <f>SUMIFS(保单!BE:BE,保单!R:R,E:E,保单!BB:BB,"有效")*IF(AF:AF&gt;1,1,0)</f>
        <v>0</v>
      </c>
      <c r="AL142" s="72" t="str">
        <f>A:A&amp;D:D&amp;G:G&amp;"只要在1-10日承保全部保单，即可获得"&amp;$AJ$1&amp;AJ:AJ&amp;"个"</f>
        <v>凤台荣树红伙伴只要在1-10日承保全部保单，即可获得冲锋队按摩仪0个</v>
      </c>
    </row>
    <row r="143" spans="1:38">
      <c r="A143" s="64" t="s">
        <v>27</v>
      </c>
      <c r="B143" s="64" t="s">
        <v>94</v>
      </c>
      <c r="C143" s="64" t="s">
        <v>95</v>
      </c>
      <c r="D143" s="64" t="s">
        <v>382</v>
      </c>
      <c r="E143" s="64">
        <v>6389254982</v>
      </c>
      <c r="F143" s="64" t="s">
        <v>174</v>
      </c>
      <c r="G143" s="64" t="str">
        <f>IF(OR(F:F="高级经理一级",F:F="业务经理一级"),"主管","伙伴")</f>
        <v>伙伴</v>
      </c>
      <c r="H143" s="65">
        <f>SUMIF(险种!E:E,E:E,险种!R:R)-SUMIFS(险种!R:R,险种!U:U,"终止",险种!E:E,E:E)</f>
        <v>0</v>
      </c>
      <c r="I143" s="65">
        <f>SUMIFS(险种!R:R,险种!U:U,"有效",险种!E:E,E:E)</f>
        <v>0</v>
      </c>
      <c r="J143" s="65">
        <f>ROUND(SUMIF(险种!E:E,E:E,险种!Q:Q)-SUMIFS(险种!Q:Q,险种!U:U,"终止",险种!E:E,E:E),1)</f>
        <v>0</v>
      </c>
      <c r="K143" s="68">
        <f>RANK(J143,J:J)</f>
        <v>22</v>
      </c>
      <c r="L143" s="65">
        <f>ROUND(SUMIFS(险种!Q:Q,险种!U:U,"有效",险种!E:E,E:E),1)</f>
        <v>0</v>
      </c>
      <c r="M143" s="68">
        <f>RANK(L143,L:L,)</f>
        <v>14</v>
      </c>
      <c r="N143" s="68">
        <f>SUMIF(险种!E:E,E:E,险种!W:W)</f>
        <v>0</v>
      </c>
      <c r="O143" s="68">
        <f>IF(N:N&gt;=1,1,0)</f>
        <v>0</v>
      </c>
      <c r="P143" s="65">
        <f>ROUND(SUMIFS(险种!Q:Q,险种!V:V,$P$1,险种!E:E,E:E),1)</f>
        <v>0</v>
      </c>
      <c r="Q143" s="68">
        <f>RANK(P143,$P:$P,0)-1</f>
        <v>5</v>
      </c>
      <c r="R143" s="68" t="str">
        <f>A:A&amp;D:D&amp;G:G&amp;"在"&amp;$P$1&amp;"预收"&amp;P:P&amp;"排名中支第"&amp;Q:Q&amp;"位"</f>
        <v>凤台宋德永伙伴在20210509预收0排名中支第5位</v>
      </c>
      <c r="S143" s="65">
        <f>ROUND(SUMIFS(险种!Q:Q,险种!E:E,E:E,险种!V:V,"&lt;=20210506")-SUMIFS(险种!Q:Q,险种!U:U,"终止",险种!E:E,E:E,险种!V:V,"&lt;=20210506"),1)</f>
        <v>0</v>
      </c>
      <c r="T143" s="65">
        <f>ROUND(SUMIFS(险种!Q:Q,险种!U:U,"有效",险种!E:E,E:E,险种!V:V,"&lt;=20210506"),1)</f>
        <v>0</v>
      </c>
      <c r="U143" s="65">
        <f>ROUND(SUMIFS(险种!Q:Q,险种!E:E,E:E,险种!V:V,"&lt;=20210510")-SUMIFS(险种!Q:Q,险种!U:U,"终止",险种!E:E,E:E,险种!V:V,"&lt;=20210510"),1)</f>
        <v>0</v>
      </c>
      <c r="V143" s="65">
        <f>ROUND(SUMIFS(险种!Q:Q,险种!U:U,"有效",险种!E:E,E:E,险种!V:V,"&lt;=20210510"),1)</f>
        <v>0</v>
      </c>
      <c r="W143" s="65">
        <f t="shared" si="2"/>
        <v>0</v>
      </c>
      <c r="X143" s="68">
        <f>SUMIF(险种!E:E,E:E,险种!Y:Y)</f>
        <v>0</v>
      </c>
      <c r="Y143" s="65">
        <f>MAX(_xlfn.IFS(OR(X:X=1,X:X=2),J:J*0.1,X:X&gt;=3,J:J*0.2,X:X=0,0),IF(J:J&gt;=20000,J:J*0.2,0))</f>
        <v>0</v>
      </c>
      <c r="Z143" s="65" t="str">
        <f>A143&amp;D143&amp;G143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凤台宋德永伙伴5.1-5.10预收价值保费0，首周预收3000P件数0件，预收拟加佣0元。温馨提示，保单需10日（含）前承保，目前还有0价值保费未承保,开单一件即可获得10%加佣</v>
      </c>
      <c r="AA143" s="68">
        <f>SUMIF(险种!E:E,E:E,险种!Z:Z)</f>
        <v>0</v>
      </c>
      <c r="AB143" s="65"/>
      <c r="AC143" s="68">
        <f>SUMIF(险种!E:E,E:E,险种!AA:AA)</f>
        <v>0</v>
      </c>
      <c r="AD143" s="68">
        <f>SUMIFS(险种!AA:AA,险种!U:U,"有效",险种!E:E,E:E)</f>
        <v>0</v>
      </c>
      <c r="AE143" s="68" t="str">
        <f>A143&amp;D143&amp;G143&amp;"目前获得"&amp;$AC$1&amp;AC:AC&amp;"名，获得"&amp;$AD$1&amp;AD:AD&amp;"名"</f>
        <v>凤台宋德永伙伴目前获得龙虾节预收名额0名，获得龙虾节承保名额0名</v>
      </c>
      <c r="AF143" s="68">
        <f>SUMIF(认购返还案!D:D,E:E,认购返还案!E:E)</f>
        <v>0</v>
      </c>
      <c r="AG143" s="68">
        <f>_xlfn.IFS(AND(U:U&gt;=3000,U:U&lt;5000),AF:AF*0.5,U:U&gt;=5000,AF:AF*1,U:U&lt;3000,0)</f>
        <v>0</v>
      </c>
      <c r="AH143" s="68">
        <f>_xlfn.IFS(AND(V:V&gt;=3000,V:V&lt;5000),AF:AF*0.5,V:V&gt;=5000,AF:AF*1,V:V&lt;3000,0)</f>
        <v>0</v>
      </c>
      <c r="AI143" s="68" t="str">
        <f>A:A&amp;D:D&amp;G:G&amp;$AF$1&amp;AF:AF&amp;"元，目前预收价值"&amp;U:U&amp;"，"&amp;$AG$1&amp;AG:AG&amp;"元，"&amp;$AH$1&amp;AH:AH&amp;"元"</f>
        <v>凤台宋德永伙伴冲锋队缴费金额0元，目前预收价值0，预收拟返还0元，承保拟返还0元</v>
      </c>
      <c r="AJ143" s="68">
        <f>SUMIF(保单!R:R,E:E,保单!BE:BE)*IF(AF:AF&gt;1,1,0)</f>
        <v>0</v>
      </c>
      <c r="AK143" s="68">
        <f>SUMIFS(保单!BE:BE,保单!R:R,E:E,保单!BB:BB,"有效")*IF(AF:AF&gt;1,1,0)</f>
        <v>0</v>
      </c>
      <c r="AL143" s="72" t="str">
        <f>A:A&amp;D:D&amp;G:G&amp;"只要在1-10日承保全部保单，即可获得"&amp;$AJ$1&amp;AJ:AJ&amp;"个"</f>
        <v>凤台宋德永伙伴只要在1-10日承保全部保单，即可获得冲锋队按摩仪0个</v>
      </c>
    </row>
    <row r="144" spans="1:38">
      <c r="A144" s="64" t="s">
        <v>42</v>
      </c>
      <c r="B144" s="64" t="s">
        <v>66</v>
      </c>
      <c r="C144" s="64" t="s">
        <v>67</v>
      </c>
      <c r="D144" s="64" t="s">
        <v>383</v>
      </c>
      <c r="E144" s="64">
        <v>6385405792</v>
      </c>
      <c r="F144" s="64" t="s">
        <v>174</v>
      </c>
      <c r="G144" s="64" t="str">
        <f>IF(OR(F:F="高级经理一级",F:F="业务经理一级"),"主管","伙伴")</f>
        <v>伙伴</v>
      </c>
      <c r="H144" s="65">
        <f>SUMIF(险种!E:E,E:E,险种!R:R)-SUMIFS(险种!R:R,险种!U:U,"终止",险种!E:E,E:E)</f>
        <v>0</v>
      </c>
      <c r="I144" s="65">
        <f>SUMIFS(险种!R:R,险种!U:U,"有效",险种!E:E,E:E)</f>
        <v>0</v>
      </c>
      <c r="J144" s="65">
        <f>ROUND(SUMIF(险种!E:E,E:E,险种!Q:Q)-SUMIFS(险种!Q:Q,险种!U:U,"终止",险种!E:E,E:E),1)</f>
        <v>0</v>
      </c>
      <c r="K144" s="68">
        <f>RANK(J144,J:J)</f>
        <v>22</v>
      </c>
      <c r="L144" s="65">
        <f>ROUND(SUMIFS(险种!Q:Q,险种!U:U,"有效",险种!E:E,E:E),1)</f>
        <v>0</v>
      </c>
      <c r="M144" s="68">
        <f>RANK(L144,L:L,)</f>
        <v>14</v>
      </c>
      <c r="N144" s="68">
        <f>SUMIF(险种!E:E,E:E,险种!W:W)</f>
        <v>0</v>
      </c>
      <c r="O144" s="68">
        <f>IF(N:N&gt;=1,1,0)</f>
        <v>0</v>
      </c>
      <c r="P144" s="65">
        <f>ROUND(SUMIFS(险种!Q:Q,险种!V:V,$P$1,险种!E:E,E:E),1)</f>
        <v>0</v>
      </c>
      <c r="Q144" s="68">
        <f>RANK(P144,$P:$P,0)-1</f>
        <v>5</v>
      </c>
      <c r="R144" s="68" t="str">
        <f>A:A&amp;D:D&amp;G:G&amp;"在"&amp;$P$1&amp;"预收"&amp;P:P&amp;"排名中支第"&amp;Q:Q&amp;"位"</f>
        <v>淮南本部宋芳丽伙伴在20210509预收0排名中支第5位</v>
      </c>
      <c r="S144" s="65">
        <f>ROUND(SUMIFS(险种!Q:Q,险种!E:E,E:E,险种!V:V,"&lt;=20210506")-SUMIFS(险种!Q:Q,险种!U:U,"终止",险种!E:E,E:E,险种!V:V,"&lt;=20210506"),1)</f>
        <v>0</v>
      </c>
      <c r="T144" s="65">
        <f>ROUND(SUMIFS(险种!Q:Q,险种!U:U,"有效",险种!E:E,E:E,险种!V:V,"&lt;=20210506"),1)</f>
        <v>0</v>
      </c>
      <c r="U144" s="65">
        <f>ROUND(SUMIFS(险种!Q:Q,险种!E:E,E:E,险种!V:V,"&lt;=20210510")-SUMIFS(险种!Q:Q,险种!U:U,"终止",险种!E:E,E:E,险种!V:V,"&lt;=20210510"),1)</f>
        <v>0</v>
      </c>
      <c r="V144" s="65">
        <f>ROUND(SUMIFS(险种!Q:Q,险种!U:U,"有效",险种!E:E,E:E,险种!V:V,"&lt;=20210510"),1)</f>
        <v>0</v>
      </c>
      <c r="W144" s="65">
        <f t="shared" si="2"/>
        <v>0</v>
      </c>
      <c r="X144" s="68">
        <f>SUMIF(险种!E:E,E:E,险种!Y:Y)</f>
        <v>0</v>
      </c>
      <c r="Y144" s="65">
        <f>MAX(_xlfn.IFS(OR(X:X=1,X:X=2),J:J*0.1,X:X&gt;=3,J:J*0.2,X:X=0,0),IF(J:J&gt;=20000,J:J*0.2,0))</f>
        <v>0</v>
      </c>
      <c r="Z144" s="65" t="str">
        <f>A144&amp;D144&amp;G144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淮南本部宋芳丽伙伴5.1-5.10预收价值保费0，首周预收3000P件数0件，预收拟加佣0元。温馨提示，保单需10日（含）前承保，目前还有0价值保费未承保,开单一件即可获得10%加佣</v>
      </c>
      <c r="AA144" s="68">
        <f>SUMIF(险种!E:E,E:E,险种!Z:Z)</f>
        <v>0</v>
      </c>
      <c r="AB144" s="65"/>
      <c r="AC144" s="68">
        <f>SUMIF(险种!E:E,E:E,险种!AA:AA)</f>
        <v>0</v>
      </c>
      <c r="AD144" s="68">
        <f>SUMIFS(险种!AA:AA,险种!U:U,"有效",险种!E:E,E:E)</f>
        <v>0</v>
      </c>
      <c r="AE144" s="68" t="str">
        <f>A144&amp;D144&amp;G144&amp;"目前获得"&amp;$AC$1&amp;AC:AC&amp;"名，获得"&amp;$AD$1&amp;AD:AD&amp;"名"</f>
        <v>淮南本部宋芳丽伙伴目前获得龙虾节预收名额0名，获得龙虾节承保名额0名</v>
      </c>
      <c r="AF144" s="68">
        <f>SUMIF(认购返还案!D:D,E:E,认购返还案!E:E)</f>
        <v>0</v>
      </c>
      <c r="AG144" s="68">
        <f>_xlfn.IFS(AND(U:U&gt;=3000,U:U&lt;5000),AF:AF*0.5,U:U&gt;=5000,AF:AF*1,U:U&lt;3000,0)</f>
        <v>0</v>
      </c>
      <c r="AH144" s="68">
        <f>_xlfn.IFS(AND(V:V&gt;=3000,V:V&lt;5000),AF:AF*0.5,V:V&gt;=5000,AF:AF*1,V:V&lt;3000,0)</f>
        <v>0</v>
      </c>
      <c r="AI144" s="68" t="str">
        <f>A:A&amp;D:D&amp;G:G&amp;$AF$1&amp;AF:AF&amp;"元，目前预收价值"&amp;U:U&amp;"，"&amp;$AG$1&amp;AG:AG&amp;"元，"&amp;$AH$1&amp;AH:AH&amp;"元"</f>
        <v>淮南本部宋芳丽伙伴冲锋队缴费金额0元，目前预收价值0，预收拟返还0元，承保拟返还0元</v>
      </c>
      <c r="AJ144" s="68">
        <f>SUMIF(保单!R:R,E:E,保单!BE:BE)*IF(AF:AF&gt;1,1,0)</f>
        <v>0</v>
      </c>
      <c r="AK144" s="68">
        <f>SUMIFS(保单!BE:BE,保单!R:R,E:E,保单!BB:BB,"有效")*IF(AF:AF&gt;1,1,0)</f>
        <v>0</v>
      </c>
      <c r="AL144" s="72" t="str">
        <f>A:A&amp;D:D&amp;G:G&amp;"只要在1-10日承保全部保单，即可获得"&amp;$AJ$1&amp;AJ:AJ&amp;"个"</f>
        <v>淮南本部宋芳丽伙伴只要在1-10日承保全部保单，即可获得冲锋队按摩仪0个</v>
      </c>
    </row>
    <row r="145" spans="1:38">
      <c r="A145" s="64" t="s">
        <v>42</v>
      </c>
      <c r="B145" s="64" t="s">
        <v>62</v>
      </c>
      <c r="C145" s="64" t="s">
        <v>108</v>
      </c>
      <c r="D145" s="64" t="s">
        <v>384</v>
      </c>
      <c r="E145" s="64">
        <v>6385849042</v>
      </c>
      <c r="F145" s="64" t="s">
        <v>174</v>
      </c>
      <c r="G145" s="64" t="str">
        <f>IF(OR(F:F="高级经理一级",F:F="业务经理一级"),"主管","伙伴")</f>
        <v>伙伴</v>
      </c>
      <c r="H145" s="65">
        <f>SUMIF(险种!E:E,E:E,险种!R:R)-SUMIFS(险种!R:R,险种!U:U,"终止",险种!E:E,E:E)</f>
        <v>0</v>
      </c>
      <c r="I145" s="65">
        <f>SUMIFS(险种!R:R,险种!U:U,"有效",险种!E:E,E:E)</f>
        <v>0</v>
      </c>
      <c r="J145" s="65">
        <f>ROUND(SUMIF(险种!E:E,E:E,险种!Q:Q)-SUMIFS(险种!Q:Q,险种!U:U,"终止",险种!E:E,E:E),1)</f>
        <v>0</v>
      </c>
      <c r="K145" s="68">
        <f>RANK(J145,J:J)</f>
        <v>22</v>
      </c>
      <c r="L145" s="65">
        <f>ROUND(SUMIFS(险种!Q:Q,险种!U:U,"有效",险种!E:E,E:E),1)</f>
        <v>0</v>
      </c>
      <c r="M145" s="68">
        <f>RANK(L145,L:L,)</f>
        <v>14</v>
      </c>
      <c r="N145" s="68">
        <f>SUMIF(险种!E:E,E:E,险种!W:W)</f>
        <v>0</v>
      </c>
      <c r="O145" s="68">
        <f>IF(N:N&gt;=1,1,0)</f>
        <v>0</v>
      </c>
      <c r="P145" s="65">
        <f>ROUND(SUMIFS(险种!Q:Q,险种!V:V,$P$1,险种!E:E,E:E),1)</f>
        <v>0</v>
      </c>
      <c r="Q145" s="68">
        <f>RANK(P145,$P:$P,0)-1</f>
        <v>5</v>
      </c>
      <c r="R145" s="68" t="str">
        <f>A:A&amp;D:D&amp;G:G&amp;"在"&amp;$P$1&amp;"预收"&amp;P:P&amp;"排名中支第"&amp;Q:Q&amp;"位"</f>
        <v>淮南本部焦玉荣伙伴在20210509预收0排名中支第5位</v>
      </c>
      <c r="S145" s="65">
        <f>ROUND(SUMIFS(险种!Q:Q,险种!E:E,E:E,险种!V:V,"&lt;=20210506")-SUMIFS(险种!Q:Q,险种!U:U,"终止",险种!E:E,E:E,险种!V:V,"&lt;=20210506"),1)</f>
        <v>0</v>
      </c>
      <c r="T145" s="65">
        <f>ROUND(SUMIFS(险种!Q:Q,险种!U:U,"有效",险种!E:E,E:E,险种!V:V,"&lt;=20210506"),1)</f>
        <v>0</v>
      </c>
      <c r="U145" s="65">
        <f>ROUND(SUMIFS(险种!Q:Q,险种!E:E,E:E,险种!V:V,"&lt;=20210510")-SUMIFS(险种!Q:Q,险种!U:U,"终止",险种!E:E,E:E,险种!V:V,"&lt;=20210510"),1)</f>
        <v>0</v>
      </c>
      <c r="V145" s="65">
        <f>ROUND(SUMIFS(险种!Q:Q,险种!U:U,"有效",险种!E:E,E:E,险种!V:V,"&lt;=20210510"),1)</f>
        <v>0</v>
      </c>
      <c r="W145" s="65">
        <f t="shared" si="2"/>
        <v>0</v>
      </c>
      <c r="X145" s="68">
        <f>SUMIF(险种!E:E,E:E,险种!Y:Y)</f>
        <v>0</v>
      </c>
      <c r="Y145" s="65">
        <f>MAX(_xlfn.IFS(OR(X:X=1,X:X=2),J:J*0.1,X:X&gt;=3,J:J*0.2,X:X=0,0),IF(J:J&gt;=20000,J:J*0.2,0))</f>
        <v>0</v>
      </c>
      <c r="Z145" s="65" t="str">
        <f>A145&amp;D145&amp;G145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淮南本部焦玉荣伙伴5.1-5.10预收价值保费0，首周预收3000P件数0件，预收拟加佣0元。温馨提示，保单需10日（含）前承保，目前还有0价值保费未承保,开单一件即可获得10%加佣</v>
      </c>
      <c r="AA145" s="68">
        <f>SUMIF(险种!E:E,E:E,险种!Z:Z)</f>
        <v>0</v>
      </c>
      <c r="AB145" s="65"/>
      <c r="AC145" s="68">
        <f>SUMIF(险种!E:E,E:E,险种!AA:AA)</f>
        <v>0</v>
      </c>
      <c r="AD145" s="68">
        <f>SUMIFS(险种!AA:AA,险种!U:U,"有效",险种!E:E,E:E)</f>
        <v>0</v>
      </c>
      <c r="AE145" s="68" t="str">
        <f>A145&amp;D145&amp;G145&amp;"目前获得"&amp;$AC$1&amp;AC:AC&amp;"名，获得"&amp;$AD$1&amp;AD:AD&amp;"名"</f>
        <v>淮南本部焦玉荣伙伴目前获得龙虾节预收名额0名，获得龙虾节承保名额0名</v>
      </c>
      <c r="AF145" s="68">
        <f>SUMIF(认购返还案!D:D,E:E,认购返还案!E:E)</f>
        <v>0</v>
      </c>
      <c r="AG145" s="68">
        <f>_xlfn.IFS(AND(U:U&gt;=3000,U:U&lt;5000),AF:AF*0.5,U:U&gt;=5000,AF:AF*1,U:U&lt;3000,0)</f>
        <v>0</v>
      </c>
      <c r="AH145" s="68">
        <f>_xlfn.IFS(AND(V:V&gt;=3000,V:V&lt;5000),AF:AF*0.5,V:V&gt;=5000,AF:AF*1,V:V&lt;3000,0)</f>
        <v>0</v>
      </c>
      <c r="AI145" s="68" t="str">
        <f>A:A&amp;D:D&amp;G:G&amp;$AF$1&amp;AF:AF&amp;"元，目前预收价值"&amp;U:U&amp;"，"&amp;$AG$1&amp;AG:AG&amp;"元，"&amp;$AH$1&amp;AH:AH&amp;"元"</f>
        <v>淮南本部焦玉荣伙伴冲锋队缴费金额0元，目前预收价值0，预收拟返还0元，承保拟返还0元</v>
      </c>
      <c r="AJ145" s="68">
        <f>SUMIF(保单!R:R,E:E,保单!BE:BE)*IF(AF:AF&gt;1,1,0)</f>
        <v>0</v>
      </c>
      <c r="AK145" s="68">
        <f>SUMIFS(保单!BE:BE,保单!R:R,E:E,保单!BB:BB,"有效")*IF(AF:AF&gt;1,1,0)</f>
        <v>0</v>
      </c>
      <c r="AL145" s="72" t="str">
        <f>A:A&amp;D:D&amp;G:G&amp;"只要在1-10日承保全部保单，即可获得"&amp;$AJ$1&amp;AJ:AJ&amp;"个"</f>
        <v>淮南本部焦玉荣伙伴只要在1-10日承保全部保单，即可获得冲锋队按摩仪0个</v>
      </c>
    </row>
    <row r="146" spans="1:38">
      <c r="A146" s="64" t="s">
        <v>27</v>
      </c>
      <c r="B146" s="64" t="s">
        <v>28</v>
      </c>
      <c r="C146" s="64" t="s">
        <v>224</v>
      </c>
      <c r="D146" s="64" t="s">
        <v>385</v>
      </c>
      <c r="E146" s="64">
        <v>6376123702</v>
      </c>
      <c r="F146" s="64" t="s">
        <v>158</v>
      </c>
      <c r="G146" s="64" t="str">
        <f>IF(OR(F:F="高级经理一级",F:F="业务经理一级"),"主管","伙伴")</f>
        <v>伙伴</v>
      </c>
      <c r="H146" s="65">
        <f>SUMIF(险种!E:E,E:E,险种!R:R)-SUMIFS(险种!R:R,险种!U:U,"终止",险种!E:E,E:E)</f>
        <v>0</v>
      </c>
      <c r="I146" s="65">
        <f>SUMIFS(险种!R:R,险种!U:U,"有效",险种!E:E,E:E)</f>
        <v>0</v>
      </c>
      <c r="J146" s="65">
        <f>ROUND(SUMIF(险种!E:E,E:E,险种!Q:Q)-SUMIFS(险种!Q:Q,险种!U:U,"终止",险种!E:E,E:E),1)</f>
        <v>0</v>
      </c>
      <c r="K146" s="68">
        <f>RANK(J146,J:J)</f>
        <v>22</v>
      </c>
      <c r="L146" s="65">
        <f>ROUND(SUMIFS(险种!Q:Q,险种!U:U,"有效",险种!E:E,E:E),1)</f>
        <v>0</v>
      </c>
      <c r="M146" s="68">
        <f>RANK(L146,L:L,)</f>
        <v>14</v>
      </c>
      <c r="N146" s="68">
        <f>SUMIF(险种!E:E,E:E,险种!W:W)</f>
        <v>0</v>
      </c>
      <c r="O146" s="68">
        <f>IF(N:N&gt;=1,1,0)</f>
        <v>0</v>
      </c>
      <c r="P146" s="65">
        <f>ROUND(SUMIFS(险种!Q:Q,险种!V:V,$P$1,险种!E:E,E:E),1)</f>
        <v>0</v>
      </c>
      <c r="Q146" s="68">
        <f>RANK(P146,$P:$P,0)-1</f>
        <v>5</v>
      </c>
      <c r="R146" s="68" t="str">
        <f>A:A&amp;D:D&amp;G:G&amp;"在"&amp;$P$1&amp;"预收"&amp;P:P&amp;"排名中支第"&amp;Q:Q&amp;"位"</f>
        <v>凤台刘盼盼伙伴在20210509预收0排名中支第5位</v>
      </c>
      <c r="S146" s="65">
        <f>ROUND(SUMIFS(险种!Q:Q,险种!E:E,E:E,险种!V:V,"&lt;=20210506")-SUMIFS(险种!Q:Q,险种!U:U,"终止",险种!E:E,E:E,险种!V:V,"&lt;=20210506"),1)</f>
        <v>0</v>
      </c>
      <c r="T146" s="65">
        <f>ROUND(SUMIFS(险种!Q:Q,险种!U:U,"有效",险种!E:E,E:E,险种!V:V,"&lt;=20210506"),1)</f>
        <v>0</v>
      </c>
      <c r="U146" s="65">
        <f>ROUND(SUMIFS(险种!Q:Q,险种!E:E,E:E,险种!V:V,"&lt;=20210510")-SUMIFS(险种!Q:Q,险种!U:U,"终止",险种!E:E,E:E,险种!V:V,"&lt;=20210510"),1)</f>
        <v>0</v>
      </c>
      <c r="V146" s="65">
        <f>ROUND(SUMIFS(险种!Q:Q,险种!U:U,"有效",险种!E:E,E:E,险种!V:V,"&lt;=20210510"),1)</f>
        <v>0</v>
      </c>
      <c r="W146" s="65">
        <f t="shared" si="2"/>
        <v>0</v>
      </c>
      <c r="X146" s="68">
        <f>SUMIF(险种!E:E,E:E,险种!Y:Y)</f>
        <v>0</v>
      </c>
      <c r="Y146" s="65">
        <f>MAX(_xlfn.IFS(OR(X:X=1,X:X=2),J:J*0.1,X:X&gt;=3,J:J*0.2,X:X=0,0),IF(J:J&gt;=20000,J:J*0.2,0))</f>
        <v>0</v>
      </c>
      <c r="Z146" s="65" t="str">
        <f>A146&amp;D146&amp;G146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凤台刘盼盼伙伴5.1-5.10预收价值保费0，首周预收3000P件数0件，预收拟加佣0元。温馨提示，保单需10日（含）前承保，目前还有0价值保费未承保,开单一件即可获得10%加佣</v>
      </c>
      <c r="AA146" s="68">
        <f>SUMIF(险种!E:E,E:E,险种!Z:Z)</f>
        <v>0</v>
      </c>
      <c r="AB146" s="65"/>
      <c r="AC146" s="68">
        <f>SUMIF(险种!E:E,E:E,险种!AA:AA)</f>
        <v>0</v>
      </c>
      <c r="AD146" s="68">
        <f>SUMIFS(险种!AA:AA,险种!U:U,"有效",险种!E:E,E:E)</f>
        <v>0</v>
      </c>
      <c r="AE146" s="68" t="str">
        <f>A146&amp;D146&amp;G146&amp;"目前获得"&amp;$AC$1&amp;AC:AC&amp;"名，获得"&amp;$AD$1&amp;AD:AD&amp;"名"</f>
        <v>凤台刘盼盼伙伴目前获得龙虾节预收名额0名，获得龙虾节承保名额0名</v>
      </c>
      <c r="AF146" s="68">
        <f>SUMIF(认购返还案!D:D,E:E,认购返还案!E:E)</f>
        <v>0</v>
      </c>
      <c r="AG146" s="68">
        <f>_xlfn.IFS(AND(U:U&gt;=3000,U:U&lt;5000),AF:AF*0.5,U:U&gt;=5000,AF:AF*1,U:U&lt;3000,0)</f>
        <v>0</v>
      </c>
      <c r="AH146" s="68">
        <f>_xlfn.IFS(AND(V:V&gt;=3000,V:V&lt;5000),AF:AF*0.5,V:V&gt;=5000,AF:AF*1,V:V&lt;3000,0)</f>
        <v>0</v>
      </c>
      <c r="AI146" s="68" t="str">
        <f>A:A&amp;D:D&amp;G:G&amp;$AF$1&amp;AF:AF&amp;"元，目前预收价值"&amp;U:U&amp;"，"&amp;$AG$1&amp;AG:AG&amp;"元，"&amp;$AH$1&amp;AH:AH&amp;"元"</f>
        <v>凤台刘盼盼伙伴冲锋队缴费金额0元，目前预收价值0，预收拟返还0元，承保拟返还0元</v>
      </c>
      <c r="AJ146" s="68">
        <f>SUMIF(保单!R:R,E:E,保单!BE:BE)*IF(AF:AF&gt;1,1,0)</f>
        <v>0</v>
      </c>
      <c r="AK146" s="68">
        <f>SUMIFS(保单!BE:BE,保单!R:R,E:E,保单!BB:BB,"有效")*IF(AF:AF&gt;1,1,0)</f>
        <v>0</v>
      </c>
      <c r="AL146" s="72" t="str">
        <f>A:A&amp;D:D&amp;G:G&amp;"只要在1-10日承保全部保单，即可获得"&amp;$AJ$1&amp;AJ:AJ&amp;"个"</f>
        <v>凤台刘盼盼伙伴只要在1-10日承保全部保单，即可获得冲锋队按摩仪0个</v>
      </c>
    </row>
    <row r="147" spans="1:38">
      <c r="A147" s="64" t="s">
        <v>27</v>
      </c>
      <c r="B147" s="64" t="s">
        <v>94</v>
      </c>
      <c r="C147" s="64" t="s">
        <v>95</v>
      </c>
      <c r="D147" s="64" t="s">
        <v>386</v>
      </c>
      <c r="E147" s="64">
        <v>6369820502</v>
      </c>
      <c r="F147" s="64" t="s">
        <v>158</v>
      </c>
      <c r="G147" s="64" t="str">
        <f>IF(OR(F:F="高级经理一级",F:F="业务经理一级"),"主管","伙伴")</f>
        <v>伙伴</v>
      </c>
      <c r="H147" s="65">
        <f>SUMIF(险种!E:E,E:E,险种!R:R)-SUMIFS(险种!R:R,险种!U:U,"终止",险种!E:E,E:E)</f>
        <v>0</v>
      </c>
      <c r="I147" s="65">
        <f>SUMIFS(险种!R:R,险种!U:U,"有效",险种!E:E,E:E)</f>
        <v>0</v>
      </c>
      <c r="J147" s="65">
        <f>ROUND(SUMIF(险种!E:E,E:E,险种!Q:Q)-SUMIFS(险种!Q:Q,险种!U:U,"终止",险种!E:E,E:E),1)</f>
        <v>0</v>
      </c>
      <c r="K147" s="68">
        <f>RANK(J147,J:J)</f>
        <v>22</v>
      </c>
      <c r="L147" s="65">
        <f>ROUND(SUMIFS(险种!Q:Q,险种!U:U,"有效",险种!E:E,E:E),1)</f>
        <v>0</v>
      </c>
      <c r="M147" s="68">
        <f>RANK(L147,L:L,)</f>
        <v>14</v>
      </c>
      <c r="N147" s="68">
        <f>SUMIF(险种!E:E,E:E,险种!W:W)</f>
        <v>0</v>
      </c>
      <c r="O147" s="68">
        <f>IF(N:N&gt;=1,1,0)</f>
        <v>0</v>
      </c>
      <c r="P147" s="65">
        <f>ROUND(SUMIFS(险种!Q:Q,险种!V:V,$P$1,险种!E:E,E:E),1)</f>
        <v>0</v>
      </c>
      <c r="Q147" s="68">
        <f>RANK(P147,$P:$P,0)-1</f>
        <v>5</v>
      </c>
      <c r="R147" s="68" t="str">
        <f>A:A&amp;D:D&amp;G:G&amp;"在"&amp;$P$1&amp;"预收"&amp;P:P&amp;"排名中支第"&amp;Q:Q&amp;"位"</f>
        <v>凤台张玲伙伴在20210509预收0排名中支第5位</v>
      </c>
      <c r="S147" s="65">
        <f>ROUND(SUMIFS(险种!Q:Q,险种!E:E,E:E,险种!V:V,"&lt;=20210506")-SUMIFS(险种!Q:Q,险种!U:U,"终止",险种!E:E,E:E,险种!V:V,"&lt;=20210506"),1)</f>
        <v>0</v>
      </c>
      <c r="T147" s="65">
        <f>ROUND(SUMIFS(险种!Q:Q,险种!U:U,"有效",险种!E:E,E:E,险种!V:V,"&lt;=20210506"),1)</f>
        <v>0</v>
      </c>
      <c r="U147" s="65">
        <f>ROUND(SUMIFS(险种!Q:Q,险种!E:E,E:E,险种!V:V,"&lt;=20210510")-SUMIFS(险种!Q:Q,险种!U:U,"终止",险种!E:E,E:E,险种!V:V,"&lt;=20210510"),1)</f>
        <v>0</v>
      </c>
      <c r="V147" s="65">
        <f>ROUND(SUMIFS(险种!Q:Q,险种!U:U,"有效",险种!E:E,E:E,险种!V:V,"&lt;=20210510"),1)</f>
        <v>0</v>
      </c>
      <c r="W147" s="65">
        <f t="shared" si="2"/>
        <v>0</v>
      </c>
      <c r="X147" s="68">
        <f>SUMIF(险种!E:E,E:E,险种!Y:Y)</f>
        <v>0</v>
      </c>
      <c r="Y147" s="65">
        <f>MAX(_xlfn.IFS(OR(X:X=1,X:X=2),J:J*0.1,X:X&gt;=3,J:J*0.2,X:X=0,0),IF(J:J&gt;=20000,J:J*0.2,0))</f>
        <v>0</v>
      </c>
      <c r="Z147" s="65" t="str">
        <f>A147&amp;D147&amp;G147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凤台张玲伙伴5.1-5.10预收价值保费0，首周预收3000P件数0件，预收拟加佣0元。温馨提示，保单需10日（含）前承保，目前还有0价值保费未承保,开单一件即可获得10%加佣</v>
      </c>
      <c r="AA147" s="68">
        <f>SUMIF(险种!E:E,E:E,险种!Z:Z)</f>
        <v>0</v>
      </c>
      <c r="AB147" s="65"/>
      <c r="AC147" s="68">
        <f>SUMIF(险种!E:E,E:E,险种!AA:AA)</f>
        <v>0</v>
      </c>
      <c r="AD147" s="68">
        <f>SUMIFS(险种!AA:AA,险种!U:U,"有效",险种!E:E,E:E)</f>
        <v>0</v>
      </c>
      <c r="AE147" s="68" t="str">
        <f>A147&amp;D147&amp;G147&amp;"目前获得"&amp;$AC$1&amp;AC:AC&amp;"名，获得"&amp;$AD$1&amp;AD:AD&amp;"名"</f>
        <v>凤台张玲伙伴目前获得龙虾节预收名额0名，获得龙虾节承保名额0名</v>
      </c>
      <c r="AF147" s="68">
        <f>SUMIF(认购返还案!D:D,E:E,认购返还案!E:E)</f>
        <v>0</v>
      </c>
      <c r="AG147" s="68">
        <f>_xlfn.IFS(AND(U:U&gt;=3000,U:U&lt;5000),AF:AF*0.5,U:U&gt;=5000,AF:AF*1,U:U&lt;3000,0)</f>
        <v>0</v>
      </c>
      <c r="AH147" s="68">
        <f>_xlfn.IFS(AND(V:V&gt;=3000,V:V&lt;5000),AF:AF*0.5,V:V&gt;=5000,AF:AF*1,V:V&lt;3000,0)</f>
        <v>0</v>
      </c>
      <c r="AI147" s="68" t="str">
        <f>A:A&amp;D:D&amp;G:G&amp;$AF$1&amp;AF:AF&amp;"元，目前预收价值"&amp;U:U&amp;"，"&amp;$AG$1&amp;AG:AG&amp;"元，"&amp;$AH$1&amp;AH:AH&amp;"元"</f>
        <v>凤台张玲伙伴冲锋队缴费金额0元，目前预收价值0，预收拟返还0元，承保拟返还0元</v>
      </c>
      <c r="AJ147" s="68">
        <f>SUMIF(保单!R:R,E:E,保单!BE:BE)*IF(AF:AF&gt;1,1,0)</f>
        <v>0</v>
      </c>
      <c r="AK147" s="68">
        <f>SUMIFS(保单!BE:BE,保单!R:R,E:E,保单!BB:BB,"有效")*IF(AF:AF&gt;1,1,0)</f>
        <v>0</v>
      </c>
      <c r="AL147" s="72" t="str">
        <f>A:A&amp;D:D&amp;G:G&amp;"只要在1-10日承保全部保单，即可获得"&amp;$AJ$1&amp;AJ:AJ&amp;"个"</f>
        <v>凤台张玲伙伴只要在1-10日承保全部保单，即可获得冲锋队按摩仪0个</v>
      </c>
    </row>
    <row r="148" spans="1:38">
      <c r="A148" s="64" t="s">
        <v>48</v>
      </c>
      <c r="B148" s="64" t="s">
        <v>49</v>
      </c>
      <c r="C148" s="64" t="s">
        <v>82</v>
      </c>
      <c r="D148" s="64" t="s">
        <v>387</v>
      </c>
      <c r="E148" s="64">
        <v>6360574692</v>
      </c>
      <c r="F148" s="64" t="s">
        <v>168</v>
      </c>
      <c r="G148" s="64" t="str">
        <f>IF(OR(F:F="高级经理一级",F:F="业务经理一级"),"主管","伙伴")</f>
        <v>伙伴</v>
      </c>
      <c r="H148" s="65">
        <f>SUMIF(险种!E:E,E:E,险种!R:R)-SUMIFS(险种!R:R,险种!U:U,"终止",险种!E:E,E:E)</f>
        <v>0</v>
      </c>
      <c r="I148" s="65">
        <f>SUMIFS(险种!R:R,险种!U:U,"有效",险种!E:E,E:E)</f>
        <v>0</v>
      </c>
      <c r="J148" s="65">
        <f>ROUND(SUMIF(险种!E:E,E:E,险种!Q:Q)-SUMIFS(险种!Q:Q,险种!U:U,"终止",险种!E:E,E:E),1)</f>
        <v>0</v>
      </c>
      <c r="K148" s="68">
        <f>RANK(J148,J:J)</f>
        <v>22</v>
      </c>
      <c r="L148" s="65">
        <f>ROUND(SUMIFS(险种!Q:Q,险种!U:U,"有效",险种!E:E,E:E),1)</f>
        <v>0</v>
      </c>
      <c r="M148" s="68">
        <f>RANK(L148,L:L,)</f>
        <v>14</v>
      </c>
      <c r="N148" s="68">
        <f>SUMIF(险种!E:E,E:E,险种!W:W)</f>
        <v>0</v>
      </c>
      <c r="O148" s="68">
        <f>IF(N:N&gt;=1,1,0)</f>
        <v>0</v>
      </c>
      <c r="P148" s="65">
        <f>ROUND(SUMIFS(险种!Q:Q,险种!V:V,$P$1,险种!E:E,E:E),1)</f>
        <v>0</v>
      </c>
      <c r="Q148" s="68">
        <f>RANK(P148,$P:$P,0)-1</f>
        <v>5</v>
      </c>
      <c r="R148" s="68" t="str">
        <f>A:A&amp;D:D&amp;G:G&amp;"在"&amp;$P$1&amp;"预收"&amp;P:P&amp;"排名中支第"&amp;Q:Q&amp;"位"</f>
        <v>谢家集吴怀兰伙伴在20210509预收0排名中支第5位</v>
      </c>
      <c r="S148" s="65">
        <f>ROUND(SUMIFS(险种!Q:Q,险种!E:E,E:E,险种!V:V,"&lt;=20210506")-SUMIFS(险种!Q:Q,险种!U:U,"终止",险种!E:E,E:E,险种!V:V,"&lt;=20210506"),1)</f>
        <v>0</v>
      </c>
      <c r="T148" s="65">
        <f>ROUND(SUMIFS(险种!Q:Q,险种!U:U,"有效",险种!E:E,E:E,险种!V:V,"&lt;=20210506"),1)</f>
        <v>0</v>
      </c>
      <c r="U148" s="65">
        <f>ROUND(SUMIFS(险种!Q:Q,险种!E:E,E:E,险种!V:V,"&lt;=20210510")-SUMIFS(险种!Q:Q,险种!U:U,"终止",险种!E:E,E:E,险种!V:V,"&lt;=20210510"),1)</f>
        <v>0</v>
      </c>
      <c r="V148" s="65">
        <f>ROUND(SUMIFS(险种!Q:Q,险种!U:U,"有效",险种!E:E,E:E,险种!V:V,"&lt;=20210510"),1)</f>
        <v>0</v>
      </c>
      <c r="W148" s="65">
        <f t="shared" si="2"/>
        <v>0</v>
      </c>
      <c r="X148" s="68">
        <f>SUMIF(险种!E:E,E:E,险种!Y:Y)</f>
        <v>0</v>
      </c>
      <c r="Y148" s="65">
        <f>MAX(_xlfn.IFS(OR(X:X=1,X:X=2),J:J*0.1,X:X&gt;=3,J:J*0.2,X:X=0,0),IF(J:J&gt;=20000,J:J*0.2,0))</f>
        <v>0</v>
      </c>
      <c r="Z148" s="65" t="str">
        <f>A148&amp;D148&amp;G148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谢家集吴怀兰伙伴5.1-5.10预收价值保费0，首周预收3000P件数0件，预收拟加佣0元。温馨提示，保单需10日（含）前承保，目前还有0价值保费未承保,开单一件即可获得10%加佣</v>
      </c>
      <c r="AA148" s="68">
        <f>SUMIF(险种!E:E,E:E,险种!Z:Z)</f>
        <v>0</v>
      </c>
      <c r="AB148" s="65"/>
      <c r="AC148" s="68">
        <f>SUMIF(险种!E:E,E:E,险种!AA:AA)</f>
        <v>0</v>
      </c>
      <c r="AD148" s="68">
        <f>SUMIFS(险种!AA:AA,险种!U:U,"有效",险种!E:E,E:E)</f>
        <v>0</v>
      </c>
      <c r="AE148" s="68" t="str">
        <f>A148&amp;D148&amp;G148&amp;"目前获得"&amp;$AC$1&amp;AC:AC&amp;"名，获得"&amp;$AD$1&amp;AD:AD&amp;"名"</f>
        <v>谢家集吴怀兰伙伴目前获得龙虾节预收名额0名，获得龙虾节承保名额0名</v>
      </c>
      <c r="AF148" s="68">
        <f>SUMIF(认购返还案!D:D,E:E,认购返还案!E:E)</f>
        <v>200</v>
      </c>
      <c r="AG148" s="68">
        <f>_xlfn.IFS(AND(U:U&gt;=3000,U:U&lt;5000),AF:AF*0.5,U:U&gt;=5000,AF:AF*1,U:U&lt;3000,0)</f>
        <v>0</v>
      </c>
      <c r="AH148" s="68">
        <f>_xlfn.IFS(AND(V:V&gt;=3000,V:V&lt;5000),AF:AF*0.5,V:V&gt;=5000,AF:AF*1,V:V&lt;3000,0)</f>
        <v>0</v>
      </c>
      <c r="AI148" s="68" t="str">
        <f>A:A&amp;D:D&amp;G:G&amp;$AF$1&amp;AF:AF&amp;"元，目前预收价值"&amp;U:U&amp;"，"&amp;$AG$1&amp;AG:AG&amp;"元，"&amp;$AH$1&amp;AH:AH&amp;"元"</f>
        <v>谢家集吴怀兰伙伴冲锋队缴费金额200元，目前预收价值0，预收拟返还0元，承保拟返还0元</v>
      </c>
      <c r="AJ148" s="68">
        <f>SUMIF(保单!R:R,E:E,保单!BE:BE)*IF(AF:AF&gt;1,1,0)</f>
        <v>0</v>
      </c>
      <c r="AK148" s="68">
        <f>SUMIFS(保单!BE:BE,保单!R:R,E:E,保单!BB:BB,"有效")*IF(AF:AF&gt;1,1,0)</f>
        <v>0</v>
      </c>
      <c r="AL148" s="72" t="str">
        <f>A:A&amp;D:D&amp;G:G&amp;"只要在1-10日承保全部保单，即可获得"&amp;$AJ$1&amp;AJ:AJ&amp;"个"</f>
        <v>谢家集吴怀兰伙伴只要在1-10日承保全部保单，即可获得冲锋队按摩仪0个</v>
      </c>
    </row>
    <row r="149" spans="1:38">
      <c r="A149" s="64" t="s">
        <v>48</v>
      </c>
      <c r="B149" s="64" t="s">
        <v>49</v>
      </c>
      <c r="C149" s="64" t="s">
        <v>50</v>
      </c>
      <c r="D149" s="64" t="s">
        <v>388</v>
      </c>
      <c r="E149" s="64">
        <v>6360454082</v>
      </c>
      <c r="F149" s="64" t="s">
        <v>158</v>
      </c>
      <c r="G149" s="64" t="str">
        <f>IF(OR(F:F="高级经理一级",F:F="业务经理一级"),"主管","伙伴")</f>
        <v>伙伴</v>
      </c>
      <c r="H149" s="65">
        <f>SUMIF(险种!E:E,E:E,险种!R:R)-SUMIFS(险种!R:R,险种!U:U,"终止",险种!E:E,E:E)</f>
        <v>0</v>
      </c>
      <c r="I149" s="65">
        <f>SUMIFS(险种!R:R,险种!U:U,"有效",险种!E:E,E:E)</f>
        <v>0</v>
      </c>
      <c r="J149" s="65">
        <f>ROUND(SUMIF(险种!E:E,E:E,险种!Q:Q)-SUMIFS(险种!Q:Q,险种!U:U,"终止",险种!E:E,E:E),1)</f>
        <v>0</v>
      </c>
      <c r="K149" s="68">
        <f>RANK(J149,J:J)</f>
        <v>22</v>
      </c>
      <c r="L149" s="65">
        <f>ROUND(SUMIFS(险种!Q:Q,险种!U:U,"有效",险种!E:E,E:E),1)</f>
        <v>0</v>
      </c>
      <c r="M149" s="68">
        <f>RANK(L149,L:L,)</f>
        <v>14</v>
      </c>
      <c r="N149" s="68">
        <f>SUMIF(险种!E:E,E:E,险种!W:W)</f>
        <v>0</v>
      </c>
      <c r="O149" s="68">
        <f>IF(N:N&gt;=1,1,0)</f>
        <v>0</v>
      </c>
      <c r="P149" s="65">
        <f>ROUND(SUMIFS(险种!Q:Q,险种!V:V,$P$1,险种!E:E,E:E),1)</f>
        <v>0</v>
      </c>
      <c r="Q149" s="68">
        <f>RANK(P149,$P:$P,0)-1</f>
        <v>5</v>
      </c>
      <c r="R149" s="68" t="str">
        <f>A:A&amp;D:D&amp;G:G&amp;"在"&amp;$P$1&amp;"预收"&amp;P:P&amp;"排名中支第"&amp;Q:Q&amp;"位"</f>
        <v>谢家集汪嘉维伙伴在20210509预收0排名中支第5位</v>
      </c>
      <c r="S149" s="65">
        <f>ROUND(SUMIFS(险种!Q:Q,险种!E:E,E:E,险种!V:V,"&lt;=20210506")-SUMIFS(险种!Q:Q,险种!U:U,"终止",险种!E:E,E:E,险种!V:V,"&lt;=20210506"),1)</f>
        <v>0</v>
      </c>
      <c r="T149" s="65">
        <f>ROUND(SUMIFS(险种!Q:Q,险种!U:U,"有效",险种!E:E,E:E,险种!V:V,"&lt;=20210506"),1)</f>
        <v>0</v>
      </c>
      <c r="U149" s="65">
        <f>ROUND(SUMIFS(险种!Q:Q,险种!E:E,E:E,险种!V:V,"&lt;=20210510")-SUMIFS(险种!Q:Q,险种!U:U,"终止",险种!E:E,E:E,险种!V:V,"&lt;=20210510"),1)</f>
        <v>0</v>
      </c>
      <c r="V149" s="65">
        <f>ROUND(SUMIFS(险种!Q:Q,险种!U:U,"有效",险种!E:E,E:E,险种!V:V,"&lt;=20210510"),1)</f>
        <v>0</v>
      </c>
      <c r="W149" s="65">
        <f t="shared" si="2"/>
        <v>0</v>
      </c>
      <c r="X149" s="68">
        <f>SUMIF(险种!E:E,E:E,险种!Y:Y)</f>
        <v>0</v>
      </c>
      <c r="Y149" s="65">
        <f>MAX(_xlfn.IFS(OR(X:X=1,X:X=2),J:J*0.1,X:X&gt;=3,J:J*0.2,X:X=0,0),IF(J:J&gt;=20000,J:J*0.2,0))</f>
        <v>0</v>
      </c>
      <c r="Z149" s="65" t="str">
        <f>A149&amp;D149&amp;G149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谢家集汪嘉维伙伴5.1-5.10预收价值保费0，首周预收3000P件数0件，预收拟加佣0元。温馨提示，保单需10日（含）前承保，目前还有0价值保费未承保,开单一件即可获得10%加佣</v>
      </c>
      <c r="AA149" s="68">
        <f>SUMIF(险种!E:E,E:E,险种!Z:Z)</f>
        <v>0</v>
      </c>
      <c r="AB149" s="65"/>
      <c r="AC149" s="68">
        <f>SUMIF(险种!E:E,E:E,险种!AA:AA)</f>
        <v>0</v>
      </c>
      <c r="AD149" s="68">
        <f>SUMIFS(险种!AA:AA,险种!U:U,"有效",险种!E:E,E:E)</f>
        <v>0</v>
      </c>
      <c r="AE149" s="68" t="str">
        <f>A149&amp;D149&amp;G149&amp;"目前获得"&amp;$AC$1&amp;AC:AC&amp;"名，获得"&amp;$AD$1&amp;AD:AD&amp;"名"</f>
        <v>谢家集汪嘉维伙伴目前获得龙虾节预收名额0名，获得龙虾节承保名额0名</v>
      </c>
      <c r="AF149" s="68">
        <f>SUMIF(认购返还案!D:D,E:E,认购返还案!E:E)</f>
        <v>0</v>
      </c>
      <c r="AG149" s="68">
        <f>_xlfn.IFS(AND(U:U&gt;=3000,U:U&lt;5000),AF:AF*0.5,U:U&gt;=5000,AF:AF*1,U:U&lt;3000,0)</f>
        <v>0</v>
      </c>
      <c r="AH149" s="68">
        <f>_xlfn.IFS(AND(V:V&gt;=3000,V:V&lt;5000),AF:AF*0.5,V:V&gt;=5000,AF:AF*1,V:V&lt;3000,0)</f>
        <v>0</v>
      </c>
      <c r="AI149" s="68" t="str">
        <f>A:A&amp;D:D&amp;G:G&amp;$AF$1&amp;AF:AF&amp;"元，目前预收价值"&amp;U:U&amp;"，"&amp;$AG$1&amp;AG:AG&amp;"元，"&amp;$AH$1&amp;AH:AH&amp;"元"</f>
        <v>谢家集汪嘉维伙伴冲锋队缴费金额0元，目前预收价值0，预收拟返还0元，承保拟返还0元</v>
      </c>
      <c r="AJ149" s="68">
        <f>SUMIF(保单!R:R,E:E,保单!BE:BE)*IF(AF:AF&gt;1,1,0)</f>
        <v>0</v>
      </c>
      <c r="AK149" s="68">
        <f>SUMIFS(保单!BE:BE,保单!R:R,E:E,保单!BB:BB,"有效")*IF(AF:AF&gt;1,1,0)</f>
        <v>0</v>
      </c>
      <c r="AL149" s="72" t="str">
        <f>A:A&amp;D:D&amp;G:G&amp;"只要在1-10日承保全部保单，即可获得"&amp;$AJ$1&amp;AJ:AJ&amp;"个"</f>
        <v>谢家集汪嘉维伙伴只要在1-10日承保全部保单，即可获得冲锋队按摩仪0个</v>
      </c>
    </row>
    <row r="150" spans="1:38">
      <c r="A150" s="64" t="s">
        <v>42</v>
      </c>
      <c r="B150" s="64" t="s">
        <v>43</v>
      </c>
      <c r="C150" s="64" t="s">
        <v>75</v>
      </c>
      <c r="D150" s="64" t="s">
        <v>389</v>
      </c>
      <c r="E150" s="64">
        <v>6360270052</v>
      </c>
      <c r="F150" s="64" t="s">
        <v>174</v>
      </c>
      <c r="G150" s="64" t="str">
        <f>IF(OR(F:F="高级经理一级",F:F="业务经理一级"),"主管","伙伴")</f>
        <v>伙伴</v>
      </c>
      <c r="H150" s="65">
        <f>SUMIF(险种!E:E,E:E,险种!R:R)-SUMIFS(险种!R:R,险种!U:U,"终止",险种!E:E,E:E)</f>
        <v>0</v>
      </c>
      <c r="I150" s="65">
        <f>SUMIFS(险种!R:R,险种!U:U,"有效",险种!E:E,E:E)</f>
        <v>0</v>
      </c>
      <c r="J150" s="65">
        <f>ROUND(SUMIF(险种!E:E,E:E,险种!Q:Q)-SUMIFS(险种!Q:Q,险种!U:U,"终止",险种!E:E,E:E),1)</f>
        <v>0</v>
      </c>
      <c r="K150" s="68">
        <f>RANK(J150,J:J)</f>
        <v>22</v>
      </c>
      <c r="L150" s="65">
        <f>ROUND(SUMIFS(险种!Q:Q,险种!U:U,"有效",险种!E:E,E:E),1)</f>
        <v>0</v>
      </c>
      <c r="M150" s="68">
        <f>RANK(L150,L:L,)</f>
        <v>14</v>
      </c>
      <c r="N150" s="68">
        <f>SUMIF(险种!E:E,E:E,险种!W:W)</f>
        <v>0</v>
      </c>
      <c r="O150" s="68">
        <f>IF(N:N&gt;=1,1,0)</f>
        <v>0</v>
      </c>
      <c r="P150" s="65">
        <f>ROUND(SUMIFS(险种!Q:Q,险种!V:V,$P$1,险种!E:E,E:E),1)</f>
        <v>0</v>
      </c>
      <c r="Q150" s="68">
        <f>RANK(P150,$P:$P,0)-1</f>
        <v>5</v>
      </c>
      <c r="R150" s="68" t="str">
        <f>A:A&amp;D:D&amp;G:G&amp;"在"&amp;$P$1&amp;"预收"&amp;P:P&amp;"排名中支第"&amp;Q:Q&amp;"位"</f>
        <v>淮南本部宫丽曼伙伴在20210509预收0排名中支第5位</v>
      </c>
      <c r="S150" s="65">
        <f>ROUND(SUMIFS(险种!Q:Q,险种!E:E,E:E,险种!V:V,"&lt;=20210506")-SUMIFS(险种!Q:Q,险种!U:U,"终止",险种!E:E,E:E,险种!V:V,"&lt;=20210506"),1)</f>
        <v>0</v>
      </c>
      <c r="T150" s="65">
        <f>ROUND(SUMIFS(险种!Q:Q,险种!U:U,"有效",险种!E:E,E:E,险种!V:V,"&lt;=20210506"),1)</f>
        <v>0</v>
      </c>
      <c r="U150" s="65">
        <f>ROUND(SUMIFS(险种!Q:Q,险种!E:E,E:E,险种!V:V,"&lt;=20210510")-SUMIFS(险种!Q:Q,险种!U:U,"终止",险种!E:E,E:E,险种!V:V,"&lt;=20210510"),1)</f>
        <v>0</v>
      </c>
      <c r="V150" s="65">
        <f>ROUND(SUMIFS(险种!Q:Q,险种!U:U,"有效",险种!E:E,E:E,险种!V:V,"&lt;=20210510"),1)</f>
        <v>0</v>
      </c>
      <c r="W150" s="65">
        <f t="shared" si="2"/>
        <v>0</v>
      </c>
      <c r="X150" s="68">
        <f>SUMIF(险种!E:E,E:E,险种!Y:Y)</f>
        <v>0</v>
      </c>
      <c r="Y150" s="65">
        <f>MAX(_xlfn.IFS(OR(X:X=1,X:X=2),J:J*0.1,X:X&gt;=3,J:J*0.2,X:X=0,0),IF(J:J&gt;=20000,J:J*0.2,0))</f>
        <v>0</v>
      </c>
      <c r="Z150" s="65" t="str">
        <f>A150&amp;D150&amp;G150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淮南本部宫丽曼伙伴5.1-5.10预收价值保费0，首周预收3000P件数0件，预收拟加佣0元。温馨提示，保单需10日（含）前承保，目前还有0价值保费未承保,开单一件即可获得10%加佣</v>
      </c>
      <c r="AA150" s="68">
        <f>SUMIF(险种!E:E,E:E,险种!Z:Z)</f>
        <v>0</v>
      </c>
      <c r="AB150" s="65"/>
      <c r="AC150" s="68">
        <f>SUMIF(险种!E:E,E:E,险种!AA:AA)</f>
        <v>0</v>
      </c>
      <c r="AD150" s="68">
        <f>SUMIFS(险种!AA:AA,险种!U:U,"有效",险种!E:E,E:E)</f>
        <v>0</v>
      </c>
      <c r="AE150" s="68" t="str">
        <f>A150&amp;D150&amp;G150&amp;"目前获得"&amp;$AC$1&amp;AC:AC&amp;"名，获得"&amp;$AD$1&amp;AD:AD&amp;"名"</f>
        <v>淮南本部宫丽曼伙伴目前获得龙虾节预收名额0名，获得龙虾节承保名额0名</v>
      </c>
      <c r="AF150" s="68">
        <f>SUMIF(认购返还案!D:D,E:E,认购返还案!E:E)</f>
        <v>0</v>
      </c>
      <c r="AG150" s="68">
        <f>_xlfn.IFS(AND(U:U&gt;=3000,U:U&lt;5000),AF:AF*0.5,U:U&gt;=5000,AF:AF*1,U:U&lt;3000,0)</f>
        <v>0</v>
      </c>
      <c r="AH150" s="68">
        <f>_xlfn.IFS(AND(V:V&gt;=3000,V:V&lt;5000),AF:AF*0.5,V:V&gt;=5000,AF:AF*1,V:V&lt;3000,0)</f>
        <v>0</v>
      </c>
      <c r="AI150" s="68" t="str">
        <f>A:A&amp;D:D&amp;G:G&amp;$AF$1&amp;AF:AF&amp;"元，目前预收价值"&amp;U:U&amp;"，"&amp;$AG$1&amp;AG:AG&amp;"元，"&amp;$AH$1&amp;AH:AH&amp;"元"</f>
        <v>淮南本部宫丽曼伙伴冲锋队缴费金额0元，目前预收价值0，预收拟返还0元，承保拟返还0元</v>
      </c>
      <c r="AJ150" s="68">
        <f>SUMIF(保单!R:R,E:E,保单!BE:BE)*IF(AF:AF&gt;1,1,0)</f>
        <v>0</v>
      </c>
      <c r="AK150" s="68">
        <f>SUMIFS(保单!BE:BE,保单!R:R,E:E,保单!BB:BB,"有效")*IF(AF:AF&gt;1,1,0)</f>
        <v>0</v>
      </c>
      <c r="AL150" s="72" t="str">
        <f>A:A&amp;D:D&amp;G:G&amp;"只要在1-10日承保全部保单，即可获得"&amp;$AJ$1&amp;AJ:AJ&amp;"个"</f>
        <v>淮南本部宫丽曼伙伴只要在1-10日承保全部保单，即可获得冲锋队按摩仪0个</v>
      </c>
    </row>
    <row r="151" spans="1:38">
      <c r="A151" s="64" t="s">
        <v>48</v>
      </c>
      <c r="B151" s="64" t="s">
        <v>49</v>
      </c>
      <c r="C151" s="64" t="s">
        <v>50</v>
      </c>
      <c r="D151" s="64" t="s">
        <v>390</v>
      </c>
      <c r="E151" s="64">
        <v>6359975452</v>
      </c>
      <c r="F151" s="64" t="s">
        <v>158</v>
      </c>
      <c r="G151" s="64" t="str">
        <f>IF(OR(F:F="高级经理一级",F:F="业务经理一级"),"主管","伙伴")</f>
        <v>伙伴</v>
      </c>
      <c r="H151" s="65">
        <f>SUMIF(险种!E:E,E:E,险种!R:R)-SUMIFS(险种!R:R,险种!U:U,"终止",险种!E:E,E:E)</f>
        <v>0</v>
      </c>
      <c r="I151" s="65">
        <f>SUMIFS(险种!R:R,险种!U:U,"有效",险种!E:E,E:E)</f>
        <v>0</v>
      </c>
      <c r="J151" s="65">
        <f>ROUND(SUMIF(险种!E:E,E:E,险种!Q:Q)-SUMIFS(险种!Q:Q,险种!U:U,"终止",险种!E:E,E:E),1)</f>
        <v>0</v>
      </c>
      <c r="K151" s="68">
        <f>RANK(J151,J:J)</f>
        <v>22</v>
      </c>
      <c r="L151" s="65">
        <f>ROUND(SUMIFS(险种!Q:Q,险种!U:U,"有效",险种!E:E,E:E),1)</f>
        <v>0</v>
      </c>
      <c r="M151" s="68">
        <f>RANK(L151,L:L,)</f>
        <v>14</v>
      </c>
      <c r="N151" s="68">
        <f>SUMIF(险种!E:E,E:E,险种!W:W)</f>
        <v>0</v>
      </c>
      <c r="O151" s="68">
        <f>IF(N:N&gt;=1,1,0)</f>
        <v>0</v>
      </c>
      <c r="P151" s="65">
        <f>ROUND(SUMIFS(险种!Q:Q,险种!V:V,$P$1,险种!E:E,E:E),1)</f>
        <v>0</v>
      </c>
      <c r="Q151" s="68">
        <f>RANK(P151,$P:$P,0)-1</f>
        <v>5</v>
      </c>
      <c r="R151" s="68" t="str">
        <f>A:A&amp;D:D&amp;G:G&amp;"在"&amp;$P$1&amp;"预收"&amp;P:P&amp;"排名中支第"&amp;Q:Q&amp;"位"</f>
        <v>谢家集王凤伙伴在20210509预收0排名中支第5位</v>
      </c>
      <c r="S151" s="65">
        <f>ROUND(SUMIFS(险种!Q:Q,险种!E:E,E:E,险种!V:V,"&lt;=20210506")-SUMIFS(险种!Q:Q,险种!U:U,"终止",险种!E:E,E:E,险种!V:V,"&lt;=20210506"),1)</f>
        <v>0</v>
      </c>
      <c r="T151" s="65">
        <f>ROUND(SUMIFS(险种!Q:Q,险种!U:U,"有效",险种!E:E,E:E,险种!V:V,"&lt;=20210506"),1)</f>
        <v>0</v>
      </c>
      <c r="U151" s="65">
        <f>ROUND(SUMIFS(险种!Q:Q,险种!E:E,E:E,险种!V:V,"&lt;=20210510")-SUMIFS(险种!Q:Q,险种!U:U,"终止",险种!E:E,E:E,险种!V:V,"&lt;=20210510"),1)</f>
        <v>0</v>
      </c>
      <c r="V151" s="65">
        <f>ROUND(SUMIFS(险种!Q:Q,险种!U:U,"有效",险种!E:E,E:E,险种!V:V,"&lt;=20210510"),1)</f>
        <v>0</v>
      </c>
      <c r="W151" s="65">
        <f t="shared" si="2"/>
        <v>0</v>
      </c>
      <c r="X151" s="68">
        <f>SUMIF(险种!E:E,E:E,险种!Y:Y)</f>
        <v>0</v>
      </c>
      <c r="Y151" s="65">
        <f>MAX(_xlfn.IFS(OR(X:X=1,X:X=2),J:J*0.1,X:X&gt;=3,J:J*0.2,X:X=0,0),IF(J:J&gt;=20000,J:J*0.2,0))</f>
        <v>0</v>
      </c>
      <c r="Z151" s="65" t="str">
        <f>A151&amp;D151&amp;G151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谢家集王凤伙伴5.1-5.10预收价值保费0，首周预收3000P件数0件，预收拟加佣0元。温馨提示，保单需10日（含）前承保，目前还有0价值保费未承保,开单一件即可获得10%加佣</v>
      </c>
      <c r="AA151" s="68">
        <f>SUMIF(险种!E:E,E:E,险种!Z:Z)</f>
        <v>0</v>
      </c>
      <c r="AB151" s="65"/>
      <c r="AC151" s="68">
        <f>SUMIF(险种!E:E,E:E,险种!AA:AA)</f>
        <v>0</v>
      </c>
      <c r="AD151" s="68">
        <f>SUMIFS(险种!AA:AA,险种!U:U,"有效",险种!E:E,E:E)</f>
        <v>0</v>
      </c>
      <c r="AE151" s="68" t="str">
        <f>A151&amp;D151&amp;G151&amp;"目前获得"&amp;$AC$1&amp;AC:AC&amp;"名，获得"&amp;$AD$1&amp;AD:AD&amp;"名"</f>
        <v>谢家集王凤伙伴目前获得龙虾节预收名额0名，获得龙虾节承保名额0名</v>
      </c>
      <c r="AF151" s="68">
        <f>SUMIF(认购返还案!D:D,E:E,认购返还案!E:E)</f>
        <v>0</v>
      </c>
      <c r="AG151" s="68">
        <f>_xlfn.IFS(AND(U:U&gt;=3000,U:U&lt;5000),AF:AF*0.5,U:U&gt;=5000,AF:AF*1,U:U&lt;3000,0)</f>
        <v>0</v>
      </c>
      <c r="AH151" s="68">
        <f>_xlfn.IFS(AND(V:V&gt;=3000,V:V&lt;5000),AF:AF*0.5,V:V&gt;=5000,AF:AF*1,V:V&lt;3000,0)</f>
        <v>0</v>
      </c>
      <c r="AI151" s="68" t="str">
        <f>A:A&amp;D:D&amp;G:G&amp;$AF$1&amp;AF:AF&amp;"元，目前预收价值"&amp;U:U&amp;"，"&amp;$AG$1&amp;AG:AG&amp;"元，"&amp;$AH$1&amp;AH:AH&amp;"元"</f>
        <v>谢家集王凤伙伴冲锋队缴费金额0元，目前预收价值0，预收拟返还0元，承保拟返还0元</v>
      </c>
      <c r="AJ151" s="68">
        <f>SUMIF(保单!R:R,E:E,保单!BE:BE)*IF(AF:AF&gt;1,1,0)</f>
        <v>0</v>
      </c>
      <c r="AK151" s="68">
        <f>SUMIFS(保单!BE:BE,保单!R:R,E:E,保单!BB:BB,"有效")*IF(AF:AF&gt;1,1,0)</f>
        <v>0</v>
      </c>
      <c r="AL151" s="72" t="str">
        <f>A:A&amp;D:D&amp;G:G&amp;"只要在1-10日承保全部保单，即可获得"&amp;$AJ$1&amp;AJ:AJ&amp;"个"</f>
        <v>谢家集王凤伙伴只要在1-10日承保全部保单，即可获得冲锋队按摩仪0个</v>
      </c>
    </row>
    <row r="152" spans="1:38">
      <c r="A152" s="64" t="s">
        <v>42</v>
      </c>
      <c r="B152" s="64" t="s">
        <v>62</v>
      </c>
      <c r="C152" s="64" t="s">
        <v>108</v>
      </c>
      <c r="D152" s="64" t="s">
        <v>391</v>
      </c>
      <c r="E152" s="64">
        <v>6359432432</v>
      </c>
      <c r="F152" s="64" t="s">
        <v>174</v>
      </c>
      <c r="G152" s="64" t="str">
        <f>IF(OR(F:F="高级经理一级",F:F="业务经理一级"),"主管","伙伴")</f>
        <v>伙伴</v>
      </c>
      <c r="H152" s="65">
        <f>SUMIF(险种!E:E,E:E,险种!R:R)-SUMIFS(险种!R:R,险种!U:U,"终止",险种!E:E,E:E)</f>
        <v>0</v>
      </c>
      <c r="I152" s="65">
        <f>SUMIFS(险种!R:R,险种!U:U,"有效",险种!E:E,E:E)</f>
        <v>0</v>
      </c>
      <c r="J152" s="65">
        <f>ROUND(SUMIF(险种!E:E,E:E,险种!Q:Q)-SUMIFS(险种!Q:Q,险种!U:U,"终止",险种!E:E,E:E),1)</f>
        <v>0</v>
      </c>
      <c r="K152" s="68">
        <f>RANK(J152,J:J)</f>
        <v>22</v>
      </c>
      <c r="L152" s="65">
        <f>ROUND(SUMIFS(险种!Q:Q,险种!U:U,"有效",险种!E:E,E:E),1)</f>
        <v>0</v>
      </c>
      <c r="M152" s="68">
        <f>RANK(L152,L:L,)</f>
        <v>14</v>
      </c>
      <c r="N152" s="68">
        <f>SUMIF(险种!E:E,E:E,险种!W:W)</f>
        <v>0</v>
      </c>
      <c r="O152" s="68">
        <f>IF(N:N&gt;=1,1,0)</f>
        <v>0</v>
      </c>
      <c r="P152" s="65">
        <f>ROUND(SUMIFS(险种!Q:Q,险种!V:V,$P$1,险种!E:E,E:E),1)</f>
        <v>0</v>
      </c>
      <c r="Q152" s="68">
        <f>RANK(P152,$P:$P,0)-1</f>
        <v>5</v>
      </c>
      <c r="R152" s="68" t="str">
        <f>A:A&amp;D:D&amp;G:G&amp;"在"&amp;$P$1&amp;"预收"&amp;P:P&amp;"排名中支第"&amp;Q:Q&amp;"位"</f>
        <v>淮南本部谢雨晨伙伴在20210509预收0排名中支第5位</v>
      </c>
      <c r="S152" s="65">
        <f>ROUND(SUMIFS(险种!Q:Q,险种!E:E,E:E,险种!V:V,"&lt;=20210506")-SUMIFS(险种!Q:Q,险种!U:U,"终止",险种!E:E,E:E,险种!V:V,"&lt;=20210506"),1)</f>
        <v>0</v>
      </c>
      <c r="T152" s="65">
        <f>ROUND(SUMIFS(险种!Q:Q,险种!U:U,"有效",险种!E:E,E:E,险种!V:V,"&lt;=20210506"),1)</f>
        <v>0</v>
      </c>
      <c r="U152" s="65">
        <f>ROUND(SUMIFS(险种!Q:Q,险种!E:E,E:E,险种!V:V,"&lt;=20210510")-SUMIFS(险种!Q:Q,险种!U:U,"终止",险种!E:E,E:E,险种!V:V,"&lt;=20210510"),1)</f>
        <v>0</v>
      </c>
      <c r="V152" s="65">
        <f>ROUND(SUMIFS(险种!Q:Q,险种!U:U,"有效",险种!E:E,E:E,险种!V:V,"&lt;=20210510"),1)</f>
        <v>0</v>
      </c>
      <c r="W152" s="65">
        <f t="shared" si="2"/>
        <v>0</v>
      </c>
      <c r="X152" s="68">
        <f>SUMIF(险种!E:E,E:E,险种!Y:Y)</f>
        <v>0</v>
      </c>
      <c r="Y152" s="65">
        <f>MAX(_xlfn.IFS(OR(X:X=1,X:X=2),J:J*0.1,X:X&gt;=3,J:J*0.2,X:X=0,0),IF(J:J&gt;=20000,J:J*0.2,0))</f>
        <v>0</v>
      </c>
      <c r="Z152" s="65" t="str">
        <f>A152&amp;D152&amp;G152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淮南本部谢雨晨伙伴5.1-5.10预收价值保费0，首周预收3000P件数0件，预收拟加佣0元。温馨提示，保单需10日（含）前承保，目前还有0价值保费未承保,开单一件即可获得10%加佣</v>
      </c>
      <c r="AA152" s="68">
        <f>SUMIF(险种!E:E,E:E,险种!Z:Z)</f>
        <v>0</v>
      </c>
      <c r="AB152" s="65"/>
      <c r="AC152" s="68">
        <f>SUMIF(险种!E:E,E:E,险种!AA:AA)</f>
        <v>0</v>
      </c>
      <c r="AD152" s="68">
        <f>SUMIFS(险种!AA:AA,险种!U:U,"有效",险种!E:E,E:E)</f>
        <v>0</v>
      </c>
      <c r="AE152" s="68" t="str">
        <f>A152&amp;D152&amp;G152&amp;"目前获得"&amp;$AC$1&amp;AC:AC&amp;"名，获得"&amp;$AD$1&amp;AD:AD&amp;"名"</f>
        <v>淮南本部谢雨晨伙伴目前获得龙虾节预收名额0名，获得龙虾节承保名额0名</v>
      </c>
      <c r="AF152" s="68">
        <f>SUMIF(认购返还案!D:D,E:E,认购返还案!E:E)</f>
        <v>0</v>
      </c>
      <c r="AG152" s="68">
        <f>_xlfn.IFS(AND(U:U&gt;=3000,U:U&lt;5000),AF:AF*0.5,U:U&gt;=5000,AF:AF*1,U:U&lt;3000,0)</f>
        <v>0</v>
      </c>
      <c r="AH152" s="68">
        <f>_xlfn.IFS(AND(V:V&gt;=3000,V:V&lt;5000),AF:AF*0.5,V:V&gt;=5000,AF:AF*1,V:V&lt;3000,0)</f>
        <v>0</v>
      </c>
      <c r="AI152" s="68" t="str">
        <f>A:A&amp;D:D&amp;G:G&amp;$AF$1&amp;AF:AF&amp;"元，目前预收价值"&amp;U:U&amp;"，"&amp;$AG$1&amp;AG:AG&amp;"元，"&amp;$AH$1&amp;AH:AH&amp;"元"</f>
        <v>淮南本部谢雨晨伙伴冲锋队缴费金额0元，目前预收价值0，预收拟返还0元，承保拟返还0元</v>
      </c>
      <c r="AJ152" s="68">
        <f>SUMIF(保单!R:R,E:E,保单!BE:BE)*IF(AF:AF&gt;1,1,0)</f>
        <v>0</v>
      </c>
      <c r="AK152" s="68">
        <f>SUMIFS(保单!BE:BE,保单!R:R,E:E,保单!BB:BB,"有效")*IF(AF:AF&gt;1,1,0)</f>
        <v>0</v>
      </c>
      <c r="AL152" s="72" t="str">
        <f>A:A&amp;D:D&amp;G:G&amp;"只要在1-10日承保全部保单，即可获得"&amp;$AJ$1&amp;AJ:AJ&amp;"个"</f>
        <v>淮南本部谢雨晨伙伴只要在1-10日承保全部保单，即可获得冲锋队按摩仪0个</v>
      </c>
    </row>
    <row r="153" spans="1:38">
      <c r="A153" s="64" t="s">
        <v>27</v>
      </c>
      <c r="B153" s="64" t="s">
        <v>28</v>
      </c>
      <c r="C153" s="64" t="s">
        <v>29</v>
      </c>
      <c r="D153" s="64" t="s">
        <v>392</v>
      </c>
      <c r="E153" s="64">
        <v>6359420662</v>
      </c>
      <c r="F153" s="64" t="s">
        <v>174</v>
      </c>
      <c r="G153" s="64" t="str">
        <f>IF(OR(F:F="高级经理一级",F:F="业务经理一级"),"主管","伙伴")</f>
        <v>伙伴</v>
      </c>
      <c r="H153" s="65">
        <f>SUMIF(险种!E:E,E:E,险种!R:R)-SUMIFS(险种!R:R,险种!U:U,"终止",险种!E:E,E:E)</f>
        <v>0</v>
      </c>
      <c r="I153" s="65">
        <f>SUMIFS(险种!R:R,险种!U:U,"有效",险种!E:E,E:E)</f>
        <v>0</v>
      </c>
      <c r="J153" s="65">
        <f>ROUND(SUMIF(险种!E:E,E:E,险种!Q:Q)-SUMIFS(险种!Q:Q,险种!U:U,"终止",险种!E:E,E:E),1)</f>
        <v>0</v>
      </c>
      <c r="K153" s="68">
        <f>RANK(J153,J:J)</f>
        <v>22</v>
      </c>
      <c r="L153" s="65">
        <f>ROUND(SUMIFS(险种!Q:Q,险种!U:U,"有效",险种!E:E,E:E),1)</f>
        <v>0</v>
      </c>
      <c r="M153" s="68">
        <f>RANK(L153,L:L,)</f>
        <v>14</v>
      </c>
      <c r="N153" s="68">
        <f>SUMIF(险种!E:E,E:E,险种!W:W)</f>
        <v>0</v>
      </c>
      <c r="O153" s="68">
        <f>IF(N:N&gt;=1,1,0)</f>
        <v>0</v>
      </c>
      <c r="P153" s="65">
        <f>ROUND(SUMIFS(险种!Q:Q,险种!V:V,$P$1,险种!E:E,E:E),1)</f>
        <v>0</v>
      </c>
      <c r="Q153" s="68">
        <f>RANK(P153,$P:$P,0)-1</f>
        <v>5</v>
      </c>
      <c r="R153" s="68" t="str">
        <f>A:A&amp;D:D&amp;G:G&amp;"在"&amp;$P$1&amp;"预收"&amp;P:P&amp;"排名中支第"&amp;Q:Q&amp;"位"</f>
        <v>凤台袁萍萍伙伴在20210509预收0排名中支第5位</v>
      </c>
      <c r="S153" s="65">
        <f>ROUND(SUMIFS(险种!Q:Q,险种!E:E,E:E,险种!V:V,"&lt;=20210506")-SUMIFS(险种!Q:Q,险种!U:U,"终止",险种!E:E,E:E,险种!V:V,"&lt;=20210506"),1)</f>
        <v>0</v>
      </c>
      <c r="T153" s="65">
        <f>ROUND(SUMIFS(险种!Q:Q,险种!U:U,"有效",险种!E:E,E:E,险种!V:V,"&lt;=20210506"),1)</f>
        <v>0</v>
      </c>
      <c r="U153" s="65">
        <f>ROUND(SUMIFS(险种!Q:Q,险种!E:E,E:E,险种!V:V,"&lt;=20210510")-SUMIFS(险种!Q:Q,险种!U:U,"终止",险种!E:E,E:E,险种!V:V,"&lt;=20210510"),1)</f>
        <v>0</v>
      </c>
      <c r="V153" s="65">
        <f>ROUND(SUMIFS(险种!Q:Q,险种!U:U,"有效",险种!E:E,E:E,险种!V:V,"&lt;=20210510"),1)</f>
        <v>0</v>
      </c>
      <c r="W153" s="65">
        <f t="shared" si="2"/>
        <v>0</v>
      </c>
      <c r="X153" s="68">
        <f>SUMIF(险种!E:E,E:E,险种!Y:Y)</f>
        <v>0</v>
      </c>
      <c r="Y153" s="65">
        <f>MAX(_xlfn.IFS(OR(X:X=1,X:X=2),J:J*0.1,X:X&gt;=3,J:J*0.2,X:X=0,0),IF(J:J&gt;=20000,J:J*0.2,0))</f>
        <v>0</v>
      </c>
      <c r="Z153" s="65" t="str">
        <f>A153&amp;D153&amp;G153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凤台袁萍萍伙伴5.1-5.10预收价值保费0，首周预收3000P件数0件，预收拟加佣0元。温馨提示，保单需10日（含）前承保，目前还有0价值保费未承保,开单一件即可获得10%加佣</v>
      </c>
      <c r="AA153" s="68">
        <f>SUMIF(险种!E:E,E:E,险种!Z:Z)</f>
        <v>0</v>
      </c>
      <c r="AB153" s="65"/>
      <c r="AC153" s="68">
        <f>SUMIF(险种!E:E,E:E,险种!AA:AA)</f>
        <v>0</v>
      </c>
      <c r="AD153" s="68">
        <f>SUMIFS(险种!AA:AA,险种!U:U,"有效",险种!E:E,E:E)</f>
        <v>0</v>
      </c>
      <c r="AE153" s="68" t="str">
        <f>A153&amp;D153&amp;G153&amp;"目前获得"&amp;$AC$1&amp;AC:AC&amp;"名，获得"&amp;$AD$1&amp;AD:AD&amp;"名"</f>
        <v>凤台袁萍萍伙伴目前获得龙虾节预收名额0名，获得龙虾节承保名额0名</v>
      </c>
      <c r="AF153" s="68">
        <f>SUMIF(认购返还案!D:D,E:E,认购返还案!E:E)</f>
        <v>0</v>
      </c>
      <c r="AG153" s="68">
        <f>_xlfn.IFS(AND(U:U&gt;=3000,U:U&lt;5000),AF:AF*0.5,U:U&gt;=5000,AF:AF*1,U:U&lt;3000,0)</f>
        <v>0</v>
      </c>
      <c r="AH153" s="68">
        <f>_xlfn.IFS(AND(V:V&gt;=3000,V:V&lt;5000),AF:AF*0.5,V:V&gt;=5000,AF:AF*1,V:V&lt;3000,0)</f>
        <v>0</v>
      </c>
      <c r="AI153" s="68" t="str">
        <f>A:A&amp;D:D&amp;G:G&amp;$AF$1&amp;AF:AF&amp;"元，目前预收价值"&amp;U:U&amp;"，"&amp;$AG$1&amp;AG:AG&amp;"元，"&amp;$AH$1&amp;AH:AH&amp;"元"</f>
        <v>凤台袁萍萍伙伴冲锋队缴费金额0元，目前预收价值0，预收拟返还0元，承保拟返还0元</v>
      </c>
      <c r="AJ153" s="68">
        <f>SUMIF(保单!R:R,E:E,保单!BE:BE)*IF(AF:AF&gt;1,1,0)</f>
        <v>0</v>
      </c>
      <c r="AK153" s="68">
        <f>SUMIFS(保单!BE:BE,保单!R:R,E:E,保单!BB:BB,"有效")*IF(AF:AF&gt;1,1,0)</f>
        <v>0</v>
      </c>
      <c r="AL153" s="72" t="str">
        <f>A:A&amp;D:D&amp;G:G&amp;"只要在1-10日承保全部保单，即可获得"&amp;$AJ$1&amp;AJ:AJ&amp;"个"</f>
        <v>凤台袁萍萍伙伴只要在1-10日承保全部保单，即可获得冲锋队按摩仪0个</v>
      </c>
    </row>
    <row r="154" spans="1:38">
      <c r="A154" s="64" t="s">
        <v>42</v>
      </c>
      <c r="B154" s="64" t="s">
        <v>66</v>
      </c>
      <c r="C154" s="64" t="s">
        <v>67</v>
      </c>
      <c r="D154" s="64" t="s">
        <v>393</v>
      </c>
      <c r="E154" s="64">
        <v>6358462432</v>
      </c>
      <c r="F154" s="64" t="s">
        <v>174</v>
      </c>
      <c r="G154" s="64" t="str">
        <f>IF(OR(F:F="高级经理一级",F:F="业务经理一级"),"主管","伙伴")</f>
        <v>伙伴</v>
      </c>
      <c r="H154" s="65">
        <f>SUMIF(险种!E:E,E:E,险种!R:R)-SUMIFS(险种!R:R,险种!U:U,"终止",险种!E:E,E:E)</f>
        <v>0</v>
      </c>
      <c r="I154" s="65">
        <f>SUMIFS(险种!R:R,险种!U:U,"有效",险种!E:E,E:E)</f>
        <v>0</v>
      </c>
      <c r="J154" s="65">
        <f>ROUND(SUMIF(险种!E:E,E:E,险种!Q:Q)-SUMIFS(险种!Q:Q,险种!U:U,"终止",险种!E:E,E:E),1)</f>
        <v>0</v>
      </c>
      <c r="K154" s="68">
        <f>RANK(J154,J:J)</f>
        <v>22</v>
      </c>
      <c r="L154" s="65">
        <f>ROUND(SUMIFS(险种!Q:Q,险种!U:U,"有效",险种!E:E,E:E),1)</f>
        <v>0</v>
      </c>
      <c r="M154" s="68">
        <f>RANK(L154,L:L,)</f>
        <v>14</v>
      </c>
      <c r="N154" s="68">
        <f>SUMIF(险种!E:E,E:E,险种!W:W)</f>
        <v>0</v>
      </c>
      <c r="O154" s="68">
        <f>IF(N:N&gt;=1,1,0)</f>
        <v>0</v>
      </c>
      <c r="P154" s="65">
        <f>ROUND(SUMIFS(险种!Q:Q,险种!V:V,$P$1,险种!E:E,E:E),1)</f>
        <v>0</v>
      </c>
      <c r="Q154" s="68">
        <f>RANK(P154,$P:$P,0)-1</f>
        <v>5</v>
      </c>
      <c r="R154" s="68" t="str">
        <f>A:A&amp;D:D&amp;G:G&amp;"在"&amp;$P$1&amp;"预收"&amp;P:P&amp;"排名中支第"&amp;Q:Q&amp;"位"</f>
        <v>淮南本部聂慧慧伙伴在20210509预收0排名中支第5位</v>
      </c>
      <c r="S154" s="65">
        <f>ROUND(SUMIFS(险种!Q:Q,险种!E:E,E:E,险种!V:V,"&lt;=20210506")-SUMIFS(险种!Q:Q,险种!U:U,"终止",险种!E:E,E:E,险种!V:V,"&lt;=20210506"),1)</f>
        <v>0</v>
      </c>
      <c r="T154" s="65">
        <f>ROUND(SUMIFS(险种!Q:Q,险种!U:U,"有效",险种!E:E,E:E,险种!V:V,"&lt;=20210506"),1)</f>
        <v>0</v>
      </c>
      <c r="U154" s="65">
        <f>ROUND(SUMIFS(险种!Q:Q,险种!E:E,E:E,险种!V:V,"&lt;=20210510")-SUMIFS(险种!Q:Q,险种!U:U,"终止",险种!E:E,E:E,险种!V:V,"&lt;=20210510"),1)</f>
        <v>0</v>
      </c>
      <c r="V154" s="65">
        <f>ROUND(SUMIFS(险种!Q:Q,险种!U:U,"有效",险种!E:E,E:E,险种!V:V,"&lt;=20210510"),1)</f>
        <v>0</v>
      </c>
      <c r="W154" s="65">
        <f t="shared" si="2"/>
        <v>0</v>
      </c>
      <c r="X154" s="68">
        <f>SUMIF(险种!E:E,E:E,险种!Y:Y)</f>
        <v>0</v>
      </c>
      <c r="Y154" s="65">
        <f>MAX(_xlfn.IFS(OR(X:X=1,X:X=2),J:J*0.1,X:X&gt;=3,J:J*0.2,X:X=0,0),IF(J:J&gt;=20000,J:J*0.2,0))</f>
        <v>0</v>
      </c>
      <c r="Z154" s="65" t="str">
        <f>A154&amp;D154&amp;G154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淮南本部聂慧慧伙伴5.1-5.10预收价值保费0，首周预收3000P件数0件，预收拟加佣0元。温馨提示，保单需10日（含）前承保，目前还有0价值保费未承保,开单一件即可获得10%加佣</v>
      </c>
      <c r="AA154" s="68">
        <f>SUMIF(险种!E:E,E:E,险种!Z:Z)</f>
        <v>0</v>
      </c>
      <c r="AB154" s="65"/>
      <c r="AC154" s="68">
        <f>SUMIF(险种!E:E,E:E,险种!AA:AA)</f>
        <v>0</v>
      </c>
      <c r="AD154" s="68">
        <f>SUMIFS(险种!AA:AA,险种!U:U,"有效",险种!E:E,E:E)</f>
        <v>0</v>
      </c>
      <c r="AE154" s="68" t="str">
        <f>A154&amp;D154&amp;G154&amp;"目前获得"&amp;$AC$1&amp;AC:AC&amp;"名，获得"&amp;$AD$1&amp;AD:AD&amp;"名"</f>
        <v>淮南本部聂慧慧伙伴目前获得龙虾节预收名额0名，获得龙虾节承保名额0名</v>
      </c>
      <c r="AF154" s="68">
        <f>SUMIF(认购返还案!D:D,E:E,认购返还案!E:E)</f>
        <v>0</v>
      </c>
      <c r="AG154" s="68">
        <f>_xlfn.IFS(AND(U:U&gt;=3000,U:U&lt;5000),AF:AF*0.5,U:U&gt;=5000,AF:AF*1,U:U&lt;3000,0)</f>
        <v>0</v>
      </c>
      <c r="AH154" s="68">
        <f>_xlfn.IFS(AND(V:V&gt;=3000,V:V&lt;5000),AF:AF*0.5,V:V&gt;=5000,AF:AF*1,V:V&lt;3000,0)</f>
        <v>0</v>
      </c>
      <c r="AI154" s="68" t="str">
        <f>A:A&amp;D:D&amp;G:G&amp;$AF$1&amp;AF:AF&amp;"元，目前预收价值"&amp;U:U&amp;"，"&amp;$AG$1&amp;AG:AG&amp;"元，"&amp;$AH$1&amp;AH:AH&amp;"元"</f>
        <v>淮南本部聂慧慧伙伴冲锋队缴费金额0元，目前预收价值0，预收拟返还0元，承保拟返还0元</v>
      </c>
      <c r="AJ154" s="68">
        <f>SUMIF(保单!R:R,E:E,保单!BE:BE)*IF(AF:AF&gt;1,1,0)</f>
        <v>0</v>
      </c>
      <c r="AK154" s="68">
        <f>SUMIFS(保单!BE:BE,保单!R:R,E:E,保单!BB:BB,"有效")*IF(AF:AF&gt;1,1,0)</f>
        <v>0</v>
      </c>
      <c r="AL154" s="72" t="str">
        <f>A:A&amp;D:D&amp;G:G&amp;"只要在1-10日承保全部保单，即可获得"&amp;$AJ$1&amp;AJ:AJ&amp;"个"</f>
        <v>淮南本部聂慧慧伙伴只要在1-10日承保全部保单，即可获得冲锋队按摩仪0个</v>
      </c>
    </row>
    <row r="155" spans="1:38">
      <c r="A155" s="64" t="s">
        <v>48</v>
      </c>
      <c r="B155" s="64" t="s">
        <v>49</v>
      </c>
      <c r="C155" s="64" t="s">
        <v>98</v>
      </c>
      <c r="D155" s="64" t="s">
        <v>394</v>
      </c>
      <c r="E155" s="64">
        <v>6354094732</v>
      </c>
      <c r="F155" s="64" t="s">
        <v>174</v>
      </c>
      <c r="G155" s="64" t="str">
        <f>IF(OR(F:F="高级经理一级",F:F="业务经理一级"),"主管","伙伴")</f>
        <v>伙伴</v>
      </c>
      <c r="H155" s="65">
        <f>SUMIF(险种!E:E,E:E,险种!R:R)-SUMIFS(险种!R:R,险种!U:U,"终止",险种!E:E,E:E)</f>
        <v>0</v>
      </c>
      <c r="I155" s="65">
        <f>SUMIFS(险种!R:R,险种!U:U,"有效",险种!E:E,E:E)</f>
        <v>0</v>
      </c>
      <c r="J155" s="65">
        <f>ROUND(SUMIF(险种!E:E,E:E,险种!Q:Q)-SUMIFS(险种!Q:Q,险种!U:U,"终止",险种!E:E,E:E),1)</f>
        <v>0</v>
      </c>
      <c r="K155" s="68">
        <f>RANK(J155,J:J)</f>
        <v>22</v>
      </c>
      <c r="L155" s="65">
        <f>ROUND(SUMIFS(险种!Q:Q,险种!U:U,"有效",险种!E:E,E:E),1)</f>
        <v>0</v>
      </c>
      <c r="M155" s="68">
        <f>RANK(L155,L:L,)</f>
        <v>14</v>
      </c>
      <c r="N155" s="68">
        <f>SUMIF(险种!E:E,E:E,险种!W:W)</f>
        <v>0</v>
      </c>
      <c r="O155" s="68">
        <f>IF(N:N&gt;=1,1,0)</f>
        <v>0</v>
      </c>
      <c r="P155" s="65">
        <f>ROUND(SUMIFS(险种!Q:Q,险种!V:V,$P$1,险种!E:E,E:E),1)</f>
        <v>0</v>
      </c>
      <c r="Q155" s="68">
        <f>RANK(P155,$P:$P,0)-1</f>
        <v>5</v>
      </c>
      <c r="R155" s="68" t="str">
        <f>A:A&amp;D:D&amp;G:G&amp;"在"&amp;$P$1&amp;"预收"&amp;P:P&amp;"排名中支第"&amp;Q:Q&amp;"位"</f>
        <v>谢家集周元元伙伴在20210509预收0排名中支第5位</v>
      </c>
      <c r="S155" s="65">
        <f>ROUND(SUMIFS(险种!Q:Q,险种!E:E,E:E,险种!V:V,"&lt;=20210506")-SUMIFS(险种!Q:Q,险种!U:U,"终止",险种!E:E,E:E,险种!V:V,"&lt;=20210506"),1)</f>
        <v>0</v>
      </c>
      <c r="T155" s="65">
        <f>ROUND(SUMIFS(险种!Q:Q,险种!U:U,"有效",险种!E:E,E:E,险种!V:V,"&lt;=20210506"),1)</f>
        <v>0</v>
      </c>
      <c r="U155" s="65">
        <f>ROUND(SUMIFS(险种!Q:Q,险种!E:E,E:E,险种!V:V,"&lt;=20210510")-SUMIFS(险种!Q:Q,险种!U:U,"终止",险种!E:E,E:E,险种!V:V,"&lt;=20210510"),1)</f>
        <v>0</v>
      </c>
      <c r="V155" s="65">
        <f>ROUND(SUMIFS(险种!Q:Q,险种!U:U,"有效",险种!E:E,E:E,险种!V:V,"&lt;=20210510"),1)</f>
        <v>0</v>
      </c>
      <c r="W155" s="65">
        <f t="shared" si="2"/>
        <v>0</v>
      </c>
      <c r="X155" s="68">
        <f>SUMIF(险种!E:E,E:E,险种!Y:Y)</f>
        <v>0</v>
      </c>
      <c r="Y155" s="65">
        <f>MAX(_xlfn.IFS(OR(X:X=1,X:X=2),J:J*0.1,X:X&gt;=3,J:J*0.2,X:X=0,0),IF(J:J&gt;=20000,J:J*0.2,0))</f>
        <v>0</v>
      </c>
      <c r="Z155" s="65" t="str">
        <f>A155&amp;D155&amp;G155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谢家集周元元伙伴5.1-5.10预收价值保费0，首周预收3000P件数0件，预收拟加佣0元。温馨提示，保单需10日（含）前承保，目前还有0价值保费未承保,开单一件即可获得10%加佣</v>
      </c>
      <c r="AA155" s="68">
        <f>SUMIF(险种!E:E,E:E,险种!Z:Z)</f>
        <v>0</v>
      </c>
      <c r="AB155" s="65"/>
      <c r="AC155" s="68">
        <f>SUMIF(险种!E:E,E:E,险种!AA:AA)</f>
        <v>0</v>
      </c>
      <c r="AD155" s="68">
        <f>SUMIFS(险种!AA:AA,险种!U:U,"有效",险种!E:E,E:E)</f>
        <v>0</v>
      </c>
      <c r="AE155" s="68" t="str">
        <f>A155&amp;D155&amp;G155&amp;"目前获得"&amp;$AC$1&amp;AC:AC&amp;"名，获得"&amp;$AD$1&amp;AD:AD&amp;"名"</f>
        <v>谢家集周元元伙伴目前获得龙虾节预收名额0名，获得龙虾节承保名额0名</v>
      </c>
      <c r="AF155" s="68">
        <f>SUMIF(认购返还案!D:D,E:E,认购返还案!E:E)</f>
        <v>0</v>
      </c>
      <c r="AG155" s="68">
        <f>_xlfn.IFS(AND(U:U&gt;=3000,U:U&lt;5000),AF:AF*0.5,U:U&gt;=5000,AF:AF*1,U:U&lt;3000,0)</f>
        <v>0</v>
      </c>
      <c r="AH155" s="68">
        <f>_xlfn.IFS(AND(V:V&gt;=3000,V:V&lt;5000),AF:AF*0.5,V:V&gt;=5000,AF:AF*1,V:V&lt;3000,0)</f>
        <v>0</v>
      </c>
      <c r="AI155" s="68" t="str">
        <f>A:A&amp;D:D&amp;G:G&amp;$AF$1&amp;AF:AF&amp;"元，目前预收价值"&amp;U:U&amp;"，"&amp;$AG$1&amp;AG:AG&amp;"元，"&amp;$AH$1&amp;AH:AH&amp;"元"</f>
        <v>谢家集周元元伙伴冲锋队缴费金额0元，目前预收价值0，预收拟返还0元，承保拟返还0元</v>
      </c>
      <c r="AJ155" s="68">
        <f>SUMIF(保单!R:R,E:E,保单!BE:BE)*IF(AF:AF&gt;1,1,0)</f>
        <v>0</v>
      </c>
      <c r="AK155" s="68">
        <f>SUMIFS(保单!BE:BE,保单!R:R,E:E,保单!BB:BB,"有效")*IF(AF:AF&gt;1,1,0)</f>
        <v>0</v>
      </c>
      <c r="AL155" s="72" t="str">
        <f>A:A&amp;D:D&amp;G:G&amp;"只要在1-10日承保全部保单，即可获得"&amp;$AJ$1&amp;AJ:AJ&amp;"个"</f>
        <v>谢家集周元元伙伴只要在1-10日承保全部保单，即可获得冲锋队按摩仪0个</v>
      </c>
    </row>
    <row r="156" spans="1:38">
      <c r="A156" s="64" t="s">
        <v>27</v>
      </c>
      <c r="B156" s="64" t="s">
        <v>28</v>
      </c>
      <c r="C156" s="64" t="s">
        <v>29</v>
      </c>
      <c r="D156" s="64" t="s">
        <v>374</v>
      </c>
      <c r="E156" s="64">
        <v>6334160782</v>
      </c>
      <c r="F156" s="64" t="s">
        <v>168</v>
      </c>
      <c r="G156" s="64" t="str">
        <f>IF(OR(F:F="高级经理一级",F:F="业务经理一级"),"主管","伙伴")</f>
        <v>伙伴</v>
      </c>
      <c r="H156" s="65">
        <f>SUMIF(险种!E:E,E:E,险种!R:R)-SUMIFS(险种!R:R,险种!U:U,"终止",险种!E:E,E:E)</f>
        <v>0</v>
      </c>
      <c r="I156" s="65">
        <f>SUMIFS(险种!R:R,险种!U:U,"有效",险种!E:E,E:E)</f>
        <v>0</v>
      </c>
      <c r="J156" s="65">
        <f>ROUND(SUMIF(险种!E:E,E:E,险种!Q:Q)-SUMIFS(险种!Q:Q,险种!U:U,"终止",险种!E:E,E:E),1)</f>
        <v>0</v>
      </c>
      <c r="K156" s="68">
        <f>RANK(J156,J:J)</f>
        <v>22</v>
      </c>
      <c r="L156" s="65">
        <f>ROUND(SUMIFS(险种!Q:Q,险种!U:U,"有效",险种!E:E,E:E),1)</f>
        <v>0</v>
      </c>
      <c r="M156" s="68">
        <f>RANK(L156,L:L,)</f>
        <v>14</v>
      </c>
      <c r="N156" s="68">
        <f>SUMIF(险种!E:E,E:E,险种!W:W)</f>
        <v>0</v>
      </c>
      <c r="O156" s="68">
        <f>IF(N:N&gt;=1,1,0)</f>
        <v>0</v>
      </c>
      <c r="P156" s="65">
        <f>ROUND(SUMIFS(险种!Q:Q,险种!V:V,$P$1,险种!E:E,E:E),1)</f>
        <v>0</v>
      </c>
      <c r="Q156" s="68">
        <f>RANK(P156,$P:$P,0)-1</f>
        <v>5</v>
      </c>
      <c r="R156" s="68" t="str">
        <f>A:A&amp;D:D&amp;G:G&amp;"在"&amp;$P$1&amp;"预收"&amp;P:P&amp;"排名中支第"&amp;Q:Q&amp;"位"</f>
        <v>凤台李萍伙伴在20210509预收0排名中支第5位</v>
      </c>
      <c r="S156" s="65">
        <f>ROUND(SUMIFS(险种!Q:Q,险种!E:E,E:E,险种!V:V,"&lt;=20210506")-SUMIFS(险种!Q:Q,险种!U:U,"终止",险种!E:E,E:E,险种!V:V,"&lt;=20210506"),1)</f>
        <v>0</v>
      </c>
      <c r="T156" s="65">
        <f>ROUND(SUMIFS(险种!Q:Q,险种!U:U,"有效",险种!E:E,E:E,险种!V:V,"&lt;=20210506"),1)</f>
        <v>0</v>
      </c>
      <c r="U156" s="65">
        <f>ROUND(SUMIFS(险种!Q:Q,险种!E:E,E:E,险种!V:V,"&lt;=20210510")-SUMIFS(险种!Q:Q,险种!U:U,"终止",险种!E:E,E:E,险种!V:V,"&lt;=20210510"),1)</f>
        <v>0</v>
      </c>
      <c r="V156" s="65">
        <f>ROUND(SUMIFS(险种!Q:Q,险种!U:U,"有效",险种!E:E,E:E,险种!V:V,"&lt;=20210510"),1)</f>
        <v>0</v>
      </c>
      <c r="W156" s="65">
        <f t="shared" si="2"/>
        <v>0</v>
      </c>
      <c r="X156" s="68">
        <f>SUMIF(险种!E:E,E:E,险种!Y:Y)</f>
        <v>0</v>
      </c>
      <c r="Y156" s="65">
        <f>MAX(_xlfn.IFS(OR(X:X=1,X:X=2),J:J*0.1,X:X&gt;=3,J:J*0.2,X:X=0,0),IF(J:J&gt;=20000,J:J*0.2,0))</f>
        <v>0</v>
      </c>
      <c r="Z156" s="65" t="str">
        <f>A156&amp;D156&amp;G156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凤台李萍伙伴5.1-5.10预收价值保费0，首周预收3000P件数0件，预收拟加佣0元。温馨提示，保单需10日（含）前承保，目前还有0价值保费未承保,开单一件即可获得10%加佣</v>
      </c>
      <c r="AA156" s="68">
        <f>SUMIF(险种!E:E,E:E,险种!Z:Z)</f>
        <v>0</v>
      </c>
      <c r="AB156" s="65"/>
      <c r="AC156" s="68">
        <f>SUMIF(险种!E:E,E:E,险种!AA:AA)</f>
        <v>0</v>
      </c>
      <c r="AD156" s="68">
        <f>SUMIFS(险种!AA:AA,险种!U:U,"有效",险种!E:E,E:E)</f>
        <v>0</v>
      </c>
      <c r="AE156" s="68" t="str">
        <f>A156&amp;D156&amp;G156&amp;"目前获得"&amp;$AC$1&amp;AC:AC&amp;"名，获得"&amp;$AD$1&amp;AD:AD&amp;"名"</f>
        <v>凤台李萍伙伴目前获得龙虾节预收名额0名，获得龙虾节承保名额0名</v>
      </c>
      <c r="AF156" s="68">
        <f>SUMIF(认购返还案!D:D,E:E,认购返还案!E:E)</f>
        <v>0</v>
      </c>
      <c r="AG156" s="68">
        <f>_xlfn.IFS(AND(U:U&gt;=3000,U:U&lt;5000),AF:AF*0.5,U:U&gt;=5000,AF:AF*1,U:U&lt;3000,0)</f>
        <v>0</v>
      </c>
      <c r="AH156" s="68">
        <f>_xlfn.IFS(AND(V:V&gt;=3000,V:V&lt;5000),AF:AF*0.5,V:V&gt;=5000,AF:AF*1,V:V&lt;3000,0)</f>
        <v>0</v>
      </c>
      <c r="AI156" s="68" t="str">
        <f>A:A&amp;D:D&amp;G:G&amp;$AF$1&amp;AF:AF&amp;"元，目前预收价值"&amp;U:U&amp;"，"&amp;$AG$1&amp;AG:AG&amp;"元，"&amp;$AH$1&amp;AH:AH&amp;"元"</f>
        <v>凤台李萍伙伴冲锋队缴费金额0元，目前预收价值0，预收拟返还0元，承保拟返还0元</v>
      </c>
      <c r="AJ156" s="68">
        <f>SUMIF(保单!R:R,E:E,保单!BE:BE)*IF(AF:AF&gt;1,1,0)</f>
        <v>0</v>
      </c>
      <c r="AK156" s="68">
        <f>SUMIFS(保单!BE:BE,保单!R:R,E:E,保单!BB:BB,"有效")*IF(AF:AF&gt;1,1,0)</f>
        <v>0</v>
      </c>
      <c r="AL156" s="72" t="str">
        <f>A:A&amp;D:D&amp;G:G&amp;"只要在1-10日承保全部保单，即可获得"&amp;$AJ$1&amp;AJ:AJ&amp;"个"</f>
        <v>凤台李萍伙伴只要在1-10日承保全部保单，即可获得冲锋队按摩仪0个</v>
      </c>
    </row>
    <row r="157" spans="1:38">
      <c r="A157" s="64" t="s">
        <v>42</v>
      </c>
      <c r="B157" s="64" t="s">
        <v>62</v>
      </c>
      <c r="C157" s="64" t="s">
        <v>228</v>
      </c>
      <c r="D157" s="64" t="s">
        <v>395</v>
      </c>
      <c r="E157" s="64">
        <v>6328826682</v>
      </c>
      <c r="F157" s="64" t="s">
        <v>168</v>
      </c>
      <c r="G157" s="64" t="str">
        <f>IF(OR(F:F="高级经理一级",F:F="业务经理一级"),"主管","伙伴")</f>
        <v>伙伴</v>
      </c>
      <c r="H157" s="65">
        <f>SUMIF(险种!E:E,E:E,险种!R:R)-SUMIFS(险种!R:R,险种!U:U,"终止",险种!E:E,E:E)</f>
        <v>0</v>
      </c>
      <c r="I157" s="65">
        <f>SUMIFS(险种!R:R,险种!U:U,"有效",险种!E:E,E:E)</f>
        <v>0</v>
      </c>
      <c r="J157" s="65">
        <f>ROUND(SUMIF(险种!E:E,E:E,险种!Q:Q)-SUMIFS(险种!Q:Q,险种!U:U,"终止",险种!E:E,E:E),1)</f>
        <v>0</v>
      </c>
      <c r="K157" s="68">
        <f>RANK(J157,J:J)</f>
        <v>22</v>
      </c>
      <c r="L157" s="65">
        <f>ROUND(SUMIFS(险种!Q:Q,险种!U:U,"有效",险种!E:E,E:E),1)</f>
        <v>0</v>
      </c>
      <c r="M157" s="68">
        <f>RANK(L157,L:L,)</f>
        <v>14</v>
      </c>
      <c r="N157" s="68">
        <f>SUMIF(险种!E:E,E:E,险种!W:W)</f>
        <v>0</v>
      </c>
      <c r="O157" s="68">
        <f>IF(N:N&gt;=1,1,0)</f>
        <v>0</v>
      </c>
      <c r="P157" s="65">
        <f>ROUND(SUMIFS(险种!Q:Q,险种!V:V,$P$1,险种!E:E,E:E),1)</f>
        <v>0</v>
      </c>
      <c r="Q157" s="68">
        <f>RANK(P157,$P:$P,0)-1</f>
        <v>5</v>
      </c>
      <c r="R157" s="68" t="str">
        <f>A:A&amp;D:D&amp;G:G&amp;"在"&amp;$P$1&amp;"预收"&amp;P:P&amp;"排名中支第"&amp;Q:Q&amp;"位"</f>
        <v>淮南本部高媛伙伴在20210509预收0排名中支第5位</v>
      </c>
      <c r="S157" s="65">
        <f>ROUND(SUMIFS(险种!Q:Q,险种!E:E,E:E,险种!V:V,"&lt;=20210506")-SUMIFS(险种!Q:Q,险种!U:U,"终止",险种!E:E,E:E,险种!V:V,"&lt;=20210506"),1)</f>
        <v>0</v>
      </c>
      <c r="T157" s="65">
        <f>ROUND(SUMIFS(险种!Q:Q,险种!U:U,"有效",险种!E:E,E:E,险种!V:V,"&lt;=20210506"),1)</f>
        <v>0</v>
      </c>
      <c r="U157" s="65">
        <f>ROUND(SUMIFS(险种!Q:Q,险种!E:E,E:E,险种!V:V,"&lt;=20210510")-SUMIFS(险种!Q:Q,险种!U:U,"终止",险种!E:E,E:E,险种!V:V,"&lt;=20210510"),1)</f>
        <v>0</v>
      </c>
      <c r="V157" s="65">
        <f>ROUND(SUMIFS(险种!Q:Q,险种!U:U,"有效",险种!E:E,E:E,险种!V:V,"&lt;=20210510"),1)</f>
        <v>0</v>
      </c>
      <c r="W157" s="65">
        <f t="shared" si="2"/>
        <v>0</v>
      </c>
      <c r="X157" s="68">
        <f>SUMIF(险种!E:E,E:E,险种!Y:Y)</f>
        <v>0</v>
      </c>
      <c r="Y157" s="65">
        <f>MAX(_xlfn.IFS(OR(X:X=1,X:X=2),J:J*0.1,X:X&gt;=3,J:J*0.2,X:X=0,0),IF(J:J&gt;=20000,J:J*0.2,0))</f>
        <v>0</v>
      </c>
      <c r="Z157" s="65" t="str">
        <f>A157&amp;D157&amp;G157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淮南本部高媛伙伴5.1-5.10预收价值保费0，首周预收3000P件数0件，预收拟加佣0元。温馨提示，保单需10日（含）前承保，目前还有0价值保费未承保,开单一件即可获得10%加佣</v>
      </c>
      <c r="AA157" s="68">
        <f>SUMIF(险种!E:E,E:E,险种!Z:Z)</f>
        <v>0</v>
      </c>
      <c r="AB157" s="65"/>
      <c r="AC157" s="68">
        <f>SUMIF(险种!E:E,E:E,险种!AA:AA)</f>
        <v>0</v>
      </c>
      <c r="AD157" s="68">
        <f>SUMIFS(险种!AA:AA,险种!U:U,"有效",险种!E:E,E:E)</f>
        <v>0</v>
      </c>
      <c r="AE157" s="68" t="str">
        <f>A157&amp;D157&amp;G157&amp;"目前获得"&amp;$AC$1&amp;AC:AC&amp;"名，获得"&amp;$AD$1&amp;AD:AD&amp;"名"</f>
        <v>淮南本部高媛伙伴目前获得龙虾节预收名额0名，获得龙虾节承保名额0名</v>
      </c>
      <c r="AF157" s="68">
        <f>SUMIF(认购返还案!D:D,E:E,认购返还案!E:E)</f>
        <v>0</v>
      </c>
      <c r="AG157" s="68">
        <f>_xlfn.IFS(AND(U:U&gt;=3000,U:U&lt;5000),AF:AF*0.5,U:U&gt;=5000,AF:AF*1,U:U&lt;3000,0)</f>
        <v>0</v>
      </c>
      <c r="AH157" s="68">
        <f>_xlfn.IFS(AND(V:V&gt;=3000,V:V&lt;5000),AF:AF*0.5,V:V&gt;=5000,AF:AF*1,V:V&lt;3000,0)</f>
        <v>0</v>
      </c>
      <c r="AI157" s="68" t="str">
        <f>A:A&amp;D:D&amp;G:G&amp;$AF$1&amp;AF:AF&amp;"元，目前预收价值"&amp;U:U&amp;"，"&amp;$AG$1&amp;AG:AG&amp;"元，"&amp;$AH$1&amp;AH:AH&amp;"元"</f>
        <v>淮南本部高媛伙伴冲锋队缴费金额0元，目前预收价值0，预收拟返还0元，承保拟返还0元</v>
      </c>
      <c r="AJ157" s="68">
        <f>SUMIF(保单!R:R,E:E,保单!BE:BE)*IF(AF:AF&gt;1,1,0)</f>
        <v>0</v>
      </c>
      <c r="AK157" s="68">
        <f>SUMIFS(保单!BE:BE,保单!R:R,E:E,保单!BB:BB,"有效")*IF(AF:AF&gt;1,1,0)</f>
        <v>0</v>
      </c>
      <c r="AL157" s="72" t="str">
        <f>A:A&amp;D:D&amp;G:G&amp;"只要在1-10日承保全部保单，即可获得"&amp;$AJ$1&amp;AJ:AJ&amp;"个"</f>
        <v>淮南本部高媛伙伴只要在1-10日承保全部保单，即可获得冲锋队按摩仪0个</v>
      </c>
    </row>
    <row r="158" spans="1:38">
      <c r="A158" s="64" t="s">
        <v>42</v>
      </c>
      <c r="B158" s="64" t="s">
        <v>62</v>
      </c>
      <c r="C158" s="64" t="s">
        <v>86</v>
      </c>
      <c r="D158" s="64" t="s">
        <v>396</v>
      </c>
      <c r="E158" s="64">
        <v>6328822112</v>
      </c>
      <c r="F158" s="64" t="s">
        <v>174</v>
      </c>
      <c r="G158" s="64" t="str">
        <f>IF(OR(F:F="高级经理一级",F:F="业务经理一级"),"主管","伙伴")</f>
        <v>伙伴</v>
      </c>
      <c r="H158" s="65">
        <f>SUMIF(险种!E:E,E:E,险种!R:R)-SUMIFS(险种!R:R,险种!U:U,"终止",险种!E:E,E:E)</f>
        <v>0</v>
      </c>
      <c r="I158" s="65">
        <f>SUMIFS(险种!R:R,险种!U:U,"有效",险种!E:E,E:E)</f>
        <v>0</v>
      </c>
      <c r="J158" s="65">
        <f>ROUND(SUMIF(险种!E:E,E:E,险种!Q:Q)-SUMIFS(险种!Q:Q,险种!U:U,"终止",险种!E:E,E:E),1)</f>
        <v>0</v>
      </c>
      <c r="K158" s="68">
        <f>RANK(J158,J:J)</f>
        <v>22</v>
      </c>
      <c r="L158" s="65">
        <f>ROUND(SUMIFS(险种!Q:Q,险种!U:U,"有效",险种!E:E,E:E),1)</f>
        <v>0</v>
      </c>
      <c r="M158" s="68">
        <f>RANK(L158,L:L,)</f>
        <v>14</v>
      </c>
      <c r="N158" s="68">
        <f>SUMIF(险种!E:E,E:E,险种!W:W)</f>
        <v>0</v>
      </c>
      <c r="O158" s="68">
        <f>IF(N:N&gt;=1,1,0)</f>
        <v>0</v>
      </c>
      <c r="P158" s="65">
        <f>ROUND(SUMIFS(险种!Q:Q,险种!V:V,$P$1,险种!E:E,E:E),1)</f>
        <v>0</v>
      </c>
      <c r="Q158" s="68">
        <f>RANK(P158,$P:$P,0)-1</f>
        <v>5</v>
      </c>
      <c r="R158" s="68" t="str">
        <f>A:A&amp;D:D&amp;G:G&amp;"在"&amp;$P$1&amp;"预收"&amp;P:P&amp;"排名中支第"&amp;Q:Q&amp;"位"</f>
        <v>淮南本部王雪伙伴在20210509预收0排名中支第5位</v>
      </c>
      <c r="S158" s="65">
        <f>ROUND(SUMIFS(险种!Q:Q,险种!E:E,E:E,险种!V:V,"&lt;=20210506")-SUMIFS(险种!Q:Q,险种!U:U,"终止",险种!E:E,E:E,险种!V:V,"&lt;=20210506"),1)</f>
        <v>0</v>
      </c>
      <c r="T158" s="65">
        <f>ROUND(SUMIFS(险种!Q:Q,险种!U:U,"有效",险种!E:E,E:E,险种!V:V,"&lt;=20210506"),1)</f>
        <v>0</v>
      </c>
      <c r="U158" s="65">
        <f>ROUND(SUMIFS(险种!Q:Q,险种!E:E,E:E,险种!V:V,"&lt;=20210510")-SUMIFS(险种!Q:Q,险种!U:U,"终止",险种!E:E,E:E,险种!V:V,"&lt;=20210510"),1)</f>
        <v>0</v>
      </c>
      <c r="V158" s="65">
        <f>ROUND(SUMIFS(险种!Q:Q,险种!U:U,"有效",险种!E:E,E:E,险种!V:V,"&lt;=20210510"),1)</f>
        <v>0</v>
      </c>
      <c r="W158" s="65">
        <f t="shared" si="2"/>
        <v>0</v>
      </c>
      <c r="X158" s="68">
        <f>SUMIF(险种!E:E,E:E,险种!Y:Y)</f>
        <v>0</v>
      </c>
      <c r="Y158" s="65">
        <f>MAX(_xlfn.IFS(OR(X:X=1,X:X=2),J:J*0.1,X:X&gt;=3,J:J*0.2,X:X=0,0),IF(J:J&gt;=20000,J:J*0.2,0))</f>
        <v>0</v>
      </c>
      <c r="Z158" s="65" t="str">
        <f>A158&amp;D158&amp;G158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淮南本部王雪伙伴5.1-5.10预收价值保费0，首周预收3000P件数0件，预收拟加佣0元。温馨提示，保单需10日（含）前承保，目前还有0价值保费未承保,开单一件即可获得10%加佣</v>
      </c>
      <c r="AA158" s="68">
        <f>SUMIF(险种!E:E,E:E,险种!Z:Z)</f>
        <v>0</v>
      </c>
      <c r="AB158" s="65"/>
      <c r="AC158" s="68">
        <f>SUMIF(险种!E:E,E:E,险种!AA:AA)</f>
        <v>0</v>
      </c>
      <c r="AD158" s="68">
        <f>SUMIFS(险种!AA:AA,险种!U:U,"有效",险种!E:E,E:E)</f>
        <v>0</v>
      </c>
      <c r="AE158" s="68" t="str">
        <f>A158&amp;D158&amp;G158&amp;"目前获得"&amp;$AC$1&amp;AC:AC&amp;"名，获得"&amp;$AD$1&amp;AD:AD&amp;"名"</f>
        <v>淮南本部王雪伙伴目前获得龙虾节预收名额0名，获得龙虾节承保名额0名</v>
      </c>
      <c r="AF158" s="68">
        <f>SUMIF(认购返还案!D:D,E:E,认购返还案!E:E)</f>
        <v>0</v>
      </c>
      <c r="AG158" s="68">
        <f>_xlfn.IFS(AND(U:U&gt;=3000,U:U&lt;5000),AF:AF*0.5,U:U&gt;=5000,AF:AF*1,U:U&lt;3000,0)</f>
        <v>0</v>
      </c>
      <c r="AH158" s="68">
        <f>_xlfn.IFS(AND(V:V&gt;=3000,V:V&lt;5000),AF:AF*0.5,V:V&gt;=5000,AF:AF*1,V:V&lt;3000,0)</f>
        <v>0</v>
      </c>
      <c r="AI158" s="68" t="str">
        <f>A:A&amp;D:D&amp;G:G&amp;$AF$1&amp;AF:AF&amp;"元，目前预收价值"&amp;U:U&amp;"，"&amp;$AG$1&amp;AG:AG&amp;"元，"&amp;$AH$1&amp;AH:AH&amp;"元"</f>
        <v>淮南本部王雪伙伴冲锋队缴费金额0元，目前预收价值0，预收拟返还0元，承保拟返还0元</v>
      </c>
      <c r="AJ158" s="68">
        <f>SUMIF(保单!R:R,E:E,保单!BE:BE)*IF(AF:AF&gt;1,1,0)</f>
        <v>0</v>
      </c>
      <c r="AK158" s="68">
        <f>SUMIFS(保单!BE:BE,保单!R:R,E:E,保单!BB:BB,"有效")*IF(AF:AF&gt;1,1,0)</f>
        <v>0</v>
      </c>
      <c r="AL158" s="72" t="str">
        <f>A:A&amp;D:D&amp;G:G&amp;"只要在1-10日承保全部保单，即可获得"&amp;$AJ$1&amp;AJ:AJ&amp;"个"</f>
        <v>淮南本部王雪伙伴只要在1-10日承保全部保单，即可获得冲锋队按摩仪0个</v>
      </c>
    </row>
    <row r="159" spans="1:38">
      <c r="A159" s="64" t="s">
        <v>27</v>
      </c>
      <c r="B159" s="64" t="s">
        <v>94</v>
      </c>
      <c r="C159" s="64" t="s">
        <v>95</v>
      </c>
      <c r="D159" s="64" t="s">
        <v>397</v>
      </c>
      <c r="E159" s="64">
        <v>6328454052</v>
      </c>
      <c r="F159" s="64" t="s">
        <v>158</v>
      </c>
      <c r="G159" s="64" t="str">
        <f>IF(OR(F:F="高级经理一级",F:F="业务经理一级"),"主管","伙伴")</f>
        <v>伙伴</v>
      </c>
      <c r="H159" s="65">
        <f>SUMIF(险种!E:E,E:E,险种!R:R)-SUMIFS(险种!R:R,险种!U:U,"终止",险种!E:E,E:E)</f>
        <v>0</v>
      </c>
      <c r="I159" s="65">
        <f>SUMIFS(险种!R:R,险种!U:U,"有效",险种!E:E,E:E)</f>
        <v>0</v>
      </c>
      <c r="J159" s="65">
        <f>ROUND(SUMIF(险种!E:E,E:E,险种!Q:Q)-SUMIFS(险种!Q:Q,险种!U:U,"终止",险种!E:E,E:E),1)</f>
        <v>0</v>
      </c>
      <c r="K159" s="68">
        <f>RANK(J159,J:J)</f>
        <v>22</v>
      </c>
      <c r="L159" s="65">
        <f>ROUND(SUMIFS(险种!Q:Q,险种!U:U,"有效",险种!E:E,E:E),1)</f>
        <v>0</v>
      </c>
      <c r="M159" s="68">
        <f>RANK(L159,L:L,)</f>
        <v>14</v>
      </c>
      <c r="N159" s="68">
        <f>SUMIF(险种!E:E,E:E,险种!W:W)</f>
        <v>0</v>
      </c>
      <c r="O159" s="68">
        <f>IF(N:N&gt;=1,1,0)</f>
        <v>0</v>
      </c>
      <c r="P159" s="65">
        <f>ROUND(SUMIFS(险种!Q:Q,险种!V:V,$P$1,险种!E:E,E:E),1)</f>
        <v>0</v>
      </c>
      <c r="Q159" s="68">
        <f>RANK(P159,$P:$P,0)-1</f>
        <v>5</v>
      </c>
      <c r="R159" s="68" t="str">
        <f>A:A&amp;D:D&amp;G:G&amp;"在"&amp;$P$1&amp;"预收"&amp;P:P&amp;"排名中支第"&amp;Q:Q&amp;"位"</f>
        <v>凤台孙漫伙伴在20210509预收0排名中支第5位</v>
      </c>
      <c r="S159" s="65">
        <f>ROUND(SUMIFS(险种!Q:Q,险种!E:E,E:E,险种!V:V,"&lt;=20210506")-SUMIFS(险种!Q:Q,险种!U:U,"终止",险种!E:E,E:E,险种!V:V,"&lt;=20210506"),1)</f>
        <v>0</v>
      </c>
      <c r="T159" s="65">
        <f>ROUND(SUMIFS(险种!Q:Q,险种!U:U,"有效",险种!E:E,E:E,险种!V:V,"&lt;=20210506"),1)</f>
        <v>0</v>
      </c>
      <c r="U159" s="65">
        <f>ROUND(SUMIFS(险种!Q:Q,险种!E:E,E:E,险种!V:V,"&lt;=20210510")-SUMIFS(险种!Q:Q,险种!U:U,"终止",险种!E:E,E:E,险种!V:V,"&lt;=20210510"),1)</f>
        <v>0</v>
      </c>
      <c r="V159" s="65">
        <f>ROUND(SUMIFS(险种!Q:Q,险种!U:U,"有效",险种!E:E,E:E,险种!V:V,"&lt;=20210510"),1)</f>
        <v>0</v>
      </c>
      <c r="W159" s="65">
        <f t="shared" si="2"/>
        <v>0</v>
      </c>
      <c r="X159" s="68">
        <f>SUMIF(险种!E:E,E:E,险种!Y:Y)</f>
        <v>0</v>
      </c>
      <c r="Y159" s="65">
        <f>MAX(_xlfn.IFS(OR(X:X=1,X:X=2),J:J*0.1,X:X&gt;=3,J:J*0.2,X:X=0,0),IF(J:J&gt;=20000,J:J*0.2,0))</f>
        <v>0</v>
      </c>
      <c r="Z159" s="65" t="str">
        <f>A159&amp;D159&amp;G159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凤台孙漫伙伴5.1-5.10预收价值保费0，首周预收3000P件数0件，预收拟加佣0元。温馨提示，保单需10日（含）前承保，目前还有0价值保费未承保,开单一件即可获得10%加佣</v>
      </c>
      <c r="AA159" s="68">
        <f>SUMIF(险种!E:E,E:E,险种!Z:Z)</f>
        <v>0</v>
      </c>
      <c r="AB159" s="65"/>
      <c r="AC159" s="68">
        <f>SUMIF(险种!E:E,E:E,险种!AA:AA)</f>
        <v>0</v>
      </c>
      <c r="AD159" s="68">
        <f>SUMIFS(险种!AA:AA,险种!U:U,"有效",险种!E:E,E:E)</f>
        <v>0</v>
      </c>
      <c r="AE159" s="68" t="str">
        <f>A159&amp;D159&amp;G159&amp;"目前获得"&amp;$AC$1&amp;AC:AC&amp;"名，获得"&amp;$AD$1&amp;AD:AD&amp;"名"</f>
        <v>凤台孙漫伙伴目前获得龙虾节预收名额0名，获得龙虾节承保名额0名</v>
      </c>
      <c r="AF159" s="68">
        <f>SUMIF(认购返还案!D:D,E:E,认购返还案!E:E)</f>
        <v>0</v>
      </c>
      <c r="AG159" s="68">
        <f>_xlfn.IFS(AND(U:U&gt;=3000,U:U&lt;5000),AF:AF*0.5,U:U&gt;=5000,AF:AF*1,U:U&lt;3000,0)</f>
        <v>0</v>
      </c>
      <c r="AH159" s="68">
        <f>_xlfn.IFS(AND(V:V&gt;=3000,V:V&lt;5000),AF:AF*0.5,V:V&gt;=5000,AF:AF*1,V:V&lt;3000,0)</f>
        <v>0</v>
      </c>
      <c r="AI159" s="68" t="str">
        <f>A:A&amp;D:D&amp;G:G&amp;$AF$1&amp;AF:AF&amp;"元，目前预收价值"&amp;U:U&amp;"，"&amp;$AG$1&amp;AG:AG&amp;"元，"&amp;$AH$1&amp;AH:AH&amp;"元"</f>
        <v>凤台孙漫伙伴冲锋队缴费金额0元，目前预收价值0，预收拟返还0元，承保拟返还0元</v>
      </c>
      <c r="AJ159" s="68">
        <f>SUMIF(保单!R:R,E:E,保单!BE:BE)*IF(AF:AF&gt;1,1,0)</f>
        <v>0</v>
      </c>
      <c r="AK159" s="68">
        <f>SUMIFS(保单!BE:BE,保单!R:R,E:E,保单!BB:BB,"有效")*IF(AF:AF&gt;1,1,0)</f>
        <v>0</v>
      </c>
      <c r="AL159" s="72" t="str">
        <f>A:A&amp;D:D&amp;G:G&amp;"只要在1-10日承保全部保单，即可获得"&amp;$AJ$1&amp;AJ:AJ&amp;"个"</f>
        <v>凤台孙漫伙伴只要在1-10日承保全部保单，即可获得冲锋队按摩仪0个</v>
      </c>
    </row>
    <row r="160" spans="1:38">
      <c r="A160" s="64" t="s">
        <v>48</v>
      </c>
      <c r="B160" s="64" t="s">
        <v>49</v>
      </c>
      <c r="C160" s="64" t="s">
        <v>50</v>
      </c>
      <c r="D160" s="64" t="s">
        <v>398</v>
      </c>
      <c r="E160" s="64">
        <v>6328447752</v>
      </c>
      <c r="F160" s="64" t="s">
        <v>174</v>
      </c>
      <c r="G160" s="64" t="str">
        <f>IF(OR(F:F="高级经理一级",F:F="业务经理一级"),"主管","伙伴")</f>
        <v>伙伴</v>
      </c>
      <c r="H160" s="65">
        <f>SUMIF(险种!E:E,E:E,险种!R:R)-SUMIFS(险种!R:R,险种!U:U,"终止",险种!E:E,E:E)</f>
        <v>0</v>
      </c>
      <c r="I160" s="65">
        <f>SUMIFS(险种!R:R,险种!U:U,"有效",险种!E:E,E:E)</f>
        <v>0</v>
      </c>
      <c r="J160" s="65">
        <f>ROUND(SUMIF(险种!E:E,E:E,险种!Q:Q)-SUMIFS(险种!Q:Q,险种!U:U,"终止",险种!E:E,E:E),1)</f>
        <v>0</v>
      </c>
      <c r="K160" s="68">
        <f>RANK(J160,J:J)</f>
        <v>22</v>
      </c>
      <c r="L160" s="65">
        <f>ROUND(SUMIFS(险种!Q:Q,险种!U:U,"有效",险种!E:E,E:E),1)</f>
        <v>0</v>
      </c>
      <c r="M160" s="68">
        <f>RANK(L160,L:L,)</f>
        <v>14</v>
      </c>
      <c r="N160" s="68">
        <f>SUMIF(险种!E:E,E:E,险种!W:W)</f>
        <v>0</v>
      </c>
      <c r="O160" s="68">
        <f>IF(N:N&gt;=1,1,0)</f>
        <v>0</v>
      </c>
      <c r="P160" s="65">
        <f>ROUND(SUMIFS(险种!Q:Q,险种!V:V,$P$1,险种!E:E,E:E),1)</f>
        <v>0</v>
      </c>
      <c r="Q160" s="68">
        <f>RANK(P160,$P:$P,0)-1</f>
        <v>5</v>
      </c>
      <c r="R160" s="68" t="str">
        <f>A:A&amp;D:D&amp;G:G&amp;"在"&amp;$P$1&amp;"预收"&amp;P:P&amp;"排名中支第"&amp;Q:Q&amp;"位"</f>
        <v>谢家集黄月媛伙伴在20210509预收0排名中支第5位</v>
      </c>
      <c r="S160" s="65">
        <f>ROUND(SUMIFS(险种!Q:Q,险种!E:E,E:E,险种!V:V,"&lt;=20210506")-SUMIFS(险种!Q:Q,险种!U:U,"终止",险种!E:E,E:E,险种!V:V,"&lt;=20210506"),1)</f>
        <v>0</v>
      </c>
      <c r="T160" s="65">
        <f>ROUND(SUMIFS(险种!Q:Q,险种!U:U,"有效",险种!E:E,E:E,险种!V:V,"&lt;=20210506"),1)</f>
        <v>0</v>
      </c>
      <c r="U160" s="65">
        <f>ROUND(SUMIFS(险种!Q:Q,险种!E:E,E:E,险种!V:V,"&lt;=20210510")-SUMIFS(险种!Q:Q,险种!U:U,"终止",险种!E:E,E:E,险种!V:V,"&lt;=20210510"),1)</f>
        <v>0</v>
      </c>
      <c r="V160" s="65">
        <f>ROUND(SUMIFS(险种!Q:Q,险种!U:U,"有效",险种!E:E,E:E,险种!V:V,"&lt;=20210510"),1)</f>
        <v>0</v>
      </c>
      <c r="W160" s="65">
        <f t="shared" si="2"/>
        <v>0</v>
      </c>
      <c r="X160" s="68">
        <f>SUMIF(险种!E:E,E:E,险种!Y:Y)</f>
        <v>0</v>
      </c>
      <c r="Y160" s="65">
        <f>MAX(_xlfn.IFS(OR(X:X=1,X:X=2),J:J*0.1,X:X&gt;=3,J:J*0.2,X:X=0,0),IF(J:J&gt;=20000,J:J*0.2,0))</f>
        <v>0</v>
      </c>
      <c r="Z160" s="65" t="str">
        <f>A160&amp;D160&amp;G160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谢家集黄月媛伙伴5.1-5.10预收价值保费0，首周预收3000P件数0件，预收拟加佣0元。温馨提示，保单需10日（含）前承保，目前还有0价值保费未承保,开单一件即可获得10%加佣</v>
      </c>
      <c r="AA160" s="68">
        <f>SUMIF(险种!E:E,E:E,险种!Z:Z)</f>
        <v>0</v>
      </c>
      <c r="AB160" s="65"/>
      <c r="AC160" s="68">
        <f>SUMIF(险种!E:E,E:E,险种!AA:AA)</f>
        <v>0</v>
      </c>
      <c r="AD160" s="68">
        <f>SUMIFS(险种!AA:AA,险种!U:U,"有效",险种!E:E,E:E)</f>
        <v>0</v>
      </c>
      <c r="AE160" s="68" t="str">
        <f>A160&amp;D160&amp;G160&amp;"目前获得"&amp;$AC$1&amp;AC:AC&amp;"名，获得"&amp;$AD$1&amp;AD:AD&amp;"名"</f>
        <v>谢家集黄月媛伙伴目前获得龙虾节预收名额0名，获得龙虾节承保名额0名</v>
      </c>
      <c r="AF160" s="68">
        <f>SUMIF(认购返还案!D:D,E:E,认购返还案!E:E)</f>
        <v>0</v>
      </c>
      <c r="AG160" s="68">
        <f>_xlfn.IFS(AND(U:U&gt;=3000,U:U&lt;5000),AF:AF*0.5,U:U&gt;=5000,AF:AF*1,U:U&lt;3000,0)</f>
        <v>0</v>
      </c>
      <c r="AH160" s="68">
        <f>_xlfn.IFS(AND(V:V&gt;=3000,V:V&lt;5000),AF:AF*0.5,V:V&gt;=5000,AF:AF*1,V:V&lt;3000,0)</f>
        <v>0</v>
      </c>
      <c r="AI160" s="68" t="str">
        <f>A:A&amp;D:D&amp;G:G&amp;$AF$1&amp;AF:AF&amp;"元，目前预收价值"&amp;U:U&amp;"，"&amp;$AG$1&amp;AG:AG&amp;"元，"&amp;$AH$1&amp;AH:AH&amp;"元"</f>
        <v>谢家集黄月媛伙伴冲锋队缴费金额0元，目前预收价值0，预收拟返还0元，承保拟返还0元</v>
      </c>
      <c r="AJ160" s="68">
        <f>SUMIF(保单!R:R,E:E,保单!BE:BE)*IF(AF:AF&gt;1,1,0)</f>
        <v>0</v>
      </c>
      <c r="AK160" s="68">
        <f>SUMIFS(保单!BE:BE,保单!R:R,E:E,保单!BB:BB,"有效")*IF(AF:AF&gt;1,1,0)</f>
        <v>0</v>
      </c>
      <c r="AL160" s="72" t="str">
        <f>A:A&amp;D:D&amp;G:G&amp;"只要在1-10日承保全部保单，即可获得"&amp;$AJ$1&amp;AJ:AJ&amp;"个"</f>
        <v>谢家集黄月媛伙伴只要在1-10日承保全部保单，即可获得冲锋队按摩仪0个</v>
      </c>
    </row>
    <row r="161" spans="1:38">
      <c r="A161" s="64" t="s">
        <v>42</v>
      </c>
      <c r="B161" s="64" t="s">
        <v>62</v>
      </c>
      <c r="C161" s="64" t="s">
        <v>86</v>
      </c>
      <c r="D161" s="64" t="s">
        <v>399</v>
      </c>
      <c r="E161" s="64">
        <v>6328797672</v>
      </c>
      <c r="F161" s="64" t="s">
        <v>168</v>
      </c>
      <c r="G161" s="64" t="str">
        <f>IF(OR(F:F="高级经理一级",F:F="业务经理一级"),"主管","伙伴")</f>
        <v>伙伴</v>
      </c>
      <c r="H161" s="65">
        <f>SUMIF(险种!E:E,E:E,险种!R:R)-SUMIFS(险种!R:R,险种!U:U,"终止",险种!E:E,E:E)</f>
        <v>0</v>
      </c>
      <c r="I161" s="65">
        <f>SUMIFS(险种!R:R,险种!U:U,"有效",险种!E:E,E:E)</f>
        <v>0</v>
      </c>
      <c r="J161" s="65">
        <f>ROUND(SUMIF(险种!E:E,E:E,险种!Q:Q)-SUMIFS(险种!Q:Q,险种!U:U,"终止",险种!E:E,E:E),1)</f>
        <v>0</v>
      </c>
      <c r="K161" s="68">
        <f>RANK(J161,J:J)</f>
        <v>22</v>
      </c>
      <c r="L161" s="65">
        <f>ROUND(SUMIFS(险种!Q:Q,险种!U:U,"有效",险种!E:E,E:E),1)</f>
        <v>0</v>
      </c>
      <c r="M161" s="68">
        <f>RANK(L161,L:L,)</f>
        <v>14</v>
      </c>
      <c r="N161" s="68">
        <f>SUMIF(险种!E:E,E:E,险种!W:W)</f>
        <v>0</v>
      </c>
      <c r="O161" s="68">
        <f>IF(N:N&gt;=1,1,0)</f>
        <v>0</v>
      </c>
      <c r="P161" s="65">
        <f>ROUND(SUMIFS(险种!Q:Q,险种!V:V,$P$1,险种!E:E,E:E),1)</f>
        <v>0</v>
      </c>
      <c r="Q161" s="68">
        <f>RANK(P161,$P:$P,0)-1</f>
        <v>5</v>
      </c>
      <c r="R161" s="68" t="str">
        <f>A:A&amp;D:D&amp;G:G&amp;"在"&amp;$P$1&amp;"预收"&amp;P:P&amp;"排名中支第"&amp;Q:Q&amp;"位"</f>
        <v>淮南本部程业云伙伴在20210509预收0排名中支第5位</v>
      </c>
      <c r="S161" s="65">
        <f>ROUND(SUMIFS(险种!Q:Q,险种!E:E,E:E,险种!V:V,"&lt;=20210506")-SUMIFS(险种!Q:Q,险种!U:U,"终止",险种!E:E,E:E,险种!V:V,"&lt;=20210506"),1)</f>
        <v>0</v>
      </c>
      <c r="T161" s="65">
        <f>ROUND(SUMIFS(险种!Q:Q,险种!U:U,"有效",险种!E:E,E:E,险种!V:V,"&lt;=20210506"),1)</f>
        <v>0</v>
      </c>
      <c r="U161" s="65">
        <f>ROUND(SUMIFS(险种!Q:Q,险种!E:E,E:E,险种!V:V,"&lt;=20210510")-SUMIFS(险种!Q:Q,险种!U:U,"终止",险种!E:E,E:E,险种!V:V,"&lt;=20210510"),1)</f>
        <v>0</v>
      </c>
      <c r="V161" s="65">
        <f>ROUND(SUMIFS(险种!Q:Q,险种!U:U,"有效",险种!E:E,E:E,险种!V:V,"&lt;=20210510"),1)</f>
        <v>0</v>
      </c>
      <c r="W161" s="65">
        <f t="shared" si="2"/>
        <v>0</v>
      </c>
      <c r="X161" s="68">
        <f>SUMIF(险种!E:E,E:E,险种!Y:Y)</f>
        <v>0</v>
      </c>
      <c r="Y161" s="65">
        <f>MAX(_xlfn.IFS(OR(X:X=1,X:X=2),J:J*0.1,X:X&gt;=3,J:J*0.2,X:X=0,0),IF(J:J&gt;=20000,J:J*0.2,0))</f>
        <v>0</v>
      </c>
      <c r="Z161" s="65" t="str">
        <f>A161&amp;D161&amp;G161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淮南本部程业云伙伴5.1-5.10预收价值保费0，首周预收3000P件数0件，预收拟加佣0元。温馨提示，保单需10日（含）前承保，目前还有0价值保费未承保,开单一件即可获得10%加佣</v>
      </c>
      <c r="AA161" s="68">
        <f>SUMIF(险种!E:E,E:E,险种!Z:Z)</f>
        <v>0</v>
      </c>
      <c r="AB161" s="65"/>
      <c r="AC161" s="68">
        <f>SUMIF(险种!E:E,E:E,险种!AA:AA)</f>
        <v>0</v>
      </c>
      <c r="AD161" s="68">
        <f>SUMIFS(险种!AA:AA,险种!U:U,"有效",险种!E:E,E:E)</f>
        <v>0</v>
      </c>
      <c r="AE161" s="68" t="str">
        <f>A161&amp;D161&amp;G161&amp;"目前获得"&amp;$AC$1&amp;AC:AC&amp;"名，获得"&amp;$AD$1&amp;AD:AD&amp;"名"</f>
        <v>淮南本部程业云伙伴目前获得龙虾节预收名额0名，获得龙虾节承保名额0名</v>
      </c>
      <c r="AF161" s="68">
        <f>SUMIF(认购返还案!D:D,E:E,认购返还案!E:E)</f>
        <v>200</v>
      </c>
      <c r="AG161" s="68">
        <f>_xlfn.IFS(AND(U:U&gt;=3000,U:U&lt;5000),AF:AF*0.5,U:U&gt;=5000,AF:AF*1,U:U&lt;3000,0)</f>
        <v>0</v>
      </c>
      <c r="AH161" s="68">
        <f>_xlfn.IFS(AND(V:V&gt;=3000,V:V&lt;5000),AF:AF*0.5,V:V&gt;=5000,AF:AF*1,V:V&lt;3000,0)</f>
        <v>0</v>
      </c>
      <c r="AI161" s="68" t="str">
        <f>A:A&amp;D:D&amp;G:G&amp;$AF$1&amp;AF:AF&amp;"元，目前预收价值"&amp;U:U&amp;"，"&amp;$AG$1&amp;AG:AG&amp;"元，"&amp;$AH$1&amp;AH:AH&amp;"元"</f>
        <v>淮南本部程业云伙伴冲锋队缴费金额200元，目前预收价值0，预收拟返还0元，承保拟返还0元</v>
      </c>
      <c r="AJ161" s="68">
        <f>SUMIF(保单!R:R,E:E,保单!BE:BE)*IF(AF:AF&gt;1,1,0)</f>
        <v>0</v>
      </c>
      <c r="AK161" s="68">
        <f>SUMIFS(保单!BE:BE,保单!R:R,E:E,保单!BB:BB,"有效")*IF(AF:AF&gt;1,1,0)</f>
        <v>0</v>
      </c>
      <c r="AL161" s="72" t="str">
        <f>A:A&amp;D:D&amp;G:G&amp;"只要在1-10日承保全部保单，即可获得"&amp;$AJ$1&amp;AJ:AJ&amp;"个"</f>
        <v>淮南本部程业云伙伴只要在1-10日承保全部保单，即可获得冲锋队按摩仪0个</v>
      </c>
    </row>
    <row r="162" spans="1:38">
      <c r="A162" s="64" t="s">
        <v>48</v>
      </c>
      <c r="B162" s="64" t="s">
        <v>49</v>
      </c>
      <c r="C162" s="64" t="s">
        <v>98</v>
      </c>
      <c r="D162" s="64" t="s">
        <v>400</v>
      </c>
      <c r="E162" s="64">
        <v>6328391532</v>
      </c>
      <c r="F162" s="64" t="s">
        <v>168</v>
      </c>
      <c r="G162" s="64" t="str">
        <f>IF(OR(F:F="高级经理一级",F:F="业务经理一级"),"主管","伙伴")</f>
        <v>伙伴</v>
      </c>
      <c r="H162" s="65">
        <f>SUMIF(险种!E:E,E:E,险种!R:R)-SUMIFS(险种!R:R,险种!U:U,"终止",险种!E:E,E:E)</f>
        <v>0</v>
      </c>
      <c r="I162" s="65">
        <f>SUMIFS(险种!R:R,险种!U:U,"有效",险种!E:E,E:E)</f>
        <v>0</v>
      </c>
      <c r="J162" s="65">
        <f>ROUND(SUMIF(险种!E:E,E:E,险种!Q:Q)-SUMIFS(险种!Q:Q,险种!U:U,"终止",险种!E:E,E:E),1)</f>
        <v>0</v>
      </c>
      <c r="K162" s="68">
        <f>RANK(J162,J:J)</f>
        <v>22</v>
      </c>
      <c r="L162" s="65">
        <f>ROUND(SUMIFS(险种!Q:Q,险种!U:U,"有效",险种!E:E,E:E),1)</f>
        <v>0</v>
      </c>
      <c r="M162" s="68">
        <f>RANK(L162,L:L,)</f>
        <v>14</v>
      </c>
      <c r="N162" s="68">
        <f>SUMIF(险种!E:E,E:E,险种!W:W)</f>
        <v>0</v>
      </c>
      <c r="O162" s="68">
        <f>IF(N:N&gt;=1,1,0)</f>
        <v>0</v>
      </c>
      <c r="P162" s="65">
        <f>ROUND(SUMIFS(险种!Q:Q,险种!V:V,$P$1,险种!E:E,E:E),1)</f>
        <v>0</v>
      </c>
      <c r="Q162" s="68">
        <f>RANK(P162,$P:$P,0)-1</f>
        <v>5</v>
      </c>
      <c r="R162" s="68" t="str">
        <f>A:A&amp;D:D&amp;G:G&amp;"在"&amp;$P$1&amp;"预收"&amp;P:P&amp;"排名中支第"&amp;Q:Q&amp;"位"</f>
        <v>谢家集倪小平伙伴在20210509预收0排名中支第5位</v>
      </c>
      <c r="S162" s="65">
        <f>ROUND(SUMIFS(险种!Q:Q,险种!E:E,E:E,险种!V:V,"&lt;=20210506")-SUMIFS(险种!Q:Q,险种!U:U,"终止",险种!E:E,E:E,险种!V:V,"&lt;=20210506"),1)</f>
        <v>0</v>
      </c>
      <c r="T162" s="65">
        <f>ROUND(SUMIFS(险种!Q:Q,险种!U:U,"有效",险种!E:E,E:E,险种!V:V,"&lt;=20210506"),1)</f>
        <v>0</v>
      </c>
      <c r="U162" s="65">
        <f>ROUND(SUMIFS(险种!Q:Q,险种!E:E,E:E,险种!V:V,"&lt;=20210510")-SUMIFS(险种!Q:Q,险种!U:U,"终止",险种!E:E,E:E,险种!V:V,"&lt;=20210510"),1)</f>
        <v>0</v>
      </c>
      <c r="V162" s="65">
        <f>ROUND(SUMIFS(险种!Q:Q,险种!U:U,"有效",险种!E:E,E:E,险种!V:V,"&lt;=20210510"),1)</f>
        <v>0</v>
      </c>
      <c r="W162" s="65">
        <f t="shared" si="2"/>
        <v>0</v>
      </c>
      <c r="X162" s="68">
        <f>SUMIF(险种!E:E,E:E,险种!Y:Y)</f>
        <v>0</v>
      </c>
      <c r="Y162" s="65">
        <f>MAX(_xlfn.IFS(OR(X:X=1,X:X=2),J:J*0.1,X:X&gt;=3,J:J*0.2,X:X=0,0),IF(J:J&gt;=20000,J:J*0.2,0))</f>
        <v>0</v>
      </c>
      <c r="Z162" s="65" t="str">
        <f>A162&amp;D162&amp;G162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谢家集倪小平伙伴5.1-5.10预收价值保费0，首周预收3000P件数0件，预收拟加佣0元。温馨提示，保单需10日（含）前承保，目前还有0价值保费未承保,开单一件即可获得10%加佣</v>
      </c>
      <c r="AA162" s="68">
        <f>SUMIF(险种!E:E,E:E,险种!Z:Z)</f>
        <v>0</v>
      </c>
      <c r="AB162" s="65"/>
      <c r="AC162" s="68">
        <f>SUMIF(险种!E:E,E:E,险种!AA:AA)</f>
        <v>0</v>
      </c>
      <c r="AD162" s="68">
        <f>SUMIFS(险种!AA:AA,险种!U:U,"有效",险种!E:E,E:E)</f>
        <v>0</v>
      </c>
      <c r="AE162" s="68" t="str">
        <f>A162&amp;D162&amp;G162&amp;"目前获得"&amp;$AC$1&amp;AC:AC&amp;"名，获得"&amp;$AD$1&amp;AD:AD&amp;"名"</f>
        <v>谢家集倪小平伙伴目前获得龙虾节预收名额0名，获得龙虾节承保名额0名</v>
      </c>
      <c r="AF162" s="68">
        <f>SUMIF(认购返还案!D:D,E:E,认购返还案!E:E)</f>
        <v>200</v>
      </c>
      <c r="AG162" s="68">
        <f>_xlfn.IFS(AND(U:U&gt;=3000,U:U&lt;5000),AF:AF*0.5,U:U&gt;=5000,AF:AF*1,U:U&lt;3000,0)</f>
        <v>0</v>
      </c>
      <c r="AH162" s="68">
        <f>_xlfn.IFS(AND(V:V&gt;=3000,V:V&lt;5000),AF:AF*0.5,V:V&gt;=5000,AF:AF*1,V:V&lt;3000,0)</f>
        <v>0</v>
      </c>
      <c r="AI162" s="68" t="str">
        <f>A:A&amp;D:D&amp;G:G&amp;$AF$1&amp;AF:AF&amp;"元，目前预收价值"&amp;U:U&amp;"，"&amp;$AG$1&amp;AG:AG&amp;"元，"&amp;$AH$1&amp;AH:AH&amp;"元"</f>
        <v>谢家集倪小平伙伴冲锋队缴费金额200元，目前预收价值0，预收拟返还0元，承保拟返还0元</v>
      </c>
      <c r="AJ162" s="68">
        <f>SUMIF(保单!R:R,E:E,保单!BE:BE)*IF(AF:AF&gt;1,1,0)</f>
        <v>0</v>
      </c>
      <c r="AK162" s="68">
        <f>SUMIFS(保单!BE:BE,保单!R:R,E:E,保单!BB:BB,"有效")*IF(AF:AF&gt;1,1,0)</f>
        <v>0</v>
      </c>
      <c r="AL162" s="72" t="str">
        <f>A:A&amp;D:D&amp;G:G&amp;"只要在1-10日承保全部保单，即可获得"&amp;$AJ$1&amp;AJ:AJ&amp;"个"</f>
        <v>谢家集倪小平伙伴只要在1-10日承保全部保单，即可获得冲锋队按摩仪0个</v>
      </c>
    </row>
    <row r="163" spans="1:38">
      <c r="A163" s="64" t="s">
        <v>48</v>
      </c>
      <c r="B163" s="64" t="s">
        <v>49</v>
      </c>
      <c r="C163" s="64" t="s">
        <v>82</v>
      </c>
      <c r="D163" s="64" t="s">
        <v>401</v>
      </c>
      <c r="E163" s="64">
        <v>6326344562</v>
      </c>
      <c r="F163" s="64" t="s">
        <v>174</v>
      </c>
      <c r="G163" s="64" t="str">
        <f>IF(OR(F:F="高级经理一级",F:F="业务经理一级"),"主管","伙伴")</f>
        <v>伙伴</v>
      </c>
      <c r="H163" s="65">
        <f>SUMIF(险种!E:E,E:E,险种!R:R)-SUMIFS(险种!R:R,险种!U:U,"终止",险种!E:E,E:E)</f>
        <v>0</v>
      </c>
      <c r="I163" s="65">
        <f>SUMIFS(险种!R:R,险种!U:U,"有效",险种!E:E,E:E)</f>
        <v>0</v>
      </c>
      <c r="J163" s="65">
        <f>ROUND(SUMIF(险种!E:E,E:E,险种!Q:Q)-SUMIFS(险种!Q:Q,险种!U:U,"终止",险种!E:E,E:E),1)</f>
        <v>0</v>
      </c>
      <c r="K163" s="68">
        <f>RANK(J163,J:J)</f>
        <v>22</v>
      </c>
      <c r="L163" s="65">
        <f>ROUND(SUMIFS(险种!Q:Q,险种!U:U,"有效",险种!E:E,E:E),1)</f>
        <v>0</v>
      </c>
      <c r="M163" s="68">
        <f>RANK(L163,L:L,)</f>
        <v>14</v>
      </c>
      <c r="N163" s="68">
        <f>SUMIF(险种!E:E,E:E,险种!W:W)</f>
        <v>0</v>
      </c>
      <c r="O163" s="68">
        <f>IF(N:N&gt;=1,1,0)</f>
        <v>0</v>
      </c>
      <c r="P163" s="65">
        <f>ROUND(SUMIFS(险种!Q:Q,险种!V:V,$P$1,险种!E:E,E:E),1)</f>
        <v>0</v>
      </c>
      <c r="Q163" s="68">
        <f>RANK(P163,$P:$P,0)-1</f>
        <v>5</v>
      </c>
      <c r="R163" s="68" t="str">
        <f>A:A&amp;D:D&amp;G:G&amp;"在"&amp;$P$1&amp;"预收"&amp;P:P&amp;"排名中支第"&amp;Q:Q&amp;"位"</f>
        <v>谢家集樊荣伙伴在20210509预收0排名中支第5位</v>
      </c>
      <c r="S163" s="65">
        <f>ROUND(SUMIFS(险种!Q:Q,险种!E:E,E:E,险种!V:V,"&lt;=20210506")-SUMIFS(险种!Q:Q,险种!U:U,"终止",险种!E:E,E:E,险种!V:V,"&lt;=20210506"),1)</f>
        <v>0</v>
      </c>
      <c r="T163" s="65">
        <f>ROUND(SUMIFS(险种!Q:Q,险种!U:U,"有效",险种!E:E,E:E,险种!V:V,"&lt;=20210506"),1)</f>
        <v>0</v>
      </c>
      <c r="U163" s="65">
        <f>ROUND(SUMIFS(险种!Q:Q,险种!E:E,E:E,险种!V:V,"&lt;=20210510")-SUMIFS(险种!Q:Q,险种!U:U,"终止",险种!E:E,E:E,险种!V:V,"&lt;=20210510"),1)</f>
        <v>0</v>
      </c>
      <c r="V163" s="65">
        <f>ROUND(SUMIFS(险种!Q:Q,险种!U:U,"有效",险种!E:E,E:E,险种!V:V,"&lt;=20210510"),1)</f>
        <v>0</v>
      </c>
      <c r="W163" s="65">
        <f t="shared" si="2"/>
        <v>0</v>
      </c>
      <c r="X163" s="68">
        <f>SUMIF(险种!E:E,E:E,险种!Y:Y)</f>
        <v>0</v>
      </c>
      <c r="Y163" s="65">
        <f>MAX(_xlfn.IFS(OR(X:X=1,X:X=2),J:J*0.1,X:X&gt;=3,J:J*0.2,X:X=0,0),IF(J:J&gt;=20000,J:J*0.2,0))</f>
        <v>0</v>
      </c>
      <c r="Z163" s="65" t="str">
        <f>A163&amp;D163&amp;G163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谢家集樊荣伙伴5.1-5.10预收价值保费0，首周预收3000P件数0件，预收拟加佣0元。温馨提示，保单需10日（含）前承保，目前还有0价值保费未承保,开单一件即可获得10%加佣</v>
      </c>
      <c r="AA163" s="68">
        <f>SUMIF(险种!E:E,E:E,险种!Z:Z)</f>
        <v>0</v>
      </c>
      <c r="AB163" s="65"/>
      <c r="AC163" s="68">
        <f>SUMIF(险种!E:E,E:E,险种!AA:AA)</f>
        <v>0</v>
      </c>
      <c r="AD163" s="68">
        <f>SUMIFS(险种!AA:AA,险种!U:U,"有效",险种!E:E,E:E)</f>
        <v>0</v>
      </c>
      <c r="AE163" s="68" t="str">
        <f>A163&amp;D163&amp;G163&amp;"目前获得"&amp;$AC$1&amp;AC:AC&amp;"名，获得"&amp;$AD$1&amp;AD:AD&amp;"名"</f>
        <v>谢家集樊荣伙伴目前获得龙虾节预收名额0名，获得龙虾节承保名额0名</v>
      </c>
      <c r="AF163" s="68">
        <f>SUMIF(认购返还案!D:D,E:E,认购返还案!E:E)</f>
        <v>0</v>
      </c>
      <c r="AG163" s="68">
        <f>_xlfn.IFS(AND(U:U&gt;=3000,U:U&lt;5000),AF:AF*0.5,U:U&gt;=5000,AF:AF*1,U:U&lt;3000,0)</f>
        <v>0</v>
      </c>
      <c r="AH163" s="68">
        <f>_xlfn.IFS(AND(V:V&gt;=3000,V:V&lt;5000),AF:AF*0.5,V:V&gt;=5000,AF:AF*1,V:V&lt;3000,0)</f>
        <v>0</v>
      </c>
      <c r="AI163" s="68" t="str">
        <f>A:A&amp;D:D&amp;G:G&amp;$AF$1&amp;AF:AF&amp;"元，目前预收价值"&amp;U:U&amp;"，"&amp;$AG$1&amp;AG:AG&amp;"元，"&amp;$AH$1&amp;AH:AH&amp;"元"</f>
        <v>谢家集樊荣伙伴冲锋队缴费金额0元，目前预收价值0，预收拟返还0元，承保拟返还0元</v>
      </c>
      <c r="AJ163" s="68">
        <f>SUMIF(保单!R:R,E:E,保单!BE:BE)*IF(AF:AF&gt;1,1,0)</f>
        <v>0</v>
      </c>
      <c r="AK163" s="68">
        <f>SUMIFS(保单!BE:BE,保单!R:R,E:E,保单!BB:BB,"有效")*IF(AF:AF&gt;1,1,0)</f>
        <v>0</v>
      </c>
      <c r="AL163" s="72" t="str">
        <f>A:A&amp;D:D&amp;G:G&amp;"只要在1-10日承保全部保单，即可获得"&amp;$AJ$1&amp;AJ:AJ&amp;"个"</f>
        <v>谢家集樊荣伙伴只要在1-10日承保全部保单，即可获得冲锋队按摩仪0个</v>
      </c>
    </row>
    <row r="164" spans="1:38">
      <c r="A164" s="64" t="s">
        <v>27</v>
      </c>
      <c r="B164" s="64" t="s">
        <v>28</v>
      </c>
      <c r="C164" s="64" t="s">
        <v>29</v>
      </c>
      <c r="D164" s="64" t="s">
        <v>402</v>
      </c>
      <c r="E164" s="64">
        <v>6324163412</v>
      </c>
      <c r="F164" s="64" t="s">
        <v>158</v>
      </c>
      <c r="G164" s="64" t="str">
        <f>IF(OR(F:F="高级经理一级",F:F="业务经理一级"),"主管","伙伴")</f>
        <v>伙伴</v>
      </c>
      <c r="H164" s="65">
        <f>SUMIF(险种!E:E,E:E,险种!R:R)-SUMIFS(险种!R:R,险种!U:U,"终止",险种!E:E,E:E)</f>
        <v>0</v>
      </c>
      <c r="I164" s="65">
        <f>SUMIFS(险种!R:R,险种!U:U,"有效",险种!E:E,E:E)</f>
        <v>0</v>
      </c>
      <c r="J164" s="65">
        <f>ROUND(SUMIF(险种!E:E,E:E,险种!Q:Q)-SUMIFS(险种!Q:Q,险种!U:U,"终止",险种!E:E,E:E),1)</f>
        <v>0</v>
      </c>
      <c r="K164" s="68">
        <f>RANK(J164,J:J)</f>
        <v>22</v>
      </c>
      <c r="L164" s="65">
        <f>ROUND(SUMIFS(险种!Q:Q,险种!U:U,"有效",险种!E:E,E:E),1)</f>
        <v>0</v>
      </c>
      <c r="M164" s="68">
        <f>RANK(L164,L:L,)</f>
        <v>14</v>
      </c>
      <c r="N164" s="68">
        <f>SUMIF(险种!E:E,E:E,险种!W:W)</f>
        <v>0</v>
      </c>
      <c r="O164" s="68">
        <f>IF(N:N&gt;=1,1,0)</f>
        <v>0</v>
      </c>
      <c r="P164" s="65">
        <f>ROUND(SUMIFS(险种!Q:Q,险种!V:V,$P$1,险种!E:E,E:E),1)</f>
        <v>0</v>
      </c>
      <c r="Q164" s="68">
        <f>RANK(P164,$P:$P,0)-1</f>
        <v>5</v>
      </c>
      <c r="R164" s="68" t="str">
        <f>A:A&amp;D:D&amp;G:G&amp;"在"&amp;$P$1&amp;"预收"&amp;P:P&amp;"排名中支第"&amp;Q:Q&amp;"位"</f>
        <v>凤台赵肖伙伴在20210509预收0排名中支第5位</v>
      </c>
      <c r="S164" s="65">
        <f>ROUND(SUMIFS(险种!Q:Q,险种!E:E,E:E,险种!V:V,"&lt;=20210506")-SUMIFS(险种!Q:Q,险种!U:U,"终止",险种!E:E,E:E,险种!V:V,"&lt;=20210506"),1)</f>
        <v>0</v>
      </c>
      <c r="T164" s="65">
        <f>ROUND(SUMIFS(险种!Q:Q,险种!U:U,"有效",险种!E:E,E:E,险种!V:V,"&lt;=20210506"),1)</f>
        <v>0</v>
      </c>
      <c r="U164" s="65">
        <f>ROUND(SUMIFS(险种!Q:Q,险种!E:E,E:E,险种!V:V,"&lt;=20210510")-SUMIFS(险种!Q:Q,险种!U:U,"终止",险种!E:E,E:E,险种!V:V,"&lt;=20210510"),1)</f>
        <v>0</v>
      </c>
      <c r="V164" s="65">
        <f>ROUND(SUMIFS(险种!Q:Q,险种!U:U,"有效",险种!E:E,E:E,险种!V:V,"&lt;=20210510"),1)</f>
        <v>0</v>
      </c>
      <c r="W164" s="65">
        <f t="shared" si="2"/>
        <v>0</v>
      </c>
      <c r="X164" s="68">
        <f>SUMIF(险种!E:E,E:E,险种!Y:Y)</f>
        <v>0</v>
      </c>
      <c r="Y164" s="65">
        <f>MAX(_xlfn.IFS(OR(X:X=1,X:X=2),J:J*0.1,X:X&gt;=3,J:J*0.2,X:X=0,0),IF(J:J&gt;=20000,J:J*0.2,0))</f>
        <v>0</v>
      </c>
      <c r="Z164" s="65" t="str">
        <f>A164&amp;D164&amp;G164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凤台赵肖伙伴5.1-5.10预收价值保费0，首周预收3000P件数0件，预收拟加佣0元。温馨提示，保单需10日（含）前承保，目前还有0价值保费未承保,开单一件即可获得10%加佣</v>
      </c>
      <c r="AA164" s="68">
        <f>SUMIF(险种!E:E,E:E,险种!Z:Z)</f>
        <v>0</v>
      </c>
      <c r="AB164" s="65"/>
      <c r="AC164" s="68">
        <f>SUMIF(险种!E:E,E:E,险种!AA:AA)</f>
        <v>0</v>
      </c>
      <c r="AD164" s="68">
        <f>SUMIFS(险种!AA:AA,险种!U:U,"有效",险种!E:E,E:E)</f>
        <v>0</v>
      </c>
      <c r="AE164" s="68" t="str">
        <f>A164&amp;D164&amp;G164&amp;"目前获得"&amp;$AC$1&amp;AC:AC&amp;"名，获得"&amp;$AD$1&amp;AD:AD&amp;"名"</f>
        <v>凤台赵肖伙伴目前获得龙虾节预收名额0名，获得龙虾节承保名额0名</v>
      </c>
      <c r="AF164" s="68">
        <f>SUMIF(认购返还案!D:D,E:E,认购返还案!E:E)</f>
        <v>0</v>
      </c>
      <c r="AG164" s="68">
        <f>_xlfn.IFS(AND(U:U&gt;=3000,U:U&lt;5000),AF:AF*0.5,U:U&gt;=5000,AF:AF*1,U:U&lt;3000,0)</f>
        <v>0</v>
      </c>
      <c r="AH164" s="68">
        <f>_xlfn.IFS(AND(V:V&gt;=3000,V:V&lt;5000),AF:AF*0.5,V:V&gt;=5000,AF:AF*1,V:V&lt;3000,0)</f>
        <v>0</v>
      </c>
      <c r="AI164" s="68" t="str">
        <f>A:A&amp;D:D&amp;G:G&amp;$AF$1&amp;AF:AF&amp;"元，目前预收价值"&amp;U:U&amp;"，"&amp;$AG$1&amp;AG:AG&amp;"元，"&amp;$AH$1&amp;AH:AH&amp;"元"</f>
        <v>凤台赵肖伙伴冲锋队缴费金额0元，目前预收价值0，预收拟返还0元，承保拟返还0元</v>
      </c>
      <c r="AJ164" s="68">
        <f>SUMIF(保单!R:R,E:E,保单!BE:BE)*IF(AF:AF&gt;1,1,0)</f>
        <v>0</v>
      </c>
      <c r="AK164" s="68">
        <f>SUMIFS(保单!BE:BE,保单!R:R,E:E,保单!BB:BB,"有效")*IF(AF:AF&gt;1,1,0)</f>
        <v>0</v>
      </c>
      <c r="AL164" s="72" t="str">
        <f>A:A&amp;D:D&amp;G:G&amp;"只要在1-10日承保全部保单，即可获得"&amp;$AJ$1&amp;AJ:AJ&amp;"个"</f>
        <v>凤台赵肖伙伴只要在1-10日承保全部保单，即可获得冲锋队按摩仪0个</v>
      </c>
    </row>
    <row r="165" spans="1:38">
      <c r="A165" s="64" t="s">
        <v>42</v>
      </c>
      <c r="B165" s="64" t="s">
        <v>62</v>
      </c>
      <c r="C165" s="64" t="s">
        <v>228</v>
      </c>
      <c r="D165" s="64" t="s">
        <v>403</v>
      </c>
      <c r="E165" s="64">
        <v>6324067312</v>
      </c>
      <c r="F165" s="64" t="s">
        <v>158</v>
      </c>
      <c r="G165" s="64" t="str">
        <f>IF(OR(F:F="高级经理一级",F:F="业务经理一级"),"主管","伙伴")</f>
        <v>伙伴</v>
      </c>
      <c r="H165" s="65">
        <f>SUMIF(险种!E:E,E:E,险种!R:R)-SUMIFS(险种!R:R,险种!U:U,"终止",险种!E:E,E:E)</f>
        <v>0</v>
      </c>
      <c r="I165" s="65">
        <f>SUMIFS(险种!R:R,险种!U:U,"有效",险种!E:E,E:E)</f>
        <v>0</v>
      </c>
      <c r="J165" s="65">
        <f>ROUND(SUMIF(险种!E:E,E:E,险种!Q:Q)-SUMIFS(险种!Q:Q,险种!U:U,"终止",险种!E:E,E:E),1)</f>
        <v>0</v>
      </c>
      <c r="K165" s="68">
        <f>RANK(J165,J:J)</f>
        <v>22</v>
      </c>
      <c r="L165" s="65">
        <f>ROUND(SUMIFS(险种!Q:Q,险种!U:U,"有效",险种!E:E,E:E),1)</f>
        <v>0</v>
      </c>
      <c r="M165" s="68">
        <f>RANK(L165,L:L,)</f>
        <v>14</v>
      </c>
      <c r="N165" s="68">
        <f>SUMIF(险种!E:E,E:E,险种!W:W)</f>
        <v>0</v>
      </c>
      <c r="O165" s="68">
        <f>IF(N:N&gt;=1,1,0)</f>
        <v>0</v>
      </c>
      <c r="P165" s="65">
        <f>ROUND(SUMIFS(险种!Q:Q,险种!V:V,$P$1,险种!E:E,E:E),1)</f>
        <v>0</v>
      </c>
      <c r="Q165" s="68">
        <f>RANK(P165,$P:$P,0)-1</f>
        <v>5</v>
      </c>
      <c r="R165" s="68" t="str">
        <f>A:A&amp;D:D&amp;G:G&amp;"在"&amp;$P$1&amp;"预收"&amp;P:P&amp;"排名中支第"&amp;Q:Q&amp;"位"</f>
        <v>淮南本部刘红梅伙伴在20210509预收0排名中支第5位</v>
      </c>
      <c r="S165" s="65">
        <f>ROUND(SUMIFS(险种!Q:Q,险种!E:E,E:E,险种!V:V,"&lt;=20210506")-SUMIFS(险种!Q:Q,险种!U:U,"终止",险种!E:E,E:E,险种!V:V,"&lt;=20210506"),1)</f>
        <v>0</v>
      </c>
      <c r="T165" s="65">
        <f>ROUND(SUMIFS(险种!Q:Q,险种!U:U,"有效",险种!E:E,E:E,险种!V:V,"&lt;=20210506"),1)</f>
        <v>0</v>
      </c>
      <c r="U165" s="65">
        <f>ROUND(SUMIFS(险种!Q:Q,险种!E:E,E:E,险种!V:V,"&lt;=20210510")-SUMIFS(险种!Q:Q,险种!U:U,"终止",险种!E:E,E:E,险种!V:V,"&lt;=20210510"),1)</f>
        <v>0</v>
      </c>
      <c r="V165" s="65">
        <f>ROUND(SUMIFS(险种!Q:Q,险种!U:U,"有效",险种!E:E,E:E,险种!V:V,"&lt;=20210510"),1)</f>
        <v>0</v>
      </c>
      <c r="W165" s="65">
        <f t="shared" si="2"/>
        <v>0</v>
      </c>
      <c r="X165" s="68">
        <f>SUMIF(险种!E:E,E:E,险种!Y:Y)</f>
        <v>0</v>
      </c>
      <c r="Y165" s="65">
        <f>MAX(_xlfn.IFS(OR(X:X=1,X:X=2),J:J*0.1,X:X&gt;=3,J:J*0.2,X:X=0,0),IF(J:J&gt;=20000,J:J*0.2,0))</f>
        <v>0</v>
      </c>
      <c r="Z165" s="65" t="str">
        <f>A165&amp;D165&amp;G165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淮南本部刘红梅伙伴5.1-5.10预收价值保费0，首周预收3000P件数0件，预收拟加佣0元。温馨提示，保单需10日（含）前承保，目前还有0价值保费未承保,开单一件即可获得10%加佣</v>
      </c>
      <c r="AA165" s="68">
        <f>SUMIF(险种!E:E,E:E,险种!Z:Z)</f>
        <v>0</v>
      </c>
      <c r="AB165" s="65"/>
      <c r="AC165" s="68">
        <f>SUMIF(险种!E:E,E:E,险种!AA:AA)</f>
        <v>0</v>
      </c>
      <c r="AD165" s="68">
        <f>SUMIFS(险种!AA:AA,险种!U:U,"有效",险种!E:E,E:E)</f>
        <v>0</v>
      </c>
      <c r="AE165" s="68" t="str">
        <f>A165&amp;D165&amp;G165&amp;"目前获得"&amp;$AC$1&amp;AC:AC&amp;"名，获得"&amp;$AD$1&amp;AD:AD&amp;"名"</f>
        <v>淮南本部刘红梅伙伴目前获得龙虾节预收名额0名，获得龙虾节承保名额0名</v>
      </c>
      <c r="AF165" s="68">
        <f>SUMIF(认购返还案!D:D,E:E,认购返还案!E:E)</f>
        <v>0</v>
      </c>
      <c r="AG165" s="68">
        <f>_xlfn.IFS(AND(U:U&gt;=3000,U:U&lt;5000),AF:AF*0.5,U:U&gt;=5000,AF:AF*1,U:U&lt;3000,0)</f>
        <v>0</v>
      </c>
      <c r="AH165" s="68">
        <f>_xlfn.IFS(AND(V:V&gt;=3000,V:V&lt;5000),AF:AF*0.5,V:V&gt;=5000,AF:AF*1,V:V&lt;3000,0)</f>
        <v>0</v>
      </c>
      <c r="AI165" s="68" t="str">
        <f>A:A&amp;D:D&amp;G:G&amp;$AF$1&amp;AF:AF&amp;"元，目前预收价值"&amp;U:U&amp;"，"&amp;$AG$1&amp;AG:AG&amp;"元，"&amp;$AH$1&amp;AH:AH&amp;"元"</f>
        <v>淮南本部刘红梅伙伴冲锋队缴费金额0元，目前预收价值0，预收拟返还0元，承保拟返还0元</v>
      </c>
      <c r="AJ165" s="68">
        <f>SUMIF(保单!R:R,E:E,保单!BE:BE)*IF(AF:AF&gt;1,1,0)</f>
        <v>0</v>
      </c>
      <c r="AK165" s="68">
        <f>SUMIFS(保单!BE:BE,保单!R:R,E:E,保单!BB:BB,"有效")*IF(AF:AF&gt;1,1,0)</f>
        <v>0</v>
      </c>
      <c r="AL165" s="72" t="str">
        <f>A:A&amp;D:D&amp;G:G&amp;"只要在1-10日承保全部保单，即可获得"&amp;$AJ$1&amp;AJ:AJ&amp;"个"</f>
        <v>淮南本部刘红梅伙伴只要在1-10日承保全部保单，即可获得冲锋队按摩仪0个</v>
      </c>
    </row>
    <row r="166" spans="1:38">
      <c r="A166" s="64" t="s">
        <v>42</v>
      </c>
      <c r="B166" s="64" t="s">
        <v>43</v>
      </c>
      <c r="C166" s="64" t="s">
        <v>44</v>
      </c>
      <c r="D166" s="64" t="s">
        <v>404</v>
      </c>
      <c r="E166" s="64">
        <v>6323934032</v>
      </c>
      <c r="F166" s="64" t="s">
        <v>174</v>
      </c>
      <c r="G166" s="64" t="str">
        <f>IF(OR(F:F="高级经理一级",F:F="业务经理一级"),"主管","伙伴")</f>
        <v>伙伴</v>
      </c>
      <c r="H166" s="65">
        <f>SUMIF(险种!E:E,E:E,险种!R:R)-SUMIFS(险种!R:R,险种!U:U,"终止",险种!E:E,E:E)</f>
        <v>0</v>
      </c>
      <c r="I166" s="65">
        <f>SUMIFS(险种!R:R,险种!U:U,"有效",险种!E:E,E:E)</f>
        <v>0</v>
      </c>
      <c r="J166" s="65">
        <f>ROUND(SUMIF(险种!E:E,E:E,险种!Q:Q)-SUMIFS(险种!Q:Q,险种!U:U,"终止",险种!E:E,E:E),1)</f>
        <v>0</v>
      </c>
      <c r="K166" s="68">
        <f>RANK(J166,J:J)</f>
        <v>22</v>
      </c>
      <c r="L166" s="65">
        <f>ROUND(SUMIFS(险种!Q:Q,险种!U:U,"有效",险种!E:E,E:E),1)</f>
        <v>0</v>
      </c>
      <c r="M166" s="68">
        <f>RANK(L166,L:L,)</f>
        <v>14</v>
      </c>
      <c r="N166" s="68">
        <f>SUMIF(险种!E:E,E:E,险种!W:W)</f>
        <v>0</v>
      </c>
      <c r="O166" s="68">
        <f>IF(N:N&gt;=1,1,0)</f>
        <v>0</v>
      </c>
      <c r="P166" s="65">
        <f>ROUND(SUMIFS(险种!Q:Q,险种!V:V,$P$1,险种!E:E,E:E),1)</f>
        <v>0</v>
      </c>
      <c r="Q166" s="68">
        <f>RANK(P166,$P:$P,0)-1</f>
        <v>5</v>
      </c>
      <c r="R166" s="68" t="str">
        <f>A:A&amp;D:D&amp;G:G&amp;"在"&amp;$P$1&amp;"预收"&amp;P:P&amp;"排名中支第"&amp;Q:Q&amp;"位"</f>
        <v>淮南本部陈静伙伴在20210509预收0排名中支第5位</v>
      </c>
      <c r="S166" s="65">
        <f>ROUND(SUMIFS(险种!Q:Q,险种!E:E,E:E,险种!V:V,"&lt;=20210506")-SUMIFS(险种!Q:Q,险种!U:U,"终止",险种!E:E,E:E,险种!V:V,"&lt;=20210506"),1)</f>
        <v>0</v>
      </c>
      <c r="T166" s="65">
        <f>ROUND(SUMIFS(险种!Q:Q,险种!U:U,"有效",险种!E:E,E:E,险种!V:V,"&lt;=20210506"),1)</f>
        <v>0</v>
      </c>
      <c r="U166" s="65">
        <f>ROUND(SUMIFS(险种!Q:Q,险种!E:E,E:E,险种!V:V,"&lt;=20210510")-SUMIFS(险种!Q:Q,险种!U:U,"终止",险种!E:E,E:E,险种!V:V,"&lt;=20210510"),1)</f>
        <v>0</v>
      </c>
      <c r="V166" s="65">
        <f>ROUND(SUMIFS(险种!Q:Q,险种!U:U,"有效",险种!E:E,E:E,险种!V:V,"&lt;=20210510"),1)</f>
        <v>0</v>
      </c>
      <c r="W166" s="65">
        <f t="shared" si="2"/>
        <v>0</v>
      </c>
      <c r="X166" s="68">
        <f>SUMIF(险种!E:E,E:E,险种!Y:Y)</f>
        <v>0</v>
      </c>
      <c r="Y166" s="65">
        <f>MAX(_xlfn.IFS(OR(X:X=1,X:X=2),J:J*0.1,X:X&gt;=3,J:J*0.2,X:X=0,0),IF(J:J&gt;=20000,J:J*0.2,0))</f>
        <v>0</v>
      </c>
      <c r="Z166" s="65" t="str">
        <f>A166&amp;D166&amp;G166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淮南本部陈静伙伴5.1-5.10预收价值保费0，首周预收3000P件数0件，预收拟加佣0元。温馨提示，保单需10日（含）前承保，目前还有0价值保费未承保,开单一件即可获得10%加佣</v>
      </c>
      <c r="AA166" s="68">
        <f>SUMIF(险种!E:E,E:E,险种!Z:Z)</f>
        <v>0</v>
      </c>
      <c r="AB166" s="65"/>
      <c r="AC166" s="68">
        <f>SUMIF(险种!E:E,E:E,险种!AA:AA)</f>
        <v>0</v>
      </c>
      <c r="AD166" s="68">
        <f>SUMIFS(险种!AA:AA,险种!U:U,"有效",险种!E:E,E:E)</f>
        <v>0</v>
      </c>
      <c r="AE166" s="68" t="str">
        <f>A166&amp;D166&amp;G166&amp;"目前获得"&amp;$AC$1&amp;AC:AC&amp;"名，获得"&amp;$AD$1&amp;AD:AD&amp;"名"</f>
        <v>淮南本部陈静伙伴目前获得龙虾节预收名额0名，获得龙虾节承保名额0名</v>
      </c>
      <c r="AF166" s="68">
        <f>SUMIF(认购返还案!D:D,E:E,认购返还案!E:E)</f>
        <v>0</v>
      </c>
      <c r="AG166" s="68">
        <f>_xlfn.IFS(AND(U:U&gt;=3000,U:U&lt;5000),AF:AF*0.5,U:U&gt;=5000,AF:AF*1,U:U&lt;3000,0)</f>
        <v>0</v>
      </c>
      <c r="AH166" s="68">
        <f>_xlfn.IFS(AND(V:V&gt;=3000,V:V&lt;5000),AF:AF*0.5,V:V&gt;=5000,AF:AF*1,V:V&lt;3000,0)</f>
        <v>0</v>
      </c>
      <c r="AI166" s="68" t="str">
        <f>A:A&amp;D:D&amp;G:G&amp;$AF$1&amp;AF:AF&amp;"元，目前预收价值"&amp;U:U&amp;"，"&amp;$AG$1&amp;AG:AG&amp;"元，"&amp;$AH$1&amp;AH:AH&amp;"元"</f>
        <v>淮南本部陈静伙伴冲锋队缴费金额0元，目前预收价值0，预收拟返还0元，承保拟返还0元</v>
      </c>
      <c r="AJ166" s="68">
        <f>SUMIF(保单!R:R,E:E,保单!BE:BE)*IF(AF:AF&gt;1,1,0)</f>
        <v>0</v>
      </c>
      <c r="AK166" s="68">
        <f>SUMIFS(保单!BE:BE,保单!R:R,E:E,保单!BB:BB,"有效")*IF(AF:AF&gt;1,1,0)</f>
        <v>0</v>
      </c>
      <c r="AL166" s="72" t="str">
        <f>A:A&amp;D:D&amp;G:G&amp;"只要在1-10日承保全部保单，即可获得"&amp;$AJ$1&amp;AJ:AJ&amp;"个"</f>
        <v>淮南本部陈静伙伴只要在1-10日承保全部保单，即可获得冲锋队按摩仪0个</v>
      </c>
    </row>
    <row r="167" spans="1:38">
      <c r="A167" s="64" t="s">
        <v>42</v>
      </c>
      <c r="B167" s="64" t="s">
        <v>62</v>
      </c>
      <c r="C167" s="64" t="s">
        <v>228</v>
      </c>
      <c r="D167" s="64" t="s">
        <v>405</v>
      </c>
      <c r="E167" s="64">
        <v>6323920462</v>
      </c>
      <c r="F167" s="64" t="s">
        <v>168</v>
      </c>
      <c r="G167" s="64" t="str">
        <f>IF(OR(F:F="高级经理一级",F:F="业务经理一级"),"主管","伙伴")</f>
        <v>伙伴</v>
      </c>
      <c r="H167" s="65">
        <f>SUMIF(险种!E:E,E:E,险种!R:R)-SUMIFS(险种!R:R,险种!U:U,"终止",险种!E:E,E:E)</f>
        <v>0</v>
      </c>
      <c r="I167" s="65">
        <f>SUMIFS(险种!R:R,险种!U:U,"有效",险种!E:E,E:E)</f>
        <v>0</v>
      </c>
      <c r="J167" s="65">
        <f>ROUND(SUMIF(险种!E:E,E:E,险种!Q:Q)-SUMIFS(险种!Q:Q,险种!U:U,"终止",险种!E:E,E:E),1)</f>
        <v>0</v>
      </c>
      <c r="K167" s="68">
        <f>RANK(J167,J:J)</f>
        <v>22</v>
      </c>
      <c r="L167" s="65">
        <f>ROUND(SUMIFS(险种!Q:Q,险种!U:U,"有效",险种!E:E,E:E),1)</f>
        <v>0</v>
      </c>
      <c r="M167" s="68">
        <f>RANK(L167,L:L,)</f>
        <v>14</v>
      </c>
      <c r="N167" s="68">
        <f>SUMIF(险种!E:E,E:E,险种!W:W)</f>
        <v>0</v>
      </c>
      <c r="O167" s="68">
        <f>IF(N:N&gt;=1,1,0)</f>
        <v>0</v>
      </c>
      <c r="P167" s="65">
        <f>ROUND(SUMIFS(险种!Q:Q,险种!V:V,$P$1,险种!E:E,E:E),1)</f>
        <v>0</v>
      </c>
      <c r="Q167" s="68">
        <f>RANK(P167,$P:$P,0)-1</f>
        <v>5</v>
      </c>
      <c r="R167" s="68" t="str">
        <f>A:A&amp;D:D&amp;G:G&amp;"在"&amp;$P$1&amp;"预收"&amp;P:P&amp;"排名中支第"&amp;Q:Q&amp;"位"</f>
        <v>淮南本部王小燕伙伴在20210509预收0排名中支第5位</v>
      </c>
      <c r="S167" s="65">
        <f>ROUND(SUMIFS(险种!Q:Q,险种!E:E,E:E,险种!V:V,"&lt;=20210506")-SUMIFS(险种!Q:Q,险种!U:U,"终止",险种!E:E,E:E,险种!V:V,"&lt;=20210506"),1)</f>
        <v>0</v>
      </c>
      <c r="T167" s="65">
        <f>ROUND(SUMIFS(险种!Q:Q,险种!U:U,"有效",险种!E:E,E:E,险种!V:V,"&lt;=20210506"),1)</f>
        <v>0</v>
      </c>
      <c r="U167" s="65">
        <f>ROUND(SUMIFS(险种!Q:Q,险种!E:E,E:E,险种!V:V,"&lt;=20210510")-SUMIFS(险种!Q:Q,险种!U:U,"终止",险种!E:E,E:E,险种!V:V,"&lt;=20210510"),1)</f>
        <v>0</v>
      </c>
      <c r="V167" s="65">
        <f>ROUND(SUMIFS(险种!Q:Q,险种!U:U,"有效",险种!E:E,E:E,险种!V:V,"&lt;=20210510"),1)</f>
        <v>0</v>
      </c>
      <c r="W167" s="65">
        <f t="shared" si="2"/>
        <v>0</v>
      </c>
      <c r="X167" s="68">
        <f>SUMIF(险种!E:E,E:E,险种!Y:Y)</f>
        <v>0</v>
      </c>
      <c r="Y167" s="65">
        <f>MAX(_xlfn.IFS(OR(X:X=1,X:X=2),J:J*0.1,X:X&gt;=3,J:J*0.2,X:X=0,0),IF(J:J&gt;=20000,J:J*0.2,0))</f>
        <v>0</v>
      </c>
      <c r="Z167" s="65" t="str">
        <f>A167&amp;D167&amp;G167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淮南本部王小燕伙伴5.1-5.10预收价值保费0，首周预收3000P件数0件，预收拟加佣0元。温馨提示，保单需10日（含）前承保，目前还有0价值保费未承保,开单一件即可获得10%加佣</v>
      </c>
      <c r="AA167" s="68">
        <f>SUMIF(险种!E:E,E:E,险种!Z:Z)</f>
        <v>0</v>
      </c>
      <c r="AB167" s="65"/>
      <c r="AC167" s="68">
        <f>SUMIF(险种!E:E,E:E,险种!AA:AA)</f>
        <v>0</v>
      </c>
      <c r="AD167" s="68">
        <f>SUMIFS(险种!AA:AA,险种!U:U,"有效",险种!E:E,E:E)</f>
        <v>0</v>
      </c>
      <c r="AE167" s="68" t="str">
        <f>A167&amp;D167&amp;G167&amp;"目前获得"&amp;$AC$1&amp;AC:AC&amp;"名，获得"&amp;$AD$1&amp;AD:AD&amp;"名"</f>
        <v>淮南本部王小燕伙伴目前获得龙虾节预收名额0名，获得龙虾节承保名额0名</v>
      </c>
      <c r="AF167" s="68">
        <f>SUMIF(认购返还案!D:D,E:E,认购返还案!E:E)</f>
        <v>0</v>
      </c>
      <c r="AG167" s="68">
        <f>_xlfn.IFS(AND(U:U&gt;=3000,U:U&lt;5000),AF:AF*0.5,U:U&gt;=5000,AF:AF*1,U:U&lt;3000,0)</f>
        <v>0</v>
      </c>
      <c r="AH167" s="68">
        <f>_xlfn.IFS(AND(V:V&gt;=3000,V:V&lt;5000),AF:AF*0.5,V:V&gt;=5000,AF:AF*1,V:V&lt;3000,0)</f>
        <v>0</v>
      </c>
      <c r="AI167" s="68" t="str">
        <f>A:A&amp;D:D&amp;G:G&amp;$AF$1&amp;AF:AF&amp;"元，目前预收价值"&amp;U:U&amp;"，"&amp;$AG$1&amp;AG:AG&amp;"元，"&amp;$AH$1&amp;AH:AH&amp;"元"</f>
        <v>淮南本部王小燕伙伴冲锋队缴费金额0元，目前预收价值0，预收拟返还0元，承保拟返还0元</v>
      </c>
      <c r="AJ167" s="68">
        <f>SUMIF(保单!R:R,E:E,保单!BE:BE)*IF(AF:AF&gt;1,1,0)</f>
        <v>0</v>
      </c>
      <c r="AK167" s="68">
        <f>SUMIFS(保单!BE:BE,保单!R:R,E:E,保单!BB:BB,"有效")*IF(AF:AF&gt;1,1,0)</f>
        <v>0</v>
      </c>
      <c r="AL167" s="72" t="str">
        <f>A:A&amp;D:D&amp;G:G&amp;"只要在1-10日承保全部保单，即可获得"&amp;$AJ$1&amp;AJ:AJ&amp;"个"</f>
        <v>淮南本部王小燕伙伴只要在1-10日承保全部保单，即可获得冲锋队按摩仪0个</v>
      </c>
    </row>
    <row r="168" spans="1:38">
      <c r="A168" s="64" t="s">
        <v>27</v>
      </c>
      <c r="B168" s="64" t="s">
        <v>94</v>
      </c>
      <c r="C168" s="64" t="s">
        <v>95</v>
      </c>
      <c r="D168" s="64" t="s">
        <v>406</v>
      </c>
      <c r="E168" s="64">
        <v>6322624082</v>
      </c>
      <c r="F168" s="64" t="s">
        <v>168</v>
      </c>
      <c r="G168" s="64" t="str">
        <f>IF(OR(F:F="高级经理一级",F:F="业务经理一级"),"主管","伙伴")</f>
        <v>伙伴</v>
      </c>
      <c r="H168" s="65">
        <f>SUMIF(险种!E:E,E:E,险种!R:R)-SUMIFS(险种!R:R,险种!U:U,"终止",险种!E:E,E:E)</f>
        <v>0</v>
      </c>
      <c r="I168" s="65">
        <f>SUMIFS(险种!R:R,险种!U:U,"有效",险种!E:E,E:E)</f>
        <v>0</v>
      </c>
      <c r="J168" s="65">
        <f>ROUND(SUMIF(险种!E:E,E:E,险种!Q:Q)-SUMIFS(险种!Q:Q,险种!U:U,"终止",险种!E:E,E:E),1)</f>
        <v>0</v>
      </c>
      <c r="K168" s="68">
        <f>RANK(J168,J:J)</f>
        <v>22</v>
      </c>
      <c r="L168" s="65">
        <f>ROUND(SUMIFS(险种!Q:Q,险种!U:U,"有效",险种!E:E,E:E),1)</f>
        <v>0</v>
      </c>
      <c r="M168" s="68">
        <f>RANK(L168,L:L,)</f>
        <v>14</v>
      </c>
      <c r="N168" s="68">
        <f>SUMIF(险种!E:E,E:E,险种!W:W)</f>
        <v>0</v>
      </c>
      <c r="O168" s="68">
        <f>IF(N:N&gt;=1,1,0)</f>
        <v>0</v>
      </c>
      <c r="P168" s="65">
        <f>ROUND(SUMIFS(险种!Q:Q,险种!V:V,$P$1,险种!E:E,E:E),1)</f>
        <v>0</v>
      </c>
      <c r="Q168" s="68">
        <f>RANK(P168,$P:$P,0)-1</f>
        <v>5</v>
      </c>
      <c r="R168" s="68" t="str">
        <f>A:A&amp;D:D&amp;G:G&amp;"在"&amp;$P$1&amp;"预收"&amp;P:P&amp;"排名中支第"&amp;Q:Q&amp;"位"</f>
        <v>凤台刘春艳伙伴在20210509预收0排名中支第5位</v>
      </c>
      <c r="S168" s="65">
        <f>ROUND(SUMIFS(险种!Q:Q,险种!E:E,E:E,险种!V:V,"&lt;=20210506")-SUMIFS(险种!Q:Q,险种!U:U,"终止",险种!E:E,E:E,险种!V:V,"&lt;=20210506"),1)</f>
        <v>0</v>
      </c>
      <c r="T168" s="65">
        <f>ROUND(SUMIFS(险种!Q:Q,险种!U:U,"有效",险种!E:E,E:E,险种!V:V,"&lt;=20210506"),1)</f>
        <v>0</v>
      </c>
      <c r="U168" s="65">
        <f>ROUND(SUMIFS(险种!Q:Q,险种!E:E,E:E,险种!V:V,"&lt;=20210510")-SUMIFS(险种!Q:Q,险种!U:U,"终止",险种!E:E,E:E,险种!V:V,"&lt;=20210510"),1)</f>
        <v>0</v>
      </c>
      <c r="V168" s="65">
        <f>ROUND(SUMIFS(险种!Q:Q,险种!U:U,"有效",险种!E:E,E:E,险种!V:V,"&lt;=20210510"),1)</f>
        <v>0</v>
      </c>
      <c r="W168" s="65">
        <f t="shared" si="2"/>
        <v>0</v>
      </c>
      <c r="X168" s="68">
        <f>SUMIF(险种!E:E,E:E,险种!Y:Y)</f>
        <v>0</v>
      </c>
      <c r="Y168" s="65">
        <f>MAX(_xlfn.IFS(OR(X:X=1,X:X=2),J:J*0.1,X:X&gt;=3,J:J*0.2,X:X=0,0),IF(J:J&gt;=20000,J:J*0.2,0))</f>
        <v>0</v>
      </c>
      <c r="Z168" s="65" t="str">
        <f>A168&amp;D168&amp;G168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凤台刘春艳伙伴5.1-5.10预收价值保费0，首周预收3000P件数0件，预收拟加佣0元。温馨提示，保单需10日（含）前承保，目前还有0价值保费未承保,开单一件即可获得10%加佣</v>
      </c>
      <c r="AA168" s="68">
        <f>SUMIF(险种!E:E,E:E,险种!Z:Z)</f>
        <v>0</v>
      </c>
      <c r="AB168" s="65"/>
      <c r="AC168" s="68">
        <f>SUMIF(险种!E:E,E:E,险种!AA:AA)</f>
        <v>0</v>
      </c>
      <c r="AD168" s="68">
        <f>SUMIFS(险种!AA:AA,险种!U:U,"有效",险种!E:E,E:E)</f>
        <v>0</v>
      </c>
      <c r="AE168" s="68" t="str">
        <f>A168&amp;D168&amp;G168&amp;"目前获得"&amp;$AC$1&amp;AC:AC&amp;"名，获得"&amp;$AD$1&amp;AD:AD&amp;"名"</f>
        <v>凤台刘春艳伙伴目前获得龙虾节预收名额0名，获得龙虾节承保名额0名</v>
      </c>
      <c r="AF168" s="68">
        <f>SUMIF(认购返还案!D:D,E:E,认购返还案!E:E)</f>
        <v>0</v>
      </c>
      <c r="AG168" s="68">
        <f>_xlfn.IFS(AND(U:U&gt;=3000,U:U&lt;5000),AF:AF*0.5,U:U&gt;=5000,AF:AF*1,U:U&lt;3000,0)</f>
        <v>0</v>
      </c>
      <c r="AH168" s="68">
        <f>_xlfn.IFS(AND(V:V&gt;=3000,V:V&lt;5000),AF:AF*0.5,V:V&gt;=5000,AF:AF*1,V:V&lt;3000,0)</f>
        <v>0</v>
      </c>
      <c r="AI168" s="68" t="str">
        <f>A:A&amp;D:D&amp;G:G&amp;$AF$1&amp;AF:AF&amp;"元，目前预收价值"&amp;U:U&amp;"，"&amp;$AG$1&amp;AG:AG&amp;"元，"&amp;$AH$1&amp;AH:AH&amp;"元"</f>
        <v>凤台刘春艳伙伴冲锋队缴费金额0元，目前预收价值0，预收拟返还0元，承保拟返还0元</v>
      </c>
      <c r="AJ168" s="68">
        <f>SUMIF(保单!R:R,E:E,保单!BE:BE)*IF(AF:AF&gt;1,1,0)</f>
        <v>0</v>
      </c>
      <c r="AK168" s="68">
        <f>SUMIFS(保单!BE:BE,保单!R:R,E:E,保单!BB:BB,"有效")*IF(AF:AF&gt;1,1,0)</f>
        <v>0</v>
      </c>
      <c r="AL168" s="72" t="str">
        <f>A:A&amp;D:D&amp;G:G&amp;"只要在1-10日承保全部保单，即可获得"&amp;$AJ$1&amp;AJ:AJ&amp;"个"</f>
        <v>凤台刘春艳伙伴只要在1-10日承保全部保单，即可获得冲锋队按摩仪0个</v>
      </c>
    </row>
    <row r="169" spans="1:38">
      <c r="A169" s="64" t="s">
        <v>27</v>
      </c>
      <c r="B169" s="64" t="s">
        <v>28</v>
      </c>
      <c r="C169" s="64" t="s">
        <v>29</v>
      </c>
      <c r="D169" s="64" t="s">
        <v>407</v>
      </c>
      <c r="E169" s="64">
        <v>6323154432</v>
      </c>
      <c r="F169" s="64" t="s">
        <v>168</v>
      </c>
      <c r="G169" s="64" t="str">
        <f>IF(OR(F:F="高级经理一级",F:F="业务经理一级"),"主管","伙伴")</f>
        <v>伙伴</v>
      </c>
      <c r="H169" s="65">
        <f>SUMIF(险种!E:E,E:E,险种!R:R)-SUMIFS(险种!R:R,险种!U:U,"终止",险种!E:E,E:E)</f>
        <v>0</v>
      </c>
      <c r="I169" s="65">
        <f>SUMIFS(险种!R:R,险种!U:U,"有效",险种!E:E,E:E)</f>
        <v>0</v>
      </c>
      <c r="J169" s="65">
        <f>ROUND(SUMIF(险种!E:E,E:E,险种!Q:Q)-SUMIFS(险种!Q:Q,险种!U:U,"终止",险种!E:E,E:E),1)</f>
        <v>0</v>
      </c>
      <c r="K169" s="68">
        <f>RANK(J169,J:J)</f>
        <v>22</v>
      </c>
      <c r="L169" s="65">
        <f>ROUND(SUMIFS(险种!Q:Q,险种!U:U,"有效",险种!E:E,E:E),1)</f>
        <v>0</v>
      </c>
      <c r="M169" s="68">
        <f>RANK(L169,L:L,)</f>
        <v>14</v>
      </c>
      <c r="N169" s="68">
        <f>SUMIF(险种!E:E,E:E,险种!W:W)</f>
        <v>0</v>
      </c>
      <c r="O169" s="68">
        <f>IF(N:N&gt;=1,1,0)</f>
        <v>0</v>
      </c>
      <c r="P169" s="65">
        <f>ROUND(SUMIFS(险种!Q:Q,险种!V:V,$P$1,险种!E:E,E:E),1)</f>
        <v>0</v>
      </c>
      <c r="Q169" s="68">
        <f>RANK(P169,$P:$P,0)-1</f>
        <v>5</v>
      </c>
      <c r="R169" s="68" t="str">
        <f>A:A&amp;D:D&amp;G:G&amp;"在"&amp;$P$1&amp;"预收"&amp;P:P&amp;"排名中支第"&amp;Q:Q&amp;"位"</f>
        <v>凤台王洁伙伴在20210509预收0排名中支第5位</v>
      </c>
      <c r="S169" s="65">
        <f>ROUND(SUMIFS(险种!Q:Q,险种!E:E,E:E,险种!V:V,"&lt;=20210506")-SUMIFS(险种!Q:Q,险种!U:U,"终止",险种!E:E,E:E,险种!V:V,"&lt;=20210506"),1)</f>
        <v>0</v>
      </c>
      <c r="T169" s="65">
        <f>ROUND(SUMIFS(险种!Q:Q,险种!U:U,"有效",险种!E:E,E:E,险种!V:V,"&lt;=20210506"),1)</f>
        <v>0</v>
      </c>
      <c r="U169" s="65">
        <f>ROUND(SUMIFS(险种!Q:Q,险种!E:E,E:E,险种!V:V,"&lt;=20210510")-SUMIFS(险种!Q:Q,险种!U:U,"终止",险种!E:E,E:E,险种!V:V,"&lt;=20210510"),1)</f>
        <v>0</v>
      </c>
      <c r="V169" s="65">
        <f>ROUND(SUMIFS(险种!Q:Q,险种!U:U,"有效",险种!E:E,E:E,险种!V:V,"&lt;=20210510"),1)</f>
        <v>0</v>
      </c>
      <c r="W169" s="65">
        <f t="shared" si="2"/>
        <v>0</v>
      </c>
      <c r="X169" s="68">
        <f>SUMIF(险种!E:E,E:E,险种!Y:Y)</f>
        <v>0</v>
      </c>
      <c r="Y169" s="65">
        <f>MAX(_xlfn.IFS(OR(X:X=1,X:X=2),J:J*0.1,X:X&gt;=3,J:J*0.2,X:X=0,0),IF(J:J&gt;=20000,J:J*0.2,0))</f>
        <v>0</v>
      </c>
      <c r="Z169" s="65" t="str">
        <f>A169&amp;D169&amp;G169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凤台王洁伙伴5.1-5.10预收价值保费0，首周预收3000P件数0件，预收拟加佣0元。温馨提示，保单需10日（含）前承保，目前还有0价值保费未承保,开单一件即可获得10%加佣</v>
      </c>
      <c r="AA169" s="68">
        <f>SUMIF(险种!E:E,E:E,险种!Z:Z)</f>
        <v>0</v>
      </c>
      <c r="AB169" s="65"/>
      <c r="AC169" s="68">
        <f>SUMIF(险种!E:E,E:E,险种!AA:AA)</f>
        <v>0</v>
      </c>
      <c r="AD169" s="68">
        <f>SUMIFS(险种!AA:AA,险种!U:U,"有效",险种!E:E,E:E)</f>
        <v>0</v>
      </c>
      <c r="AE169" s="68" t="str">
        <f>A169&amp;D169&amp;G169&amp;"目前获得"&amp;$AC$1&amp;AC:AC&amp;"名，获得"&amp;$AD$1&amp;AD:AD&amp;"名"</f>
        <v>凤台王洁伙伴目前获得龙虾节预收名额0名，获得龙虾节承保名额0名</v>
      </c>
      <c r="AF169" s="68">
        <f>SUMIF(认购返还案!D:D,E:E,认购返还案!E:E)</f>
        <v>0</v>
      </c>
      <c r="AG169" s="68">
        <f>_xlfn.IFS(AND(U:U&gt;=3000,U:U&lt;5000),AF:AF*0.5,U:U&gt;=5000,AF:AF*1,U:U&lt;3000,0)</f>
        <v>0</v>
      </c>
      <c r="AH169" s="68">
        <f>_xlfn.IFS(AND(V:V&gt;=3000,V:V&lt;5000),AF:AF*0.5,V:V&gt;=5000,AF:AF*1,V:V&lt;3000,0)</f>
        <v>0</v>
      </c>
      <c r="AI169" s="68" t="str">
        <f>A:A&amp;D:D&amp;G:G&amp;$AF$1&amp;AF:AF&amp;"元，目前预收价值"&amp;U:U&amp;"，"&amp;$AG$1&amp;AG:AG&amp;"元，"&amp;$AH$1&amp;AH:AH&amp;"元"</f>
        <v>凤台王洁伙伴冲锋队缴费金额0元，目前预收价值0，预收拟返还0元，承保拟返还0元</v>
      </c>
      <c r="AJ169" s="68">
        <f>SUMIF(保单!R:R,E:E,保单!BE:BE)*IF(AF:AF&gt;1,1,0)</f>
        <v>0</v>
      </c>
      <c r="AK169" s="68">
        <f>SUMIFS(保单!BE:BE,保单!R:R,E:E,保单!BB:BB,"有效")*IF(AF:AF&gt;1,1,0)</f>
        <v>0</v>
      </c>
      <c r="AL169" s="72" t="str">
        <f>A:A&amp;D:D&amp;G:G&amp;"只要在1-10日承保全部保单，即可获得"&amp;$AJ$1&amp;AJ:AJ&amp;"个"</f>
        <v>凤台王洁伙伴只要在1-10日承保全部保单，即可获得冲锋队按摩仪0个</v>
      </c>
    </row>
    <row r="170" spans="1:38">
      <c r="A170" s="64" t="s">
        <v>42</v>
      </c>
      <c r="B170" s="64" t="s">
        <v>66</v>
      </c>
      <c r="C170" s="64" t="s">
        <v>67</v>
      </c>
      <c r="D170" s="64" t="s">
        <v>408</v>
      </c>
      <c r="E170" s="64">
        <v>6321905202</v>
      </c>
      <c r="F170" s="64" t="s">
        <v>174</v>
      </c>
      <c r="G170" s="64" t="str">
        <f>IF(OR(F:F="高级经理一级",F:F="业务经理一级"),"主管","伙伴")</f>
        <v>伙伴</v>
      </c>
      <c r="H170" s="65">
        <f>SUMIF(险种!E:E,E:E,险种!R:R)-SUMIFS(险种!R:R,险种!U:U,"终止",险种!E:E,E:E)</f>
        <v>0</v>
      </c>
      <c r="I170" s="65">
        <f>SUMIFS(险种!R:R,险种!U:U,"有效",险种!E:E,E:E)</f>
        <v>0</v>
      </c>
      <c r="J170" s="65">
        <f>ROUND(SUMIF(险种!E:E,E:E,险种!Q:Q)-SUMIFS(险种!Q:Q,险种!U:U,"终止",险种!E:E,E:E),1)</f>
        <v>0</v>
      </c>
      <c r="K170" s="68">
        <f>RANK(J170,J:J)</f>
        <v>22</v>
      </c>
      <c r="L170" s="65">
        <f>ROUND(SUMIFS(险种!Q:Q,险种!U:U,"有效",险种!E:E,E:E),1)</f>
        <v>0</v>
      </c>
      <c r="M170" s="68">
        <f>RANK(L170,L:L,)</f>
        <v>14</v>
      </c>
      <c r="N170" s="68">
        <f>SUMIF(险种!E:E,E:E,险种!W:W)</f>
        <v>0</v>
      </c>
      <c r="O170" s="68">
        <f>IF(N:N&gt;=1,1,0)</f>
        <v>0</v>
      </c>
      <c r="P170" s="65">
        <f>ROUND(SUMIFS(险种!Q:Q,险种!V:V,$P$1,险种!E:E,E:E),1)</f>
        <v>0</v>
      </c>
      <c r="Q170" s="68">
        <f>RANK(P170,$P:$P,0)-1</f>
        <v>5</v>
      </c>
      <c r="R170" s="68" t="str">
        <f>A:A&amp;D:D&amp;G:G&amp;"在"&amp;$P$1&amp;"预收"&amp;P:P&amp;"排名中支第"&amp;Q:Q&amp;"位"</f>
        <v>淮南本部王宛宛伙伴在20210509预收0排名中支第5位</v>
      </c>
      <c r="S170" s="65">
        <f>ROUND(SUMIFS(险种!Q:Q,险种!E:E,E:E,险种!V:V,"&lt;=20210506")-SUMIFS(险种!Q:Q,险种!U:U,"终止",险种!E:E,E:E,险种!V:V,"&lt;=20210506"),1)</f>
        <v>0</v>
      </c>
      <c r="T170" s="65">
        <f>ROUND(SUMIFS(险种!Q:Q,险种!U:U,"有效",险种!E:E,E:E,险种!V:V,"&lt;=20210506"),1)</f>
        <v>0</v>
      </c>
      <c r="U170" s="65">
        <f>ROUND(SUMIFS(险种!Q:Q,险种!E:E,E:E,险种!V:V,"&lt;=20210510")-SUMIFS(险种!Q:Q,险种!U:U,"终止",险种!E:E,E:E,险种!V:V,"&lt;=20210510"),1)</f>
        <v>0</v>
      </c>
      <c r="V170" s="65">
        <f>ROUND(SUMIFS(险种!Q:Q,险种!U:U,"有效",险种!E:E,E:E,险种!V:V,"&lt;=20210510"),1)</f>
        <v>0</v>
      </c>
      <c r="W170" s="65">
        <f t="shared" si="2"/>
        <v>0</v>
      </c>
      <c r="X170" s="68">
        <f>SUMIF(险种!E:E,E:E,险种!Y:Y)</f>
        <v>0</v>
      </c>
      <c r="Y170" s="65">
        <f>MAX(_xlfn.IFS(OR(X:X=1,X:X=2),J:J*0.1,X:X&gt;=3,J:J*0.2,X:X=0,0),IF(J:J&gt;=20000,J:J*0.2,0))</f>
        <v>0</v>
      </c>
      <c r="Z170" s="65" t="str">
        <f>A170&amp;D170&amp;G170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淮南本部王宛宛伙伴5.1-5.10预收价值保费0，首周预收3000P件数0件，预收拟加佣0元。温馨提示，保单需10日（含）前承保，目前还有0价值保费未承保,开单一件即可获得10%加佣</v>
      </c>
      <c r="AA170" s="68">
        <f>SUMIF(险种!E:E,E:E,险种!Z:Z)</f>
        <v>0</v>
      </c>
      <c r="AB170" s="65"/>
      <c r="AC170" s="68">
        <f>SUMIF(险种!E:E,E:E,险种!AA:AA)</f>
        <v>0</v>
      </c>
      <c r="AD170" s="68">
        <f>SUMIFS(险种!AA:AA,险种!U:U,"有效",险种!E:E,E:E)</f>
        <v>0</v>
      </c>
      <c r="AE170" s="68" t="str">
        <f>A170&amp;D170&amp;G170&amp;"目前获得"&amp;$AC$1&amp;AC:AC&amp;"名，获得"&amp;$AD$1&amp;AD:AD&amp;"名"</f>
        <v>淮南本部王宛宛伙伴目前获得龙虾节预收名额0名，获得龙虾节承保名额0名</v>
      </c>
      <c r="AF170" s="68">
        <f>SUMIF(认购返还案!D:D,E:E,认购返还案!E:E)</f>
        <v>0</v>
      </c>
      <c r="AG170" s="68">
        <f>_xlfn.IFS(AND(U:U&gt;=3000,U:U&lt;5000),AF:AF*0.5,U:U&gt;=5000,AF:AF*1,U:U&lt;3000,0)</f>
        <v>0</v>
      </c>
      <c r="AH170" s="68">
        <f>_xlfn.IFS(AND(V:V&gt;=3000,V:V&lt;5000),AF:AF*0.5,V:V&gt;=5000,AF:AF*1,V:V&lt;3000,0)</f>
        <v>0</v>
      </c>
      <c r="AI170" s="68" t="str">
        <f>A:A&amp;D:D&amp;G:G&amp;$AF$1&amp;AF:AF&amp;"元，目前预收价值"&amp;U:U&amp;"，"&amp;$AG$1&amp;AG:AG&amp;"元，"&amp;$AH$1&amp;AH:AH&amp;"元"</f>
        <v>淮南本部王宛宛伙伴冲锋队缴费金额0元，目前预收价值0，预收拟返还0元，承保拟返还0元</v>
      </c>
      <c r="AJ170" s="68">
        <f>SUMIF(保单!R:R,E:E,保单!BE:BE)*IF(AF:AF&gt;1,1,0)</f>
        <v>0</v>
      </c>
      <c r="AK170" s="68">
        <f>SUMIFS(保单!BE:BE,保单!R:R,E:E,保单!BB:BB,"有效")*IF(AF:AF&gt;1,1,0)</f>
        <v>0</v>
      </c>
      <c r="AL170" s="72" t="str">
        <f>A:A&amp;D:D&amp;G:G&amp;"只要在1-10日承保全部保单，即可获得"&amp;$AJ$1&amp;AJ:AJ&amp;"个"</f>
        <v>淮南本部王宛宛伙伴只要在1-10日承保全部保单，即可获得冲锋队按摩仪0个</v>
      </c>
    </row>
    <row r="171" spans="1:38">
      <c r="A171" s="64" t="s">
        <v>48</v>
      </c>
      <c r="B171" s="64" t="s">
        <v>49</v>
      </c>
      <c r="C171" s="64" t="s">
        <v>82</v>
      </c>
      <c r="D171" s="64" t="s">
        <v>409</v>
      </c>
      <c r="E171" s="64">
        <v>6293781572</v>
      </c>
      <c r="F171" s="64" t="s">
        <v>174</v>
      </c>
      <c r="G171" s="64" t="str">
        <f>IF(OR(F:F="高级经理一级",F:F="业务经理一级"),"主管","伙伴")</f>
        <v>伙伴</v>
      </c>
      <c r="H171" s="65">
        <f>SUMIF(险种!E:E,E:E,险种!R:R)-SUMIFS(险种!R:R,险种!U:U,"终止",险种!E:E,E:E)</f>
        <v>0</v>
      </c>
      <c r="I171" s="65">
        <f>SUMIFS(险种!R:R,险种!U:U,"有效",险种!E:E,E:E)</f>
        <v>0</v>
      </c>
      <c r="J171" s="65">
        <f>ROUND(SUMIF(险种!E:E,E:E,险种!Q:Q)-SUMIFS(险种!Q:Q,险种!U:U,"终止",险种!E:E,E:E),1)</f>
        <v>0</v>
      </c>
      <c r="K171" s="68">
        <f>RANK(J171,J:J)</f>
        <v>22</v>
      </c>
      <c r="L171" s="65">
        <f>ROUND(SUMIFS(险种!Q:Q,险种!U:U,"有效",险种!E:E,E:E),1)</f>
        <v>0</v>
      </c>
      <c r="M171" s="68">
        <f>RANK(L171,L:L,)</f>
        <v>14</v>
      </c>
      <c r="N171" s="68">
        <f>SUMIF(险种!E:E,E:E,险种!W:W)</f>
        <v>0</v>
      </c>
      <c r="O171" s="68">
        <f>IF(N:N&gt;=1,1,0)</f>
        <v>0</v>
      </c>
      <c r="P171" s="65">
        <f>ROUND(SUMIFS(险种!Q:Q,险种!V:V,$P$1,险种!E:E,E:E),1)</f>
        <v>0</v>
      </c>
      <c r="Q171" s="68">
        <f>RANK(P171,$P:$P,0)-1</f>
        <v>5</v>
      </c>
      <c r="R171" s="68" t="str">
        <f>A:A&amp;D:D&amp;G:G&amp;"在"&amp;$P$1&amp;"预收"&amp;P:P&amp;"排名中支第"&amp;Q:Q&amp;"位"</f>
        <v>谢家集魏春生伙伴在20210509预收0排名中支第5位</v>
      </c>
      <c r="S171" s="65">
        <f>ROUND(SUMIFS(险种!Q:Q,险种!E:E,E:E,险种!V:V,"&lt;=20210506")-SUMIFS(险种!Q:Q,险种!U:U,"终止",险种!E:E,E:E,险种!V:V,"&lt;=20210506"),1)</f>
        <v>0</v>
      </c>
      <c r="T171" s="65">
        <f>ROUND(SUMIFS(险种!Q:Q,险种!U:U,"有效",险种!E:E,E:E,险种!V:V,"&lt;=20210506"),1)</f>
        <v>0</v>
      </c>
      <c r="U171" s="65">
        <f>ROUND(SUMIFS(险种!Q:Q,险种!E:E,E:E,险种!V:V,"&lt;=20210510")-SUMIFS(险种!Q:Q,险种!U:U,"终止",险种!E:E,E:E,险种!V:V,"&lt;=20210510"),1)</f>
        <v>0</v>
      </c>
      <c r="V171" s="65">
        <f>ROUND(SUMIFS(险种!Q:Q,险种!U:U,"有效",险种!E:E,E:E,险种!V:V,"&lt;=20210510"),1)</f>
        <v>0</v>
      </c>
      <c r="W171" s="65">
        <f t="shared" si="2"/>
        <v>0</v>
      </c>
      <c r="X171" s="68">
        <f>SUMIF(险种!E:E,E:E,险种!Y:Y)</f>
        <v>0</v>
      </c>
      <c r="Y171" s="65">
        <f>MAX(_xlfn.IFS(OR(X:X=1,X:X=2),J:J*0.1,X:X&gt;=3,J:J*0.2,X:X=0,0),IF(J:J&gt;=20000,J:J*0.2,0))</f>
        <v>0</v>
      </c>
      <c r="Z171" s="65" t="str">
        <f>A171&amp;D171&amp;G171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谢家集魏春生伙伴5.1-5.10预收价值保费0，首周预收3000P件数0件，预收拟加佣0元。温馨提示，保单需10日（含）前承保，目前还有0价值保费未承保,开单一件即可获得10%加佣</v>
      </c>
      <c r="AA171" s="68">
        <f>SUMIF(险种!E:E,E:E,险种!Z:Z)</f>
        <v>0</v>
      </c>
      <c r="AB171" s="65"/>
      <c r="AC171" s="68">
        <f>SUMIF(险种!E:E,E:E,险种!AA:AA)</f>
        <v>0</v>
      </c>
      <c r="AD171" s="68">
        <f>SUMIFS(险种!AA:AA,险种!U:U,"有效",险种!E:E,E:E)</f>
        <v>0</v>
      </c>
      <c r="AE171" s="68" t="str">
        <f>A171&amp;D171&amp;G171&amp;"目前获得"&amp;$AC$1&amp;AC:AC&amp;"名，获得"&amp;$AD$1&amp;AD:AD&amp;"名"</f>
        <v>谢家集魏春生伙伴目前获得龙虾节预收名额0名，获得龙虾节承保名额0名</v>
      </c>
      <c r="AF171" s="68">
        <f>SUMIF(认购返还案!D:D,E:E,认购返还案!E:E)</f>
        <v>0</v>
      </c>
      <c r="AG171" s="68">
        <f>_xlfn.IFS(AND(U:U&gt;=3000,U:U&lt;5000),AF:AF*0.5,U:U&gt;=5000,AF:AF*1,U:U&lt;3000,0)</f>
        <v>0</v>
      </c>
      <c r="AH171" s="68">
        <f>_xlfn.IFS(AND(V:V&gt;=3000,V:V&lt;5000),AF:AF*0.5,V:V&gt;=5000,AF:AF*1,V:V&lt;3000,0)</f>
        <v>0</v>
      </c>
      <c r="AI171" s="68" t="str">
        <f>A:A&amp;D:D&amp;G:G&amp;$AF$1&amp;AF:AF&amp;"元，目前预收价值"&amp;U:U&amp;"，"&amp;$AG$1&amp;AG:AG&amp;"元，"&amp;$AH$1&amp;AH:AH&amp;"元"</f>
        <v>谢家集魏春生伙伴冲锋队缴费金额0元，目前预收价值0，预收拟返还0元，承保拟返还0元</v>
      </c>
      <c r="AJ171" s="68">
        <f>SUMIF(保单!R:R,E:E,保单!BE:BE)*IF(AF:AF&gt;1,1,0)</f>
        <v>0</v>
      </c>
      <c r="AK171" s="68">
        <f>SUMIFS(保单!BE:BE,保单!R:R,E:E,保单!BB:BB,"有效")*IF(AF:AF&gt;1,1,0)</f>
        <v>0</v>
      </c>
      <c r="AL171" s="72" t="str">
        <f>A:A&amp;D:D&amp;G:G&amp;"只要在1-10日承保全部保单，即可获得"&amp;$AJ$1&amp;AJ:AJ&amp;"个"</f>
        <v>谢家集魏春生伙伴只要在1-10日承保全部保单，即可获得冲锋队按摩仪0个</v>
      </c>
    </row>
    <row r="172" spans="1:38">
      <c r="A172" s="64" t="s">
        <v>27</v>
      </c>
      <c r="B172" s="64" t="s">
        <v>28</v>
      </c>
      <c r="C172" s="64" t="s">
        <v>29</v>
      </c>
      <c r="D172" s="64" t="s">
        <v>410</v>
      </c>
      <c r="E172" s="64">
        <v>6278827232</v>
      </c>
      <c r="F172" s="64" t="s">
        <v>174</v>
      </c>
      <c r="G172" s="64" t="str">
        <f>IF(OR(F:F="高级经理一级",F:F="业务经理一级"),"主管","伙伴")</f>
        <v>伙伴</v>
      </c>
      <c r="H172" s="65">
        <f>SUMIF(险种!E:E,E:E,险种!R:R)-SUMIFS(险种!R:R,险种!U:U,"终止",险种!E:E,E:E)</f>
        <v>0</v>
      </c>
      <c r="I172" s="65">
        <f>SUMIFS(险种!R:R,险种!U:U,"有效",险种!E:E,E:E)</f>
        <v>0</v>
      </c>
      <c r="J172" s="65">
        <f>ROUND(SUMIF(险种!E:E,E:E,险种!Q:Q)-SUMIFS(险种!Q:Q,险种!U:U,"终止",险种!E:E,E:E),1)</f>
        <v>0</v>
      </c>
      <c r="K172" s="68">
        <f>RANK(J172,J:J)</f>
        <v>22</v>
      </c>
      <c r="L172" s="65">
        <f>ROUND(SUMIFS(险种!Q:Q,险种!U:U,"有效",险种!E:E,E:E),1)</f>
        <v>0</v>
      </c>
      <c r="M172" s="68">
        <f>RANK(L172,L:L,)</f>
        <v>14</v>
      </c>
      <c r="N172" s="68">
        <f>SUMIF(险种!E:E,E:E,险种!W:W)</f>
        <v>0</v>
      </c>
      <c r="O172" s="68">
        <f>IF(N:N&gt;=1,1,0)</f>
        <v>0</v>
      </c>
      <c r="P172" s="65">
        <f>ROUND(SUMIFS(险种!Q:Q,险种!V:V,$P$1,险种!E:E,E:E),1)</f>
        <v>0</v>
      </c>
      <c r="Q172" s="68">
        <f>RANK(P172,$P:$P,0)-1</f>
        <v>5</v>
      </c>
      <c r="R172" s="68" t="str">
        <f>A:A&amp;D:D&amp;G:G&amp;"在"&amp;$P$1&amp;"预收"&amp;P:P&amp;"排名中支第"&amp;Q:Q&amp;"位"</f>
        <v>凤台梁栋伙伴在20210509预收0排名中支第5位</v>
      </c>
      <c r="S172" s="65">
        <f>ROUND(SUMIFS(险种!Q:Q,险种!E:E,E:E,险种!V:V,"&lt;=20210506")-SUMIFS(险种!Q:Q,险种!U:U,"终止",险种!E:E,E:E,险种!V:V,"&lt;=20210506"),1)</f>
        <v>0</v>
      </c>
      <c r="T172" s="65">
        <f>ROUND(SUMIFS(险种!Q:Q,险种!U:U,"有效",险种!E:E,E:E,险种!V:V,"&lt;=20210506"),1)</f>
        <v>0</v>
      </c>
      <c r="U172" s="65">
        <f>ROUND(SUMIFS(险种!Q:Q,险种!E:E,E:E,险种!V:V,"&lt;=20210510")-SUMIFS(险种!Q:Q,险种!U:U,"终止",险种!E:E,E:E,险种!V:V,"&lt;=20210510"),1)</f>
        <v>0</v>
      </c>
      <c r="V172" s="65">
        <f>ROUND(SUMIFS(险种!Q:Q,险种!U:U,"有效",险种!E:E,E:E,险种!V:V,"&lt;=20210510"),1)</f>
        <v>0</v>
      </c>
      <c r="W172" s="65">
        <f t="shared" si="2"/>
        <v>0</v>
      </c>
      <c r="X172" s="68">
        <f>SUMIF(险种!E:E,E:E,险种!Y:Y)</f>
        <v>0</v>
      </c>
      <c r="Y172" s="65">
        <f>MAX(_xlfn.IFS(OR(X:X=1,X:X=2),J:J*0.1,X:X&gt;=3,J:J*0.2,X:X=0,0),IF(J:J&gt;=20000,J:J*0.2,0))</f>
        <v>0</v>
      </c>
      <c r="Z172" s="65" t="str">
        <f>A172&amp;D172&amp;G172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凤台梁栋伙伴5.1-5.10预收价值保费0，首周预收3000P件数0件，预收拟加佣0元。温馨提示，保单需10日（含）前承保，目前还有0价值保费未承保,开单一件即可获得10%加佣</v>
      </c>
      <c r="AA172" s="68">
        <f>SUMIF(险种!E:E,E:E,险种!Z:Z)</f>
        <v>0</v>
      </c>
      <c r="AB172" s="65"/>
      <c r="AC172" s="68">
        <f>SUMIF(险种!E:E,E:E,险种!AA:AA)</f>
        <v>0</v>
      </c>
      <c r="AD172" s="68">
        <f>SUMIFS(险种!AA:AA,险种!U:U,"有效",险种!E:E,E:E)</f>
        <v>0</v>
      </c>
      <c r="AE172" s="68" t="str">
        <f>A172&amp;D172&amp;G172&amp;"目前获得"&amp;$AC$1&amp;AC:AC&amp;"名，获得"&amp;$AD$1&amp;AD:AD&amp;"名"</f>
        <v>凤台梁栋伙伴目前获得龙虾节预收名额0名，获得龙虾节承保名额0名</v>
      </c>
      <c r="AF172" s="68">
        <f>SUMIF(认购返还案!D:D,E:E,认购返还案!E:E)</f>
        <v>0</v>
      </c>
      <c r="AG172" s="68">
        <f>_xlfn.IFS(AND(U:U&gt;=3000,U:U&lt;5000),AF:AF*0.5,U:U&gt;=5000,AF:AF*1,U:U&lt;3000,0)</f>
        <v>0</v>
      </c>
      <c r="AH172" s="68">
        <f>_xlfn.IFS(AND(V:V&gt;=3000,V:V&lt;5000),AF:AF*0.5,V:V&gt;=5000,AF:AF*1,V:V&lt;3000,0)</f>
        <v>0</v>
      </c>
      <c r="AI172" s="68" t="str">
        <f>A:A&amp;D:D&amp;G:G&amp;$AF$1&amp;AF:AF&amp;"元，目前预收价值"&amp;U:U&amp;"，"&amp;$AG$1&amp;AG:AG&amp;"元，"&amp;$AH$1&amp;AH:AH&amp;"元"</f>
        <v>凤台梁栋伙伴冲锋队缴费金额0元，目前预收价值0，预收拟返还0元，承保拟返还0元</v>
      </c>
      <c r="AJ172" s="68">
        <f>SUMIF(保单!R:R,E:E,保单!BE:BE)*IF(AF:AF&gt;1,1,0)</f>
        <v>0</v>
      </c>
      <c r="AK172" s="68">
        <f>SUMIFS(保单!BE:BE,保单!R:R,E:E,保单!BB:BB,"有效")*IF(AF:AF&gt;1,1,0)</f>
        <v>0</v>
      </c>
      <c r="AL172" s="72" t="str">
        <f>A:A&amp;D:D&amp;G:G&amp;"只要在1-10日承保全部保单，即可获得"&amp;$AJ$1&amp;AJ:AJ&amp;"个"</f>
        <v>凤台梁栋伙伴只要在1-10日承保全部保单，即可获得冲锋队按摩仪0个</v>
      </c>
    </row>
    <row r="173" spans="1:38">
      <c r="A173" s="64" t="s">
        <v>27</v>
      </c>
      <c r="B173" s="64" t="s">
        <v>28</v>
      </c>
      <c r="C173" s="64" t="s">
        <v>29</v>
      </c>
      <c r="D173" s="64" t="s">
        <v>411</v>
      </c>
      <c r="E173" s="64">
        <v>6273949122</v>
      </c>
      <c r="F173" s="64" t="s">
        <v>158</v>
      </c>
      <c r="G173" s="64" t="str">
        <f>IF(OR(F:F="高级经理一级",F:F="业务经理一级"),"主管","伙伴")</f>
        <v>伙伴</v>
      </c>
      <c r="H173" s="65">
        <f>SUMIF(险种!E:E,E:E,险种!R:R)-SUMIFS(险种!R:R,险种!U:U,"终止",险种!E:E,E:E)</f>
        <v>0</v>
      </c>
      <c r="I173" s="65">
        <f>SUMIFS(险种!R:R,险种!U:U,"有效",险种!E:E,E:E)</f>
        <v>0</v>
      </c>
      <c r="J173" s="65">
        <f>ROUND(SUMIF(险种!E:E,E:E,险种!Q:Q)-SUMIFS(险种!Q:Q,险种!U:U,"终止",险种!E:E,E:E),1)</f>
        <v>0</v>
      </c>
      <c r="K173" s="68">
        <f>RANK(J173,J:J)</f>
        <v>22</v>
      </c>
      <c r="L173" s="65">
        <f>ROUND(SUMIFS(险种!Q:Q,险种!U:U,"有效",险种!E:E,E:E),1)</f>
        <v>0</v>
      </c>
      <c r="M173" s="68">
        <f>RANK(L173,L:L,)</f>
        <v>14</v>
      </c>
      <c r="N173" s="68">
        <f>SUMIF(险种!E:E,E:E,险种!W:W)</f>
        <v>0</v>
      </c>
      <c r="O173" s="68">
        <f>IF(N:N&gt;=1,1,0)</f>
        <v>0</v>
      </c>
      <c r="P173" s="65">
        <f>ROUND(SUMIFS(险种!Q:Q,险种!V:V,$P$1,险种!E:E,E:E),1)</f>
        <v>0</v>
      </c>
      <c r="Q173" s="68">
        <f>RANK(P173,$P:$P,0)-1</f>
        <v>5</v>
      </c>
      <c r="R173" s="68" t="str">
        <f>A:A&amp;D:D&amp;G:G&amp;"在"&amp;$P$1&amp;"预收"&amp;P:P&amp;"排名中支第"&amp;Q:Q&amp;"位"</f>
        <v>凤台荣向芹伙伴在20210509预收0排名中支第5位</v>
      </c>
      <c r="S173" s="65">
        <f>ROUND(SUMIFS(险种!Q:Q,险种!E:E,E:E,险种!V:V,"&lt;=20210506")-SUMIFS(险种!Q:Q,险种!U:U,"终止",险种!E:E,E:E,险种!V:V,"&lt;=20210506"),1)</f>
        <v>0</v>
      </c>
      <c r="T173" s="65">
        <f>ROUND(SUMIFS(险种!Q:Q,险种!U:U,"有效",险种!E:E,E:E,险种!V:V,"&lt;=20210506"),1)</f>
        <v>0</v>
      </c>
      <c r="U173" s="65">
        <f>ROUND(SUMIFS(险种!Q:Q,险种!E:E,E:E,险种!V:V,"&lt;=20210510")-SUMIFS(险种!Q:Q,险种!U:U,"终止",险种!E:E,E:E,险种!V:V,"&lt;=20210510"),1)</f>
        <v>0</v>
      </c>
      <c r="V173" s="65">
        <f>ROUND(SUMIFS(险种!Q:Q,险种!U:U,"有效",险种!E:E,E:E,险种!V:V,"&lt;=20210510"),1)</f>
        <v>0</v>
      </c>
      <c r="W173" s="65">
        <f t="shared" si="2"/>
        <v>0</v>
      </c>
      <c r="X173" s="68">
        <f>SUMIF(险种!E:E,E:E,险种!Y:Y)</f>
        <v>0</v>
      </c>
      <c r="Y173" s="65">
        <f>MAX(_xlfn.IFS(OR(X:X=1,X:X=2),J:J*0.1,X:X&gt;=3,J:J*0.2,X:X=0,0),IF(J:J&gt;=20000,J:J*0.2,0))</f>
        <v>0</v>
      </c>
      <c r="Z173" s="65" t="str">
        <f>A173&amp;D173&amp;G173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凤台荣向芹伙伴5.1-5.10预收价值保费0，首周预收3000P件数0件，预收拟加佣0元。温馨提示，保单需10日（含）前承保，目前还有0价值保费未承保,开单一件即可获得10%加佣</v>
      </c>
      <c r="AA173" s="68">
        <f>SUMIF(险种!E:E,E:E,险种!Z:Z)</f>
        <v>0</v>
      </c>
      <c r="AB173" s="65"/>
      <c r="AC173" s="68">
        <f>SUMIF(险种!E:E,E:E,险种!AA:AA)</f>
        <v>0</v>
      </c>
      <c r="AD173" s="68">
        <f>SUMIFS(险种!AA:AA,险种!U:U,"有效",险种!E:E,E:E)</f>
        <v>0</v>
      </c>
      <c r="AE173" s="68" t="str">
        <f>A173&amp;D173&amp;G173&amp;"目前获得"&amp;$AC$1&amp;AC:AC&amp;"名，获得"&amp;$AD$1&amp;AD:AD&amp;"名"</f>
        <v>凤台荣向芹伙伴目前获得龙虾节预收名额0名，获得龙虾节承保名额0名</v>
      </c>
      <c r="AF173" s="68">
        <f>SUMIF(认购返还案!D:D,E:E,认购返还案!E:E)</f>
        <v>0</v>
      </c>
      <c r="AG173" s="68">
        <f>_xlfn.IFS(AND(U:U&gt;=3000,U:U&lt;5000),AF:AF*0.5,U:U&gt;=5000,AF:AF*1,U:U&lt;3000,0)</f>
        <v>0</v>
      </c>
      <c r="AH173" s="68">
        <f>_xlfn.IFS(AND(V:V&gt;=3000,V:V&lt;5000),AF:AF*0.5,V:V&gt;=5000,AF:AF*1,V:V&lt;3000,0)</f>
        <v>0</v>
      </c>
      <c r="AI173" s="68" t="str">
        <f>A:A&amp;D:D&amp;G:G&amp;$AF$1&amp;AF:AF&amp;"元，目前预收价值"&amp;U:U&amp;"，"&amp;$AG$1&amp;AG:AG&amp;"元，"&amp;$AH$1&amp;AH:AH&amp;"元"</f>
        <v>凤台荣向芹伙伴冲锋队缴费金额0元，目前预收价值0，预收拟返还0元，承保拟返还0元</v>
      </c>
      <c r="AJ173" s="68">
        <f>SUMIF(保单!R:R,E:E,保单!BE:BE)*IF(AF:AF&gt;1,1,0)</f>
        <v>0</v>
      </c>
      <c r="AK173" s="68">
        <f>SUMIFS(保单!BE:BE,保单!R:R,E:E,保单!BB:BB,"有效")*IF(AF:AF&gt;1,1,0)</f>
        <v>0</v>
      </c>
      <c r="AL173" s="72" t="str">
        <f>A:A&amp;D:D&amp;G:G&amp;"只要在1-10日承保全部保单，即可获得"&amp;$AJ$1&amp;AJ:AJ&amp;"个"</f>
        <v>凤台荣向芹伙伴只要在1-10日承保全部保单，即可获得冲锋队按摩仪0个</v>
      </c>
    </row>
    <row r="174" spans="1:38">
      <c r="A174" s="64" t="s">
        <v>48</v>
      </c>
      <c r="B174" s="64" t="s">
        <v>49</v>
      </c>
      <c r="C174" s="64" t="s">
        <v>82</v>
      </c>
      <c r="D174" s="64" t="s">
        <v>412</v>
      </c>
      <c r="E174" s="64">
        <v>6274418752</v>
      </c>
      <c r="F174" s="64" t="s">
        <v>174</v>
      </c>
      <c r="G174" s="64" t="str">
        <f>IF(OR(F:F="高级经理一级",F:F="业务经理一级"),"主管","伙伴")</f>
        <v>伙伴</v>
      </c>
      <c r="H174" s="65">
        <f>SUMIF(险种!E:E,E:E,险种!R:R)-SUMIFS(险种!R:R,险种!U:U,"终止",险种!E:E,E:E)</f>
        <v>0</v>
      </c>
      <c r="I174" s="65">
        <f>SUMIFS(险种!R:R,险种!U:U,"有效",险种!E:E,E:E)</f>
        <v>0</v>
      </c>
      <c r="J174" s="65">
        <f>ROUND(SUMIF(险种!E:E,E:E,险种!Q:Q)-SUMIFS(险种!Q:Q,险种!U:U,"终止",险种!E:E,E:E),1)</f>
        <v>0</v>
      </c>
      <c r="K174" s="68">
        <f>RANK(J174,J:J)</f>
        <v>22</v>
      </c>
      <c r="L174" s="65">
        <f>ROUND(SUMIFS(险种!Q:Q,险种!U:U,"有效",险种!E:E,E:E),1)</f>
        <v>0</v>
      </c>
      <c r="M174" s="68">
        <f>RANK(L174,L:L,)</f>
        <v>14</v>
      </c>
      <c r="N174" s="68">
        <f>SUMIF(险种!E:E,E:E,险种!W:W)</f>
        <v>0</v>
      </c>
      <c r="O174" s="68">
        <f>IF(N:N&gt;=1,1,0)</f>
        <v>0</v>
      </c>
      <c r="P174" s="65">
        <f>ROUND(SUMIFS(险种!Q:Q,险种!V:V,$P$1,险种!E:E,E:E),1)</f>
        <v>0</v>
      </c>
      <c r="Q174" s="68">
        <f>RANK(P174,$P:$P,0)-1</f>
        <v>5</v>
      </c>
      <c r="R174" s="68" t="str">
        <f>A:A&amp;D:D&amp;G:G&amp;"在"&amp;$P$1&amp;"预收"&amp;P:P&amp;"排名中支第"&amp;Q:Q&amp;"位"</f>
        <v>谢家集孙传宏伙伴在20210509预收0排名中支第5位</v>
      </c>
      <c r="S174" s="65">
        <f>ROUND(SUMIFS(险种!Q:Q,险种!E:E,E:E,险种!V:V,"&lt;=20210506")-SUMIFS(险种!Q:Q,险种!U:U,"终止",险种!E:E,E:E,险种!V:V,"&lt;=20210506"),1)</f>
        <v>0</v>
      </c>
      <c r="T174" s="65">
        <f>ROUND(SUMIFS(险种!Q:Q,险种!U:U,"有效",险种!E:E,E:E,险种!V:V,"&lt;=20210506"),1)</f>
        <v>0</v>
      </c>
      <c r="U174" s="65">
        <f>ROUND(SUMIFS(险种!Q:Q,险种!E:E,E:E,险种!V:V,"&lt;=20210510")-SUMIFS(险种!Q:Q,险种!U:U,"终止",险种!E:E,E:E,险种!V:V,"&lt;=20210510"),1)</f>
        <v>0</v>
      </c>
      <c r="V174" s="65">
        <f>ROUND(SUMIFS(险种!Q:Q,险种!U:U,"有效",险种!E:E,E:E,险种!V:V,"&lt;=20210510"),1)</f>
        <v>0</v>
      </c>
      <c r="W174" s="65">
        <f t="shared" si="2"/>
        <v>0</v>
      </c>
      <c r="X174" s="68">
        <f>SUMIF(险种!E:E,E:E,险种!Y:Y)</f>
        <v>0</v>
      </c>
      <c r="Y174" s="65">
        <f>MAX(_xlfn.IFS(OR(X:X=1,X:X=2),J:J*0.1,X:X&gt;=3,J:J*0.2,X:X=0,0),IF(J:J&gt;=20000,J:J*0.2,0))</f>
        <v>0</v>
      </c>
      <c r="Z174" s="65" t="str">
        <f>A174&amp;D174&amp;G174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谢家集孙传宏伙伴5.1-5.10预收价值保费0，首周预收3000P件数0件，预收拟加佣0元。温馨提示，保单需10日（含）前承保，目前还有0价值保费未承保,开单一件即可获得10%加佣</v>
      </c>
      <c r="AA174" s="68">
        <f>SUMIF(险种!E:E,E:E,险种!Z:Z)</f>
        <v>0</v>
      </c>
      <c r="AB174" s="65"/>
      <c r="AC174" s="68">
        <f>SUMIF(险种!E:E,E:E,险种!AA:AA)</f>
        <v>0</v>
      </c>
      <c r="AD174" s="68">
        <f>SUMIFS(险种!AA:AA,险种!U:U,"有效",险种!E:E,E:E)</f>
        <v>0</v>
      </c>
      <c r="AE174" s="68" t="str">
        <f>A174&amp;D174&amp;G174&amp;"目前获得"&amp;$AC$1&amp;AC:AC&amp;"名，获得"&amp;$AD$1&amp;AD:AD&amp;"名"</f>
        <v>谢家集孙传宏伙伴目前获得龙虾节预收名额0名，获得龙虾节承保名额0名</v>
      </c>
      <c r="AF174" s="68">
        <f>SUMIF(认购返还案!D:D,E:E,认购返还案!E:E)</f>
        <v>0</v>
      </c>
      <c r="AG174" s="68">
        <f>_xlfn.IFS(AND(U:U&gt;=3000,U:U&lt;5000),AF:AF*0.5,U:U&gt;=5000,AF:AF*1,U:U&lt;3000,0)</f>
        <v>0</v>
      </c>
      <c r="AH174" s="68">
        <f>_xlfn.IFS(AND(V:V&gt;=3000,V:V&lt;5000),AF:AF*0.5,V:V&gt;=5000,AF:AF*1,V:V&lt;3000,0)</f>
        <v>0</v>
      </c>
      <c r="AI174" s="68" t="str">
        <f>A:A&amp;D:D&amp;G:G&amp;$AF$1&amp;AF:AF&amp;"元，目前预收价值"&amp;U:U&amp;"，"&amp;$AG$1&amp;AG:AG&amp;"元，"&amp;$AH$1&amp;AH:AH&amp;"元"</f>
        <v>谢家集孙传宏伙伴冲锋队缴费金额0元，目前预收价值0，预收拟返还0元，承保拟返还0元</v>
      </c>
      <c r="AJ174" s="68">
        <f>SUMIF(保单!R:R,E:E,保单!BE:BE)*IF(AF:AF&gt;1,1,0)</f>
        <v>0</v>
      </c>
      <c r="AK174" s="68">
        <f>SUMIFS(保单!BE:BE,保单!R:R,E:E,保单!BB:BB,"有效")*IF(AF:AF&gt;1,1,0)</f>
        <v>0</v>
      </c>
      <c r="AL174" s="72" t="str">
        <f>A:A&amp;D:D&amp;G:G&amp;"只要在1-10日承保全部保单，即可获得"&amp;$AJ$1&amp;AJ:AJ&amp;"个"</f>
        <v>谢家集孙传宏伙伴只要在1-10日承保全部保单，即可获得冲锋队按摩仪0个</v>
      </c>
    </row>
    <row r="175" spans="1:38">
      <c r="A175" s="64" t="s">
        <v>48</v>
      </c>
      <c r="B175" s="64" t="s">
        <v>49</v>
      </c>
      <c r="C175" s="64" t="s">
        <v>50</v>
      </c>
      <c r="D175" s="64" t="s">
        <v>413</v>
      </c>
      <c r="E175" s="64">
        <v>6272495022</v>
      </c>
      <c r="F175" s="64" t="s">
        <v>174</v>
      </c>
      <c r="G175" s="64" t="str">
        <f>IF(OR(F:F="高级经理一级",F:F="业务经理一级"),"主管","伙伴")</f>
        <v>伙伴</v>
      </c>
      <c r="H175" s="65">
        <f>SUMIF(险种!E:E,E:E,险种!R:R)-SUMIFS(险种!R:R,险种!U:U,"终止",险种!E:E,E:E)</f>
        <v>0</v>
      </c>
      <c r="I175" s="65">
        <f>SUMIFS(险种!R:R,险种!U:U,"有效",险种!E:E,E:E)</f>
        <v>0</v>
      </c>
      <c r="J175" s="65">
        <f>ROUND(SUMIF(险种!E:E,E:E,险种!Q:Q)-SUMIFS(险种!Q:Q,险种!U:U,"终止",险种!E:E,E:E),1)</f>
        <v>0</v>
      </c>
      <c r="K175" s="68">
        <f>RANK(J175,J:J)</f>
        <v>22</v>
      </c>
      <c r="L175" s="65">
        <f>ROUND(SUMIFS(险种!Q:Q,险种!U:U,"有效",险种!E:E,E:E),1)</f>
        <v>0</v>
      </c>
      <c r="M175" s="68">
        <f>RANK(L175,L:L,)</f>
        <v>14</v>
      </c>
      <c r="N175" s="68">
        <f>SUMIF(险种!E:E,E:E,险种!W:W)</f>
        <v>0</v>
      </c>
      <c r="O175" s="68">
        <f>IF(N:N&gt;=1,1,0)</f>
        <v>0</v>
      </c>
      <c r="P175" s="65">
        <f>ROUND(SUMIFS(险种!Q:Q,险种!V:V,$P$1,险种!E:E,E:E),1)</f>
        <v>0</v>
      </c>
      <c r="Q175" s="68">
        <f>RANK(P175,$P:$P,0)-1</f>
        <v>5</v>
      </c>
      <c r="R175" s="68" t="str">
        <f>A:A&amp;D:D&amp;G:G&amp;"在"&amp;$P$1&amp;"预收"&amp;P:P&amp;"排名中支第"&amp;Q:Q&amp;"位"</f>
        <v>谢家集陈凯伙伴在20210509预收0排名中支第5位</v>
      </c>
      <c r="S175" s="65">
        <f>ROUND(SUMIFS(险种!Q:Q,险种!E:E,E:E,险种!V:V,"&lt;=20210506")-SUMIFS(险种!Q:Q,险种!U:U,"终止",险种!E:E,E:E,险种!V:V,"&lt;=20210506"),1)</f>
        <v>0</v>
      </c>
      <c r="T175" s="65">
        <f>ROUND(SUMIFS(险种!Q:Q,险种!U:U,"有效",险种!E:E,E:E,险种!V:V,"&lt;=20210506"),1)</f>
        <v>0</v>
      </c>
      <c r="U175" s="65">
        <f>ROUND(SUMIFS(险种!Q:Q,险种!E:E,E:E,险种!V:V,"&lt;=20210510")-SUMIFS(险种!Q:Q,险种!U:U,"终止",险种!E:E,E:E,险种!V:V,"&lt;=20210510"),1)</f>
        <v>0</v>
      </c>
      <c r="V175" s="65">
        <f>ROUND(SUMIFS(险种!Q:Q,险种!U:U,"有效",险种!E:E,E:E,险种!V:V,"&lt;=20210510"),1)</f>
        <v>0</v>
      </c>
      <c r="W175" s="65">
        <f t="shared" si="2"/>
        <v>0</v>
      </c>
      <c r="X175" s="68">
        <f>SUMIF(险种!E:E,E:E,险种!Y:Y)</f>
        <v>0</v>
      </c>
      <c r="Y175" s="65">
        <f>MAX(_xlfn.IFS(OR(X:X=1,X:X=2),J:J*0.1,X:X&gt;=3,J:J*0.2,X:X=0,0),IF(J:J&gt;=20000,J:J*0.2,0))</f>
        <v>0</v>
      </c>
      <c r="Z175" s="65" t="str">
        <f>A175&amp;D175&amp;G175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谢家集陈凯伙伴5.1-5.10预收价值保费0，首周预收3000P件数0件，预收拟加佣0元。温馨提示，保单需10日（含）前承保，目前还有0价值保费未承保,开单一件即可获得10%加佣</v>
      </c>
      <c r="AA175" s="68">
        <f>SUMIF(险种!E:E,E:E,险种!Z:Z)</f>
        <v>0</v>
      </c>
      <c r="AB175" s="65"/>
      <c r="AC175" s="68">
        <f>SUMIF(险种!E:E,E:E,险种!AA:AA)</f>
        <v>0</v>
      </c>
      <c r="AD175" s="68">
        <f>SUMIFS(险种!AA:AA,险种!U:U,"有效",险种!E:E,E:E)</f>
        <v>0</v>
      </c>
      <c r="AE175" s="68" t="str">
        <f>A175&amp;D175&amp;G175&amp;"目前获得"&amp;$AC$1&amp;AC:AC&amp;"名，获得"&amp;$AD$1&amp;AD:AD&amp;"名"</f>
        <v>谢家集陈凯伙伴目前获得龙虾节预收名额0名，获得龙虾节承保名额0名</v>
      </c>
      <c r="AF175" s="68">
        <f>SUMIF(认购返还案!D:D,E:E,认购返还案!E:E)</f>
        <v>0</v>
      </c>
      <c r="AG175" s="68">
        <f>_xlfn.IFS(AND(U:U&gt;=3000,U:U&lt;5000),AF:AF*0.5,U:U&gt;=5000,AF:AF*1,U:U&lt;3000,0)</f>
        <v>0</v>
      </c>
      <c r="AH175" s="68">
        <f>_xlfn.IFS(AND(V:V&gt;=3000,V:V&lt;5000),AF:AF*0.5,V:V&gt;=5000,AF:AF*1,V:V&lt;3000,0)</f>
        <v>0</v>
      </c>
      <c r="AI175" s="68" t="str">
        <f>A:A&amp;D:D&amp;G:G&amp;$AF$1&amp;AF:AF&amp;"元，目前预收价值"&amp;U:U&amp;"，"&amp;$AG$1&amp;AG:AG&amp;"元，"&amp;$AH$1&amp;AH:AH&amp;"元"</f>
        <v>谢家集陈凯伙伴冲锋队缴费金额0元，目前预收价值0，预收拟返还0元，承保拟返还0元</v>
      </c>
      <c r="AJ175" s="68">
        <f>SUMIF(保单!R:R,E:E,保单!BE:BE)*IF(AF:AF&gt;1,1,0)</f>
        <v>0</v>
      </c>
      <c r="AK175" s="68">
        <f>SUMIFS(保单!BE:BE,保单!R:R,E:E,保单!BB:BB,"有效")*IF(AF:AF&gt;1,1,0)</f>
        <v>0</v>
      </c>
      <c r="AL175" s="72" t="str">
        <f>A:A&amp;D:D&amp;G:G&amp;"只要在1-10日承保全部保单，即可获得"&amp;$AJ$1&amp;AJ:AJ&amp;"个"</f>
        <v>谢家集陈凯伙伴只要在1-10日承保全部保单，即可获得冲锋队按摩仪0个</v>
      </c>
    </row>
    <row r="176" spans="1:38">
      <c r="A176" s="64" t="s">
        <v>27</v>
      </c>
      <c r="B176" s="64" t="s">
        <v>28</v>
      </c>
      <c r="C176" s="64" t="s">
        <v>29</v>
      </c>
      <c r="D176" s="64" t="s">
        <v>414</v>
      </c>
      <c r="E176" s="64">
        <v>6271123452</v>
      </c>
      <c r="F176" s="64" t="s">
        <v>174</v>
      </c>
      <c r="G176" s="64" t="str">
        <f>IF(OR(F:F="高级经理一级",F:F="业务经理一级"),"主管","伙伴")</f>
        <v>伙伴</v>
      </c>
      <c r="H176" s="65">
        <f>SUMIF(险种!E:E,E:E,险种!R:R)-SUMIFS(险种!R:R,险种!U:U,"终止",险种!E:E,E:E)</f>
        <v>0</v>
      </c>
      <c r="I176" s="65">
        <f>SUMIFS(险种!R:R,险种!U:U,"有效",险种!E:E,E:E)</f>
        <v>0</v>
      </c>
      <c r="J176" s="65">
        <f>ROUND(SUMIF(险种!E:E,E:E,险种!Q:Q)-SUMIFS(险种!Q:Q,险种!U:U,"终止",险种!E:E,E:E),1)</f>
        <v>0</v>
      </c>
      <c r="K176" s="68">
        <f>RANK(J176,J:J)</f>
        <v>22</v>
      </c>
      <c r="L176" s="65">
        <f>ROUND(SUMIFS(险种!Q:Q,险种!U:U,"有效",险种!E:E,E:E),1)</f>
        <v>0</v>
      </c>
      <c r="M176" s="68">
        <f>RANK(L176,L:L,)</f>
        <v>14</v>
      </c>
      <c r="N176" s="68">
        <f>SUMIF(险种!E:E,E:E,险种!W:W)</f>
        <v>0</v>
      </c>
      <c r="O176" s="68">
        <f>IF(N:N&gt;=1,1,0)</f>
        <v>0</v>
      </c>
      <c r="P176" s="65">
        <f>ROUND(SUMIFS(险种!Q:Q,险种!V:V,$P$1,险种!E:E,E:E),1)</f>
        <v>0</v>
      </c>
      <c r="Q176" s="68">
        <f>RANK(P176,$P:$P,0)-1</f>
        <v>5</v>
      </c>
      <c r="R176" s="68" t="str">
        <f>A:A&amp;D:D&amp;G:G&amp;"在"&amp;$P$1&amp;"预收"&amp;P:P&amp;"排名中支第"&amp;Q:Q&amp;"位"</f>
        <v>凤台金家好伙伴在20210509预收0排名中支第5位</v>
      </c>
      <c r="S176" s="65">
        <f>ROUND(SUMIFS(险种!Q:Q,险种!E:E,E:E,险种!V:V,"&lt;=20210506")-SUMIFS(险种!Q:Q,险种!U:U,"终止",险种!E:E,E:E,险种!V:V,"&lt;=20210506"),1)</f>
        <v>0</v>
      </c>
      <c r="T176" s="65">
        <f>ROUND(SUMIFS(险种!Q:Q,险种!U:U,"有效",险种!E:E,E:E,险种!V:V,"&lt;=20210506"),1)</f>
        <v>0</v>
      </c>
      <c r="U176" s="65">
        <f>ROUND(SUMIFS(险种!Q:Q,险种!E:E,E:E,险种!V:V,"&lt;=20210510")-SUMIFS(险种!Q:Q,险种!U:U,"终止",险种!E:E,E:E,险种!V:V,"&lt;=20210510"),1)</f>
        <v>0</v>
      </c>
      <c r="V176" s="65">
        <f>ROUND(SUMIFS(险种!Q:Q,险种!U:U,"有效",险种!E:E,E:E,险种!V:V,"&lt;=20210510"),1)</f>
        <v>0</v>
      </c>
      <c r="W176" s="65">
        <f t="shared" si="2"/>
        <v>0</v>
      </c>
      <c r="X176" s="68">
        <f>SUMIF(险种!E:E,E:E,险种!Y:Y)</f>
        <v>0</v>
      </c>
      <c r="Y176" s="65">
        <f>MAX(_xlfn.IFS(OR(X:X=1,X:X=2),J:J*0.1,X:X&gt;=3,J:J*0.2,X:X=0,0),IF(J:J&gt;=20000,J:J*0.2,0))</f>
        <v>0</v>
      </c>
      <c r="Z176" s="65" t="str">
        <f>A176&amp;D176&amp;G176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凤台金家好伙伴5.1-5.10预收价值保费0，首周预收3000P件数0件，预收拟加佣0元。温馨提示，保单需10日（含）前承保，目前还有0价值保费未承保,开单一件即可获得10%加佣</v>
      </c>
      <c r="AA176" s="68">
        <f>SUMIF(险种!E:E,E:E,险种!Z:Z)</f>
        <v>0</v>
      </c>
      <c r="AB176" s="65"/>
      <c r="AC176" s="68">
        <f>SUMIF(险种!E:E,E:E,险种!AA:AA)</f>
        <v>0</v>
      </c>
      <c r="AD176" s="68">
        <f>SUMIFS(险种!AA:AA,险种!U:U,"有效",险种!E:E,E:E)</f>
        <v>0</v>
      </c>
      <c r="AE176" s="68" t="str">
        <f>A176&amp;D176&amp;G176&amp;"目前获得"&amp;$AC$1&amp;AC:AC&amp;"名，获得"&amp;$AD$1&amp;AD:AD&amp;"名"</f>
        <v>凤台金家好伙伴目前获得龙虾节预收名额0名，获得龙虾节承保名额0名</v>
      </c>
      <c r="AF176" s="68">
        <f>SUMIF(认购返还案!D:D,E:E,认购返还案!E:E)</f>
        <v>0</v>
      </c>
      <c r="AG176" s="68">
        <f>_xlfn.IFS(AND(U:U&gt;=3000,U:U&lt;5000),AF:AF*0.5,U:U&gt;=5000,AF:AF*1,U:U&lt;3000,0)</f>
        <v>0</v>
      </c>
      <c r="AH176" s="68">
        <f>_xlfn.IFS(AND(V:V&gt;=3000,V:V&lt;5000),AF:AF*0.5,V:V&gt;=5000,AF:AF*1,V:V&lt;3000,0)</f>
        <v>0</v>
      </c>
      <c r="AI176" s="68" t="str">
        <f>A:A&amp;D:D&amp;G:G&amp;$AF$1&amp;AF:AF&amp;"元，目前预收价值"&amp;U:U&amp;"，"&amp;$AG$1&amp;AG:AG&amp;"元，"&amp;$AH$1&amp;AH:AH&amp;"元"</f>
        <v>凤台金家好伙伴冲锋队缴费金额0元，目前预收价值0，预收拟返还0元，承保拟返还0元</v>
      </c>
      <c r="AJ176" s="68">
        <f>SUMIF(保单!R:R,E:E,保单!BE:BE)*IF(AF:AF&gt;1,1,0)</f>
        <v>0</v>
      </c>
      <c r="AK176" s="68">
        <f>SUMIFS(保单!BE:BE,保单!R:R,E:E,保单!BB:BB,"有效")*IF(AF:AF&gt;1,1,0)</f>
        <v>0</v>
      </c>
      <c r="AL176" s="72" t="str">
        <f>A:A&amp;D:D&amp;G:G&amp;"只要在1-10日承保全部保单，即可获得"&amp;$AJ$1&amp;AJ:AJ&amp;"个"</f>
        <v>凤台金家好伙伴只要在1-10日承保全部保单，即可获得冲锋队按摩仪0个</v>
      </c>
    </row>
    <row r="177" spans="1:38">
      <c r="A177" s="64" t="s">
        <v>42</v>
      </c>
      <c r="B177" s="64" t="s">
        <v>43</v>
      </c>
      <c r="C177" s="64" t="s">
        <v>75</v>
      </c>
      <c r="D177" s="64" t="s">
        <v>415</v>
      </c>
      <c r="E177" s="64">
        <v>6270653892</v>
      </c>
      <c r="F177" s="64" t="s">
        <v>168</v>
      </c>
      <c r="G177" s="64" t="str">
        <f>IF(OR(F:F="高级经理一级",F:F="业务经理一级"),"主管","伙伴")</f>
        <v>伙伴</v>
      </c>
      <c r="H177" s="65">
        <f>SUMIF(险种!E:E,E:E,险种!R:R)-SUMIFS(险种!R:R,险种!U:U,"终止",险种!E:E,E:E)</f>
        <v>0</v>
      </c>
      <c r="I177" s="65">
        <f>SUMIFS(险种!R:R,险种!U:U,"有效",险种!E:E,E:E)</f>
        <v>0</v>
      </c>
      <c r="J177" s="65">
        <f>ROUND(SUMIF(险种!E:E,E:E,险种!Q:Q)-SUMIFS(险种!Q:Q,险种!U:U,"终止",险种!E:E,E:E),1)</f>
        <v>0</v>
      </c>
      <c r="K177" s="68">
        <f>RANK(J177,J:J)</f>
        <v>22</v>
      </c>
      <c r="L177" s="65">
        <f>ROUND(SUMIFS(险种!Q:Q,险种!U:U,"有效",险种!E:E,E:E),1)</f>
        <v>0</v>
      </c>
      <c r="M177" s="68">
        <f>RANK(L177,L:L,)</f>
        <v>14</v>
      </c>
      <c r="N177" s="68">
        <f>SUMIF(险种!E:E,E:E,险种!W:W)</f>
        <v>0</v>
      </c>
      <c r="O177" s="68">
        <f>IF(N:N&gt;=1,1,0)</f>
        <v>0</v>
      </c>
      <c r="P177" s="65">
        <f>ROUND(SUMIFS(险种!Q:Q,险种!V:V,$P$1,险种!E:E,E:E),1)</f>
        <v>0</v>
      </c>
      <c r="Q177" s="68">
        <f>RANK(P177,$P:$P,0)-1</f>
        <v>5</v>
      </c>
      <c r="R177" s="68" t="str">
        <f>A:A&amp;D:D&amp;G:G&amp;"在"&amp;$P$1&amp;"预收"&amp;P:P&amp;"排名中支第"&amp;Q:Q&amp;"位"</f>
        <v>淮南本部吴程程伙伴在20210509预收0排名中支第5位</v>
      </c>
      <c r="S177" s="65">
        <f>ROUND(SUMIFS(险种!Q:Q,险种!E:E,E:E,险种!V:V,"&lt;=20210506")-SUMIFS(险种!Q:Q,险种!U:U,"终止",险种!E:E,E:E,险种!V:V,"&lt;=20210506"),1)</f>
        <v>0</v>
      </c>
      <c r="T177" s="65">
        <f>ROUND(SUMIFS(险种!Q:Q,险种!U:U,"有效",险种!E:E,E:E,险种!V:V,"&lt;=20210506"),1)</f>
        <v>0</v>
      </c>
      <c r="U177" s="65">
        <f>ROUND(SUMIFS(险种!Q:Q,险种!E:E,E:E,险种!V:V,"&lt;=20210510")-SUMIFS(险种!Q:Q,险种!U:U,"终止",险种!E:E,E:E,险种!V:V,"&lt;=20210510"),1)</f>
        <v>0</v>
      </c>
      <c r="V177" s="65">
        <f>ROUND(SUMIFS(险种!Q:Q,险种!U:U,"有效",险种!E:E,E:E,险种!V:V,"&lt;=20210510"),1)</f>
        <v>0</v>
      </c>
      <c r="W177" s="65">
        <f t="shared" si="2"/>
        <v>0</v>
      </c>
      <c r="X177" s="68">
        <f>SUMIF(险种!E:E,E:E,险种!Y:Y)</f>
        <v>0</v>
      </c>
      <c r="Y177" s="65">
        <f>MAX(_xlfn.IFS(OR(X:X=1,X:X=2),J:J*0.1,X:X&gt;=3,J:J*0.2,X:X=0,0),IF(J:J&gt;=20000,J:J*0.2,0))</f>
        <v>0</v>
      </c>
      <c r="Z177" s="65" t="str">
        <f>A177&amp;D177&amp;G177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淮南本部吴程程伙伴5.1-5.10预收价值保费0，首周预收3000P件数0件，预收拟加佣0元。温馨提示，保单需10日（含）前承保，目前还有0价值保费未承保,开单一件即可获得10%加佣</v>
      </c>
      <c r="AA177" s="68">
        <f>SUMIF(险种!E:E,E:E,险种!Z:Z)</f>
        <v>0</v>
      </c>
      <c r="AB177" s="65"/>
      <c r="AC177" s="68">
        <f>SUMIF(险种!E:E,E:E,险种!AA:AA)</f>
        <v>0</v>
      </c>
      <c r="AD177" s="68">
        <f>SUMIFS(险种!AA:AA,险种!U:U,"有效",险种!E:E,E:E)</f>
        <v>0</v>
      </c>
      <c r="AE177" s="68" t="str">
        <f>A177&amp;D177&amp;G177&amp;"目前获得"&amp;$AC$1&amp;AC:AC&amp;"名，获得"&amp;$AD$1&amp;AD:AD&amp;"名"</f>
        <v>淮南本部吴程程伙伴目前获得龙虾节预收名额0名，获得龙虾节承保名额0名</v>
      </c>
      <c r="AF177" s="68">
        <f>SUMIF(认购返还案!D:D,E:E,认购返还案!E:E)</f>
        <v>200</v>
      </c>
      <c r="AG177" s="68">
        <f>_xlfn.IFS(AND(U:U&gt;=3000,U:U&lt;5000),AF:AF*0.5,U:U&gt;=5000,AF:AF*1,U:U&lt;3000,0)</f>
        <v>0</v>
      </c>
      <c r="AH177" s="68">
        <f>_xlfn.IFS(AND(V:V&gt;=3000,V:V&lt;5000),AF:AF*0.5,V:V&gt;=5000,AF:AF*1,V:V&lt;3000,0)</f>
        <v>0</v>
      </c>
      <c r="AI177" s="68" t="str">
        <f>A:A&amp;D:D&amp;G:G&amp;$AF$1&amp;AF:AF&amp;"元，目前预收价值"&amp;U:U&amp;"，"&amp;$AG$1&amp;AG:AG&amp;"元，"&amp;$AH$1&amp;AH:AH&amp;"元"</f>
        <v>淮南本部吴程程伙伴冲锋队缴费金额200元，目前预收价值0，预收拟返还0元，承保拟返还0元</v>
      </c>
      <c r="AJ177" s="68">
        <f>SUMIF(保单!R:R,E:E,保单!BE:BE)*IF(AF:AF&gt;1,1,0)</f>
        <v>0</v>
      </c>
      <c r="AK177" s="68">
        <f>SUMIFS(保单!BE:BE,保单!R:R,E:E,保单!BB:BB,"有效")*IF(AF:AF&gt;1,1,0)</f>
        <v>0</v>
      </c>
      <c r="AL177" s="72" t="str">
        <f>A:A&amp;D:D&amp;G:G&amp;"只要在1-10日承保全部保单，即可获得"&amp;$AJ$1&amp;AJ:AJ&amp;"个"</f>
        <v>淮南本部吴程程伙伴只要在1-10日承保全部保单，即可获得冲锋队按摩仪0个</v>
      </c>
    </row>
    <row r="178" spans="1:38">
      <c r="A178" s="64" t="s">
        <v>48</v>
      </c>
      <c r="B178" s="64" t="s">
        <v>49</v>
      </c>
      <c r="C178" s="64" t="s">
        <v>50</v>
      </c>
      <c r="D178" s="64" t="s">
        <v>416</v>
      </c>
      <c r="E178" s="64">
        <v>6251499542</v>
      </c>
      <c r="F178" s="64" t="s">
        <v>174</v>
      </c>
      <c r="G178" s="64" t="str">
        <f>IF(OR(F:F="高级经理一级",F:F="业务经理一级"),"主管","伙伴")</f>
        <v>伙伴</v>
      </c>
      <c r="H178" s="65">
        <f>SUMIF(险种!E:E,E:E,险种!R:R)-SUMIFS(险种!R:R,险种!U:U,"终止",险种!E:E,E:E)</f>
        <v>0</v>
      </c>
      <c r="I178" s="65">
        <f>SUMIFS(险种!R:R,险种!U:U,"有效",险种!E:E,E:E)</f>
        <v>0</v>
      </c>
      <c r="J178" s="65">
        <f>ROUND(SUMIF(险种!E:E,E:E,险种!Q:Q)-SUMIFS(险种!Q:Q,险种!U:U,"终止",险种!E:E,E:E),1)</f>
        <v>0</v>
      </c>
      <c r="K178" s="68">
        <f>RANK(J178,J:J)</f>
        <v>22</v>
      </c>
      <c r="L178" s="65">
        <f>ROUND(SUMIFS(险种!Q:Q,险种!U:U,"有效",险种!E:E,E:E),1)</f>
        <v>0</v>
      </c>
      <c r="M178" s="68">
        <f>RANK(L178,L:L,)</f>
        <v>14</v>
      </c>
      <c r="N178" s="68">
        <f>SUMIF(险种!E:E,E:E,险种!W:W)</f>
        <v>0</v>
      </c>
      <c r="O178" s="68">
        <f>IF(N:N&gt;=1,1,0)</f>
        <v>0</v>
      </c>
      <c r="P178" s="65">
        <f>ROUND(SUMIFS(险种!Q:Q,险种!V:V,$P$1,险种!E:E,E:E),1)</f>
        <v>0</v>
      </c>
      <c r="Q178" s="68">
        <f>RANK(P178,$P:$P,0)-1</f>
        <v>5</v>
      </c>
      <c r="R178" s="68" t="str">
        <f>A:A&amp;D:D&amp;G:G&amp;"在"&amp;$P$1&amp;"预收"&amp;P:P&amp;"排名中支第"&amp;Q:Q&amp;"位"</f>
        <v>谢家集管国群伙伴在20210509预收0排名中支第5位</v>
      </c>
      <c r="S178" s="65">
        <f>ROUND(SUMIFS(险种!Q:Q,险种!E:E,E:E,险种!V:V,"&lt;=20210506")-SUMIFS(险种!Q:Q,险种!U:U,"终止",险种!E:E,E:E,险种!V:V,"&lt;=20210506"),1)</f>
        <v>0</v>
      </c>
      <c r="T178" s="65">
        <f>ROUND(SUMIFS(险种!Q:Q,险种!U:U,"有效",险种!E:E,E:E,险种!V:V,"&lt;=20210506"),1)</f>
        <v>0</v>
      </c>
      <c r="U178" s="65">
        <f>ROUND(SUMIFS(险种!Q:Q,险种!E:E,E:E,险种!V:V,"&lt;=20210510")-SUMIFS(险种!Q:Q,险种!U:U,"终止",险种!E:E,E:E,险种!V:V,"&lt;=20210510"),1)</f>
        <v>0</v>
      </c>
      <c r="V178" s="65">
        <f>ROUND(SUMIFS(险种!Q:Q,险种!U:U,"有效",险种!E:E,E:E,险种!V:V,"&lt;=20210510"),1)</f>
        <v>0</v>
      </c>
      <c r="W178" s="65">
        <f t="shared" si="2"/>
        <v>0</v>
      </c>
      <c r="X178" s="68">
        <f>SUMIF(险种!E:E,E:E,险种!Y:Y)</f>
        <v>0</v>
      </c>
      <c r="Y178" s="65">
        <f>MAX(_xlfn.IFS(OR(X:X=1,X:X=2),J:J*0.1,X:X&gt;=3,J:J*0.2,X:X=0,0),IF(J:J&gt;=20000,J:J*0.2,0))</f>
        <v>0</v>
      </c>
      <c r="Z178" s="65" t="str">
        <f>A178&amp;D178&amp;G178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谢家集管国群伙伴5.1-5.10预收价值保费0，首周预收3000P件数0件，预收拟加佣0元。温馨提示，保单需10日（含）前承保，目前还有0价值保费未承保,开单一件即可获得10%加佣</v>
      </c>
      <c r="AA178" s="68">
        <f>SUMIF(险种!E:E,E:E,险种!Z:Z)</f>
        <v>0</v>
      </c>
      <c r="AB178" s="65"/>
      <c r="AC178" s="68">
        <f>SUMIF(险种!E:E,E:E,险种!AA:AA)</f>
        <v>0</v>
      </c>
      <c r="AD178" s="68">
        <f>SUMIFS(险种!AA:AA,险种!U:U,"有效",险种!E:E,E:E)</f>
        <v>0</v>
      </c>
      <c r="AE178" s="68" t="str">
        <f>A178&amp;D178&amp;G178&amp;"目前获得"&amp;$AC$1&amp;AC:AC&amp;"名，获得"&amp;$AD$1&amp;AD:AD&amp;"名"</f>
        <v>谢家集管国群伙伴目前获得龙虾节预收名额0名，获得龙虾节承保名额0名</v>
      </c>
      <c r="AF178" s="68">
        <f>SUMIF(认购返还案!D:D,E:E,认购返还案!E:E)</f>
        <v>0</v>
      </c>
      <c r="AG178" s="68">
        <f>_xlfn.IFS(AND(U:U&gt;=3000,U:U&lt;5000),AF:AF*0.5,U:U&gt;=5000,AF:AF*1,U:U&lt;3000,0)</f>
        <v>0</v>
      </c>
      <c r="AH178" s="68">
        <f>_xlfn.IFS(AND(V:V&gt;=3000,V:V&lt;5000),AF:AF*0.5,V:V&gt;=5000,AF:AF*1,V:V&lt;3000,0)</f>
        <v>0</v>
      </c>
      <c r="AI178" s="68" t="str">
        <f>A:A&amp;D:D&amp;G:G&amp;$AF$1&amp;AF:AF&amp;"元，目前预收价值"&amp;U:U&amp;"，"&amp;$AG$1&amp;AG:AG&amp;"元，"&amp;$AH$1&amp;AH:AH&amp;"元"</f>
        <v>谢家集管国群伙伴冲锋队缴费金额0元，目前预收价值0，预收拟返还0元，承保拟返还0元</v>
      </c>
      <c r="AJ178" s="68">
        <f>SUMIF(保单!R:R,E:E,保单!BE:BE)*IF(AF:AF&gt;1,1,0)</f>
        <v>0</v>
      </c>
      <c r="AK178" s="68">
        <f>SUMIFS(保单!BE:BE,保单!R:R,E:E,保单!BB:BB,"有效")*IF(AF:AF&gt;1,1,0)</f>
        <v>0</v>
      </c>
      <c r="AL178" s="72" t="str">
        <f>A:A&amp;D:D&amp;G:G&amp;"只要在1-10日承保全部保单，即可获得"&amp;$AJ$1&amp;AJ:AJ&amp;"个"</f>
        <v>谢家集管国群伙伴只要在1-10日承保全部保单，即可获得冲锋队按摩仪0个</v>
      </c>
    </row>
    <row r="179" spans="1:38">
      <c r="A179" s="64" t="s">
        <v>27</v>
      </c>
      <c r="B179" s="64" t="s">
        <v>100</v>
      </c>
      <c r="C179" s="64" t="s">
        <v>101</v>
      </c>
      <c r="D179" s="64" t="s">
        <v>417</v>
      </c>
      <c r="E179" s="64">
        <v>6240561182</v>
      </c>
      <c r="F179" s="64" t="s">
        <v>174</v>
      </c>
      <c r="G179" s="64" t="str">
        <f>IF(OR(F:F="高级经理一级",F:F="业务经理一级"),"主管","伙伴")</f>
        <v>伙伴</v>
      </c>
      <c r="H179" s="65">
        <f>SUMIF(险种!E:E,E:E,险种!R:R)-SUMIFS(险种!R:R,险种!U:U,"终止",险种!E:E,E:E)</f>
        <v>0</v>
      </c>
      <c r="I179" s="65">
        <f>SUMIFS(险种!R:R,险种!U:U,"有效",险种!E:E,E:E)</f>
        <v>0</v>
      </c>
      <c r="J179" s="65">
        <f>ROUND(SUMIF(险种!E:E,E:E,险种!Q:Q)-SUMIFS(险种!Q:Q,险种!U:U,"终止",险种!E:E,E:E),1)</f>
        <v>0</v>
      </c>
      <c r="K179" s="68">
        <f>RANK(J179,J:J)</f>
        <v>22</v>
      </c>
      <c r="L179" s="65">
        <f>ROUND(SUMIFS(险种!Q:Q,险种!U:U,"有效",险种!E:E,E:E),1)</f>
        <v>0</v>
      </c>
      <c r="M179" s="68">
        <f>RANK(L179,L:L,)</f>
        <v>14</v>
      </c>
      <c r="N179" s="68">
        <f>SUMIF(险种!E:E,E:E,险种!W:W)</f>
        <v>0</v>
      </c>
      <c r="O179" s="68">
        <f>IF(N:N&gt;=1,1,0)</f>
        <v>0</v>
      </c>
      <c r="P179" s="65">
        <f>ROUND(SUMIFS(险种!Q:Q,险种!V:V,$P$1,险种!E:E,E:E),1)</f>
        <v>0</v>
      </c>
      <c r="Q179" s="68">
        <f>RANK(P179,$P:$P,0)-1</f>
        <v>5</v>
      </c>
      <c r="R179" s="68" t="str">
        <f>A:A&amp;D:D&amp;G:G&amp;"在"&amp;$P$1&amp;"预收"&amp;P:P&amp;"排名中支第"&amp;Q:Q&amp;"位"</f>
        <v>凤台吴煜伙伴在20210509预收0排名中支第5位</v>
      </c>
      <c r="S179" s="65">
        <f>ROUND(SUMIFS(险种!Q:Q,险种!E:E,E:E,险种!V:V,"&lt;=20210506")-SUMIFS(险种!Q:Q,险种!U:U,"终止",险种!E:E,E:E,险种!V:V,"&lt;=20210506"),1)</f>
        <v>0</v>
      </c>
      <c r="T179" s="65">
        <f>ROUND(SUMIFS(险种!Q:Q,险种!U:U,"有效",险种!E:E,E:E,险种!V:V,"&lt;=20210506"),1)</f>
        <v>0</v>
      </c>
      <c r="U179" s="65">
        <f>ROUND(SUMIFS(险种!Q:Q,险种!E:E,E:E,险种!V:V,"&lt;=20210510")-SUMIFS(险种!Q:Q,险种!U:U,"终止",险种!E:E,E:E,险种!V:V,"&lt;=20210510"),1)</f>
        <v>0</v>
      </c>
      <c r="V179" s="65">
        <f>ROUND(SUMIFS(险种!Q:Q,险种!U:U,"有效",险种!E:E,E:E,险种!V:V,"&lt;=20210510"),1)</f>
        <v>0</v>
      </c>
      <c r="W179" s="65">
        <f t="shared" si="2"/>
        <v>0</v>
      </c>
      <c r="X179" s="68">
        <f>SUMIF(险种!E:E,E:E,险种!Y:Y)</f>
        <v>0</v>
      </c>
      <c r="Y179" s="65">
        <f>MAX(_xlfn.IFS(OR(X:X=1,X:X=2),J:J*0.1,X:X&gt;=3,J:J*0.2,X:X=0,0),IF(J:J&gt;=20000,J:J*0.2,0))</f>
        <v>0</v>
      </c>
      <c r="Z179" s="65" t="str">
        <f>A179&amp;D179&amp;G179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凤台吴煜伙伴5.1-5.10预收价值保费0，首周预收3000P件数0件，预收拟加佣0元。温馨提示，保单需10日（含）前承保，目前还有0价值保费未承保,开单一件即可获得10%加佣</v>
      </c>
      <c r="AA179" s="68">
        <f>SUMIF(险种!E:E,E:E,险种!Z:Z)</f>
        <v>0</v>
      </c>
      <c r="AB179" s="65"/>
      <c r="AC179" s="68">
        <f>SUMIF(险种!E:E,E:E,险种!AA:AA)</f>
        <v>0</v>
      </c>
      <c r="AD179" s="68">
        <f>SUMIFS(险种!AA:AA,险种!U:U,"有效",险种!E:E,E:E)</f>
        <v>0</v>
      </c>
      <c r="AE179" s="68" t="str">
        <f>A179&amp;D179&amp;G179&amp;"目前获得"&amp;$AC$1&amp;AC:AC&amp;"名，获得"&amp;$AD$1&amp;AD:AD&amp;"名"</f>
        <v>凤台吴煜伙伴目前获得龙虾节预收名额0名，获得龙虾节承保名额0名</v>
      </c>
      <c r="AF179" s="68">
        <f>SUMIF(认购返还案!D:D,E:E,认购返还案!E:E)</f>
        <v>0</v>
      </c>
      <c r="AG179" s="68">
        <f>_xlfn.IFS(AND(U:U&gt;=3000,U:U&lt;5000),AF:AF*0.5,U:U&gt;=5000,AF:AF*1,U:U&lt;3000,0)</f>
        <v>0</v>
      </c>
      <c r="AH179" s="68">
        <f>_xlfn.IFS(AND(V:V&gt;=3000,V:V&lt;5000),AF:AF*0.5,V:V&gt;=5000,AF:AF*1,V:V&lt;3000,0)</f>
        <v>0</v>
      </c>
      <c r="AI179" s="68" t="str">
        <f>A:A&amp;D:D&amp;G:G&amp;$AF$1&amp;AF:AF&amp;"元，目前预收价值"&amp;U:U&amp;"，"&amp;$AG$1&amp;AG:AG&amp;"元，"&amp;$AH$1&amp;AH:AH&amp;"元"</f>
        <v>凤台吴煜伙伴冲锋队缴费金额0元，目前预收价值0，预收拟返还0元，承保拟返还0元</v>
      </c>
      <c r="AJ179" s="68">
        <f>SUMIF(保单!R:R,E:E,保单!BE:BE)*IF(AF:AF&gt;1,1,0)</f>
        <v>0</v>
      </c>
      <c r="AK179" s="68">
        <f>SUMIFS(保单!BE:BE,保单!R:R,E:E,保单!BB:BB,"有效")*IF(AF:AF&gt;1,1,0)</f>
        <v>0</v>
      </c>
      <c r="AL179" s="72" t="str">
        <f>A:A&amp;D:D&amp;G:G&amp;"只要在1-10日承保全部保单，即可获得"&amp;$AJ$1&amp;AJ:AJ&amp;"个"</f>
        <v>凤台吴煜伙伴只要在1-10日承保全部保单，即可获得冲锋队按摩仪0个</v>
      </c>
    </row>
    <row r="180" spans="1:38">
      <c r="A180" s="64" t="s">
        <v>27</v>
      </c>
      <c r="B180" s="64" t="s">
        <v>94</v>
      </c>
      <c r="C180" s="64" t="s">
        <v>95</v>
      </c>
      <c r="D180" s="64" t="s">
        <v>418</v>
      </c>
      <c r="E180" s="64">
        <v>6233846442</v>
      </c>
      <c r="F180" s="64" t="s">
        <v>174</v>
      </c>
      <c r="G180" s="64" t="str">
        <f>IF(OR(F:F="高级经理一级",F:F="业务经理一级"),"主管","伙伴")</f>
        <v>伙伴</v>
      </c>
      <c r="H180" s="65">
        <f>SUMIF(险种!E:E,E:E,险种!R:R)-SUMIFS(险种!R:R,险种!U:U,"终止",险种!E:E,E:E)</f>
        <v>0</v>
      </c>
      <c r="I180" s="65">
        <f>SUMIFS(险种!R:R,险种!U:U,"有效",险种!E:E,E:E)</f>
        <v>0</v>
      </c>
      <c r="J180" s="65">
        <f>ROUND(SUMIF(险种!E:E,E:E,险种!Q:Q)-SUMIFS(险种!Q:Q,险种!U:U,"终止",险种!E:E,E:E),1)</f>
        <v>0</v>
      </c>
      <c r="K180" s="68">
        <f>RANK(J180,J:J)</f>
        <v>22</v>
      </c>
      <c r="L180" s="65">
        <f>ROUND(SUMIFS(险种!Q:Q,险种!U:U,"有效",险种!E:E,E:E),1)</f>
        <v>0</v>
      </c>
      <c r="M180" s="68">
        <f>RANK(L180,L:L,)</f>
        <v>14</v>
      </c>
      <c r="N180" s="68">
        <f>SUMIF(险种!E:E,E:E,险种!W:W)</f>
        <v>0</v>
      </c>
      <c r="O180" s="68">
        <f>IF(N:N&gt;=1,1,0)</f>
        <v>0</v>
      </c>
      <c r="P180" s="65">
        <f>ROUND(SUMIFS(险种!Q:Q,险种!V:V,$P$1,险种!E:E,E:E),1)</f>
        <v>0</v>
      </c>
      <c r="Q180" s="68">
        <f>RANK(P180,$P:$P,0)-1</f>
        <v>5</v>
      </c>
      <c r="R180" s="68" t="str">
        <f>A:A&amp;D:D&amp;G:G&amp;"在"&amp;$P$1&amp;"预收"&amp;P:P&amp;"排名中支第"&amp;Q:Q&amp;"位"</f>
        <v>凤台常宏利伙伴在20210509预收0排名中支第5位</v>
      </c>
      <c r="S180" s="65">
        <f>ROUND(SUMIFS(险种!Q:Q,险种!E:E,E:E,险种!V:V,"&lt;=20210506")-SUMIFS(险种!Q:Q,险种!U:U,"终止",险种!E:E,E:E,险种!V:V,"&lt;=20210506"),1)</f>
        <v>0</v>
      </c>
      <c r="T180" s="65">
        <f>ROUND(SUMIFS(险种!Q:Q,险种!U:U,"有效",险种!E:E,E:E,险种!V:V,"&lt;=20210506"),1)</f>
        <v>0</v>
      </c>
      <c r="U180" s="65">
        <f>ROUND(SUMIFS(险种!Q:Q,险种!E:E,E:E,险种!V:V,"&lt;=20210510")-SUMIFS(险种!Q:Q,险种!U:U,"终止",险种!E:E,E:E,险种!V:V,"&lt;=20210510"),1)</f>
        <v>0</v>
      </c>
      <c r="V180" s="65">
        <f>ROUND(SUMIFS(险种!Q:Q,险种!U:U,"有效",险种!E:E,E:E,险种!V:V,"&lt;=20210510"),1)</f>
        <v>0</v>
      </c>
      <c r="W180" s="65">
        <f t="shared" si="2"/>
        <v>0</v>
      </c>
      <c r="X180" s="68">
        <f>SUMIF(险种!E:E,E:E,险种!Y:Y)</f>
        <v>0</v>
      </c>
      <c r="Y180" s="65">
        <f>MAX(_xlfn.IFS(OR(X:X=1,X:X=2),J:J*0.1,X:X&gt;=3,J:J*0.2,X:X=0,0),IF(J:J&gt;=20000,J:J*0.2,0))</f>
        <v>0</v>
      </c>
      <c r="Z180" s="65" t="str">
        <f>A180&amp;D180&amp;G180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凤台常宏利伙伴5.1-5.10预收价值保费0，首周预收3000P件数0件，预收拟加佣0元。温馨提示，保单需10日（含）前承保，目前还有0价值保费未承保,开单一件即可获得10%加佣</v>
      </c>
      <c r="AA180" s="68">
        <f>SUMIF(险种!E:E,E:E,险种!Z:Z)</f>
        <v>0</v>
      </c>
      <c r="AB180" s="65"/>
      <c r="AC180" s="68">
        <f>SUMIF(险种!E:E,E:E,险种!AA:AA)</f>
        <v>0</v>
      </c>
      <c r="AD180" s="68">
        <f>SUMIFS(险种!AA:AA,险种!U:U,"有效",险种!E:E,E:E)</f>
        <v>0</v>
      </c>
      <c r="AE180" s="68" t="str">
        <f>A180&amp;D180&amp;G180&amp;"目前获得"&amp;$AC$1&amp;AC:AC&amp;"名，获得"&amp;$AD$1&amp;AD:AD&amp;"名"</f>
        <v>凤台常宏利伙伴目前获得龙虾节预收名额0名，获得龙虾节承保名额0名</v>
      </c>
      <c r="AF180" s="68">
        <f>SUMIF(认购返还案!D:D,E:E,认购返还案!E:E)</f>
        <v>0</v>
      </c>
      <c r="AG180" s="68">
        <f>_xlfn.IFS(AND(U:U&gt;=3000,U:U&lt;5000),AF:AF*0.5,U:U&gt;=5000,AF:AF*1,U:U&lt;3000,0)</f>
        <v>0</v>
      </c>
      <c r="AH180" s="68">
        <f>_xlfn.IFS(AND(V:V&gt;=3000,V:V&lt;5000),AF:AF*0.5,V:V&gt;=5000,AF:AF*1,V:V&lt;3000,0)</f>
        <v>0</v>
      </c>
      <c r="AI180" s="68" t="str">
        <f>A:A&amp;D:D&amp;G:G&amp;$AF$1&amp;AF:AF&amp;"元，目前预收价值"&amp;U:U&amp;"，"&amp;$AG$1&amp;AG:AG&amp;"元，"&amp;$AH$1&amp;AH:AH&amp;"元"</f>
        <v>凤台常宏利伙伴冲锋队缴费金额0元，目前预收价值0，预收拟返还0元，承保拟返还0元</v>
      </c>
      <c r="AJ180" s="68">
        <f>SUMIF(保单!R:R,E:E,保单!BE:BE)*IF(AF:AF&gt;1,1,0)</f>
        <v>0</v>
      </c>
      <c r="AK180" s="68">
        <f>SUMIFS(保单!BE:BE,保单!R:R,E:E,保单!BB:BB,"有效")*IF(AF:AF&gt;1,1,0)</f>
        <v>0</v>
      </c>
      <c r="AL180" s="72" t="str">
        <f>A:A&amp;D:D&amp;G:G&amp;"只要在1-10日承保全部保单，即可获得"&amp;$AJ$1&amp;AJ:AJ&amp;"个"</f>
        <v>凤台常宏利伙伴只要在1-10日承保全部保单，即可获得冲锋队按摩仪0个</v>
      </c>
    </row>
    <row r="181" spans="1:38">
      <c r="A181" s="64" t="s">
        <v>42</v>
      </c>
      <c r="B181" s="64" t="s">
        <v>66</v>
      </c>
      <c r="C181" s="64" t="s">
        <v>343</v>
      </c>
      <c r="D181" s="64" t="s">
        <v>419</v>
      </c>
      <c r="E181" s="64">
        <v>6230817702</v>
      </c>
      <c r="F181" s="64" t="s">
        <v>158</v>
      </c>
      <c r="G181" s="64" t="str">
        <f>IF(OR(F:F="高级经理一级",F:F="业务经理一级"),"主管","伙伴")</f>
        <v>伙伴</v>
      </c>
      <c r="H181" s="65">
        <f>SUMIF(险种!E:E,E:E,险种!R:R)-SUMIFS(险种!R:R,险种!U:U,"终止",险种!E:E,E:E)</f>
        <v>0</v>
      </c>
      <c r="I181" s="65">
        <f>SUMIFS(险种!R:R,险种!U:U,"有效",险种!E:E,E:E)</f>
        <v>0</v>
      </c>
      <c r="J181" s="65">
        <f>ROUND(SUMIF(险种!E:E,E:E,险种!Q:Q)-SUMIFS(险种!Q:Q,险种!U:U,"终止",险种!E:E,E:E),1)</f>
        <v>0</v>
      </c>
      <c r="K181" s="68">
        <f>RANK(J181,J:J)</f>
        <v>22</v>
      </c>
      <c r="L181" s="65">
        <f>ROUND(SUMIFS(险种!Q:Q,险种!U:U,"有效",险种!E:E,E:E),1)</f>
        <v>0</v>
      </c>
      <c r="M181" s="68">
        <f>RANK(L181,L:L,)</f>
        <v>14</v>
      </c>
      <c r="N181" s="68">
        <f>SUMIF(险种!E:E,E:E,险种!W:W)</f>
        <v>0</v>
      </c>
      <c r="O181" s="68">
        <f>IF(N:N&gt;=1,1,0)</f>
        <v>0</v>
      </c>
      <c r="P181" s="65">
        <f>ROUND(SUMIFS(险种!Q:Q,险种!V:V,$P$1,险种!E:E,E:E),1)</f>
        <v>0</v>
      </c>
      <c r="Q181" s="68">
        <f>RANK(P181,$P:$P,0)-1</f>
        <v>5</v>
      </c>
      <c r="R181" s="68" t="str">
        <f>A:A&amp;D:D&amp;G:G&amp;"在"&amp;$P$1&amp;"预收"&amp;P:P&amp;"排名中支第"&amp;Q:Q&amp;"位"</f>
        <v>淮南本部徐婉婉伙伴在20210509预收0排名中支第5位</v>
      </c>
      <c r="S181" s="65">
        <f>ROUND(SUMIFS(险种!Q:Q,险种!E:E,E:E,险种!V:V,"&lt;=20210506")-SUMIFS(险种!Q:Q,险种!U:U,"终止",险种!E:E,E:E,险种!V:V,"&lt;=20210506"),1)</f>
        <v>0</v>
      </c>
      <c r="T181" s="65">
        <f>ROUND(SUMIFS(险种!Q:Q,险种!U:U,"有效",险种!E:E,E:E,险种!V:V,"&lt;=20210506"),1)</f>
        <v>0</v>
      </c>
      <c r="U181" s="65">
        <f>ROUND(SUMIFS(险种!Q:Q,险种!E:E,E:E,险种!V:V,"&lt;=20210510")-SUMIFS(险种!Q:Q,险种!U:U,"终止",险种!E:E,E:E,险种!V:V,"&lt;=20210510"),1)</f>
        <v>0</v>
      </c>
      <c r="V181" s="65">
        <f>ROUND(SUMIFS(险种!Q:Q,险种!U:U,"有效",险种!E:E,E:E,险种!V:V,"&lt;=20210510"),1)</f>
        <v>0</v>
      </c>
      <c r="W181" s="65">
        <f t="shared" si="2"/>
        <v>0</v>
      </c>
      <c r="X181" s="68">
        <f>SUMIF(险种!E:E,E:E,险种!Y:Y)</f>
        <v>0</v>
      </c>
      <c r="Y181" s="65">
        <f>MAX(_xlfn.IFS(OR(X:X=1,X:X=2),J:J*0.1,X:X&gt;=3,J:J*0.2,X:X=0,0),IF(J:J&gt;=20000,J:J*0.2,0))</f>
        <v>0</v>
      </c>
      <c r="Z181" s="65" t="str">
        <f>A181&amp;D181&amp;G181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淮南本部徐婉婉伙伴5.1-5.10预收价值保费0，首周预收3000P件数0件，预收拟加佣0元。温馨提示，保单需10日（含）前承保，目前还有0价值保费未承保,开单一件即可获得10%加佣</v>
      </c>
      <c r="AA181" s="68">
        <f>SUMIF(险种!E:E,E:E,险种!Z:Z)</f>
        <v>0</v>
      </c>
      <c r="AB181" s="65"/>
      <c r="AC181" s="68">
        <f>SUMIF(险种!E:E,E:E,险种!AA:AA)</f>
        <v>0</v>
      </c>
      <c r="AD181" s="68">
        <f>SUMIFS(险种!AA:AA,险种!U:U,"有效",险种!E:E,E:E)</f>
        <v>0</v>
      </c>
      <c r="AE181" s="68" t="str">
        <f>A181&amp;D181&amp;G181&amp;"目前获得"&amp;$AC$1&amp;AC:AC&amp;"名，获得"&amp;$AD$1&amp;AD:AD&amp;"名"</f>
        <v>淮南本部徐婉婉伙伴目前获得龙虾节预收名额0名，获得龙虾节承保名额0名</v>
      </c>
      <c r="AF181" s="68">
        <f>SUMIF(认购返还案!D:D,E:E,认购返还案!E:E)</f>
        <v>0</v>
      </c>
      <c r="AG181" s="68">
        <f>_xlfn.IFS(AND(U:U&gt;=3000,U:U&lt;5000),AF:AF*0.5,U:U&gt;=5000,AF:AF*1,U:U&lt;3000,0)</f>
        <v>0</v>
      </c>
      <c r="AH181" s="68">
        <f>_xlfn.IFS(AND(V:V&gt;=3000,V:V&lt;5000),AF:AF*0.5,V:V&gt;=5000,AF:AF*1,V:V&lt;3000,0)</f>
        <v>0</v>
      </c>
      <c r="AI181" s="68" t="str">
        <f>A:A&amp;D:D&amp;G:G&amp;$AF$1&amp;AF:AF&amp;"元，目前预收价值"&amp;U:U&amp;"，"&amp;$AG$1&amp;AG:AG&amp;"元，"&amp;$AH$1&amp;AH:AH&amp;"元"</f>
        <v>淮南本部徐婉婉伙伴冲锋队缴费金额0元，目前预收价值0，预收拟返还0元，承保拟返还0元</v>
      </c>
      <c r="AJ181" s="68">
        <f>SUMIF(保单!R:R,E:E,保单!BE:BE)*IF(AF:AF&gt;1,1,0)</f>
        <v>0</v>
      </c>
      <c r="AK181" s="68">
        <f>SUMIFS(保单!BE:BE,保单!R:R,E:E,保单!BB:BB,"有效")*IF(AF:AF&gt;1,1,0)</f>
        <v>0</v>
      </c>
      <c r="AL181" s="72" t="str">
        <f>A:A&amp;D:D&amp;G:G&amp;"只要在1-10日承保全部保单，即可获得"&amp;$AJ$1&amp;AJ:AJ&amp;"个"</f>
        <v>淮南本部徐婉婉伙伴只要在1-10日承保全部保单，即可获得冲锋队按摩仪0个</v>
      </c>
    </row>
    <row r="182" spans="1:38">
      <c r="A182" s="64" t="s">
        <v>42</v>
      </c>
      <c r="B182" s="64" t="s">
        <v>43</v>
      </c>
      <c r="C182" s="64" t="s">
        <v>75</v>
      </c>
      <c r="D182" s="64" t="s">
        <v>420</v>
      </c>
      <c r="E182" s="64">
        <v>6230021762</v>
      </c>
      <c r="F182" s="64" t="s">
        <v>174</v>
      </c>
      <c r="G182" s="64" t="str">
        <f>IF(OR(F:F="高级经理一级",F:F="业务经理一级"),"主管","伙伴")</f>
        <v>伙伴</v>
      </c>
      <c r="H182" s="65">
        <f>SUMIF(险种!E:E,E:E,险种!R:R)-SUMIFS(险种!R:R,险种!U:U,"终止",险种!E:E,E:E)</f>
        <v>0</v>
      </c>
      <c r="I182" s="65">
        <f>SUMIFS(险种!R:R,险种!U:U,"有效",险种!E:E,E:E)</f>
        <v>0</v>
      </c>
      <c r="J182" s="65">
        <f>ROUND(SUMIF(险种!E:E,E:E,险种!Q:Q)-SUMIFS(险种!Q:Q,险种!U:U,"终止",险种!E:E,E:E),1)</f>
        <v>0</v>
      </c>
      <c r="K182" s="68">
        <f>RANK(J182,J:J)</f>
        <v>22</v>
      </c>
      <c r="L182" s="65">
        <f>ROUND(SUMIFS(险种!Q:Q,险种!U:U,"有效",险种!E:E,E:E),1)</f>
        <v>0</v>
      </c>
      <c r="M182" s="68">
        <f>RANK(L182,L:L,)</f>
        <v>14</v>
      </c>
      <c r="N182" s="68">
        <f>SUMIF(险种!E:E,E:E,险种!W:W)</f>
        <v>0</v>
      </c>
      <c r="O182" s="68">
        <f>IF(N:N&gt;=1,1,0)</f>
        <v>0</v>
      </c>
      <c r="P182" s="65">
        <f>ROUND(SUMIFS(险种!Q:Q,险种!V:V,$P$1,险种!E:E,E:E),1)</f>
        <v>0</v>
      </c>
      <c r="Q182" s="68">
        <f>RANK(P182,$P:$P,0)-1</f>
        <v>5</v>
      </c>
      <c r="R182" s="68" t="str">
        <f>A:A&amp;D:D&amp;G:G&amp;"在"&amp;$P$1&amp;"预收"&amp;P:P&amp;"排名中支第"&amp;Q:Q&amp;"位"</f>
        <v>淮南本部方若瑜伙伴在20210509预收0排名中支第5位</v>
      </c>
      <c r="S182" s="65">
        <f>ROUND(SUMIFS(险种!Q:Q,险种!E:E,E:E,险种!V:V,"&lt;=20210506")-SUMIFS(险种!Q:Q,险种!U:U,"终止",险种!E:E,E:E,险种!V:V,"&lt;=20210506"),1)</f>
        <v>0</v>
      </c>
      <c r="T182" s="65">
        <f>ROUND(SUMIFS(险种!Q:Q,险种!U:U,"有效",险种!E:E,E:E,险种!V:V,"&lt;=20210506"),1)</f>
        <v>0</v>
      </c>
      <c r="U182" s="65">
        <f>ROUND(SUMIFS(险种!Q:Q,险种!E:E,E:E,险种!V:V,"&lt;=20210510")-SUMIFS(险种!Q:Q,险种!U:U,"终止",险种!E:E,E:E,险种!V:V,"&lt;=20210510"),1)</f>
        <v>0</v>
      </c>
      <c r="V182" s="65">
        <f>ROUND(SUMIFS(险种!Q:Q,险种!U:U,"有效",险种!E:E,E:E,险种!V:V,"&lt;=20210510"),1)</f>
        <v>0</v>
      </c>
      <c r="W182" s="65">
        <f t="shared" si="2"/>
        <v>0</v>
      </c>
      <c r="X182" s="68">
        <f>SUMIF(险种!E:E,E:E,险种!Y:Y)</f>
        <v>0</v>
      </c>
      <c r="Y182" s="65">
        <f>MAX(_xlfn.IFS(OR(X:X=1,X:X=2),J:J*0.1,X:X&gt;=3,J:J*0.2,X:X=0,0),IF(J:J&gt;=20000,J:J*0.2,0))</f>
        <v>0</v>
      </c>
      <c r="Z182" s="65" t="str">
        <f>A182&amp;D182&amp;G182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淮南本部方若瑜伙伴5.1-5.10预收价值保费0，首周预收3000P件数0件，预收拟加佣0元。温馨提示，保单需10日（含）前承保，目前还有0价值保费未承保,开单一件即可获得10%加佣</v>
      </c>
      <c r="AA182" s="68">
        <f>SUMIF(险种!E:E,E:E,险种!Z:Z)</f>
        <v>0</v>
      </c>
      <c r="AB182" s="65"/>
      <c r="AC182" s="68">
        <f>SUMIF(险种!E:E,E:E,险种!AA:AA)</f>
        <v>0</v>
      </c>
      <c r="AD182" s="68">
        <f>SUMIFS(险种!AA:AA,险种!U:U,"有效",险种!E:E,E:E)</f>
        <v>0</v>
      </c>
      <c r="AE182" s="68" t="str">
        <f>A182&amp;D182&amp;G182&amp;"目前获得"&amp;$AC$1&amp;AC:AC&amp;"名，获得"&amp;$AD$1&amp;AD:AD&amp;"名"</f>
        <v>淮南本部方若瑜伙伴目前获得龙虾节预收名额0名，获得龙虾节承保名额0名</v>
      </c>
      <c r="AF182" s="68">
        <f>SUMIF(认购返还案!D:D,E:E,认购返还案!E:E)</f>
        <v>0</v>
      </c>
      <c r="AG182" s="68">
        <f>_xlfn.IFS(AND(U:U&gt;=3000,U:U&lt;5000),AF:AF*0.5,U:U&gt;=5000,AF:AF*1,U:U&lt;3000,0)</f>
        <v>0</v>
      </c>
      <c r="AH182" s="68">
        <f>_xlfn.IFS(AND(V:V&gt;=3000,V:V&lt;5000),AF:AF*0.5,V:V&gt;=5000,AF:AF*1,V:V&lt;3000,0)</f>
        <v>0</v>
      </c>
      <c r="AI182" s="68" t="str">
        <f>A:A&amp;D:D&amp;G:G&amp;$AF$1&amp;AF:AF&amp;"元，目前预收价值"&amp;U:U&amp;"，"&amp;$AG$1&amp;AG:AG&amp;"元，"&amp;$AH$1&amp;AH:AH&amp;"元"</f>
        <v>淮南本部方若瑜伙伴冲锋队缴费金额0元，目前预收价值0，预收拟返还0元，承保拟返还0元</v>
      </c>
      <c r="AJ182" s="68">
        <f>SUMIF(保单!R:R,E:E,保单!BE:BE)*IF(AF:AF&gt;1,1,0)</f>
        <v>0</v>
      </c>
      <c r="AK182" s="68">
        <f>SUMIFS(保单!BE:BE,保单!R:R,E:E,保单!BB:BB,"有效")*IF(AF:AF&gt;1,1,0)</f>
        <v>0</v>
      </c>
      <c r="AL182" s="72" t="str">
        <f>A:A&amp;D:D&amp;G:G&amp;"只要在1-10日承保全部保单，即可获得"&amp;$AJ$1&amp;AJ:AJ&amp;"个"</f>
        <v>淮南本部方若瑜伙伴只要在1-10日承保全部保单，即可获得冲锋队按摩仪0个</v>
      </c>
    </row>
    <row r="183" spans="1:38">
      <c r="A183" s="64" t="s">
        <v>27</v>
      </c>
      <c r="B183" s="64" t="s">
        <v>28</v>
      </c>
      <c r="C183" s="64" t="s">
        <v>29</v>
      </c>
      <c r="D183" s="64" t="s">
        <v>421</v>
      </c>
      <c r="E183" s="64">
        <v>6197981852</v>
      </c>
      <c r="F183" s="64" t="s">
        <v>174</v>
      </c>
      <c r="G183" s="64" t="str">
        <f>IF(OR(F:F="高级经理一级",F:F="业务经理一级"),"主管","伙伴")</f>
        <v>伙伴</v>
      </c>
      <c r="H183" s="65">
        <f>SUMIF(险种!E:E,E:E,险种!R:R)-SUMIFS(险种!R:R,险种!U:U,"终止",险种!E:E,E:E)</f>
        <v>0</v>
      </c>
      <c r="I183" s="65">
        <f>SUMIFS(险种!R:R,险种!U:U,"有效",险种!E:E,E:E)</f>
        <v>0</v>
      </c>
      <c r="J183" s="65">
        <f>ROUND(SUMIF(险种!E:E,E:E,险种!Q:Q)-SUMIFS(险种!Q:Q,险种!U:U,"终止",险种!E:E,E:E),1)</f>
        <v>0</v>
      </c>
      <c r="K183" s="68">
        <f>RANK(J183,J:J)</f>
        <v>22</v>
      </c>
      <c r="L183" s="65">
        <f>ROUND(SUMIFS(险种!Q:Q,险种!U:U,"有效",险种!E:E,E:E),1)</f>
        <v>0</v>
      </c>
      <c r="M183" s="68">
        <f>RANK(L183,L:L,)</f>
        <v>14</v>
      </c>
      <c r="N183" s="68">
        <f>SUMIF(险种!E:E,E:E,险种!W:W)</f>
        <v>0</v>
      </c>
      <c r="O183" s="68">
        <f>IF(N:N&gt;=1,1,0)</f>
        <v>0</v>
      </c>
      <c r="P183" s="65">
        <f>ROUND(SUMIFS(险种!Q:Q,险种!V:V,$P$1,险种!E:E,E:E),1)</f>
        <v>0</v>
      </c>
      <c r="Q183" s="68">
        <f>RANK(P183,$P:$P,0)-1</f>
        <v>5</v>
      </c>
      <c r="R183" s="68" t="str">
        <f>A:A&amp;D:D&amp;G:G&amp;"在"&amp;$P$1&amp;"预收"&amp;P:P&amp;"排名中支第"&amp;Q:Q&amp;"位"</f>
        <v>凤台李梅伙伴在20210509预收0排名中支第5位</v>
      </c>
      <c r="S183" s="65">
        <f>ROUND(SUMIFS(险种!Q:Q,险种!E:E,E:E,险种!V:V,"&lt;=20210506")-SUMIFS(险种!Q:Q,险种!U:U,"终止",险种!E:E,E:E,险种!V:V,"&lt;=20210506"),1)</f>
        <v>0</v>
      </c>
      <c r="T183" s="65">
        <f>ROUND(SUMIFS(险种!Q:Q,险种!U:U,"有效",险种!E:E,E:E,险种!V:V,"&lt;=20210506"),1)</f>
        <v>0</v>
      </c>
      <c r="U183" s="65">
        <f>ROUND(SUMIFS(险种!Q:Q,险种!E:E,E:E,险种!V:V,"&lt;=20210510")-SUMIFS(险种!Q:Q,险种!U:U,"终止",险种!E:E,E:E,险种!V:V,"&lt;=20210510"),1)</f>
        <v>0</v>
      </c>
      <c r="V183" s="65">
        <f>ROUND(SUMIFS(险种!Q:Q,险种!U:U,"有效",险种!E:E,E:E,险种!V:V,"&lt;=20210510"),1)</f>
        <v>0</v>
      </c>
      <c r="W183" s="65">
        <f t="shared" si="2"/>
        <v>0</v>
      </c>
      <c r="X183" s="68">
        <f>SUMIF(险种!E:E,E:E,险种!Y:Y)</f>
        <v>0</v>
      </c>
      <c r="Y183" s="65">
        <f>MAX(_xlfn.IFS(OR(X:X=1,X:X=2),J:J*0.1,X:X&gt;=3,J:J*0.2,X:X=0,0),IF(J:J&gt;=20000,J:J*0.2,0))</f>
        <v>0</v>
      </c>
      <c r="Z183" s="65" t="str">
        <f>A183&amp;D183&amp;G183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凤台李梅伙伴5.1-5.10预收价值保费0，首周预收3000P件数0件，预收拟加佣0元。温馨提示，保单需10日（含）前承保，目前还有0价值保费未承保,开单一件即可获得10%加佣</v>
      </c>
      <c r="AA183" s="68">
        <f>SUMIF(险种!E:E,E:E,险种!Z:Z)</f>
        <v>0</v>
      </c>
      <c r="AB183" s="65"/>
      <c r="AC183" s="68">
        <f>SUMIF(险种!E:E,E:E,险种!AA:AA)</f>
        <v>0</v>
      </c>
      <c r="AD183" s="68">
        <f>SUMIFS(险种!AA:AA,险种!U:U,"有效",险种!E:E,E:E)</f>
        <v>0</v>
      </c>
      <c r="AE183" s="68" t="str">
        <f>A183&amp;D183&amp;G183&amp;"目前获得"&amp;$AC$1&amp;AC:AC&amp;"名，获得"&amp;$AD$1&amp;AD:AD&amp;"名"</f>
        <v>凤台李梅伙伴目前获得龙虾节预收名额0名，获得龙虾节承保名额0名</v>
      </c>
      <c r="AF183" s="68">
        <f>SUMIF(认购返还案!D:D,E:E,认购返还案!E:E)</f>
        <v>0</v>
      </c>
      <c r="AG183" s="68">
        <f>_xlfn.IFS(AND(U:U&gt;=3000,U:U&lt;5000),AF:AF*0.5,U:U&gt;=5000,AF:AF*1,U:U&lt;3000,0)</f>
        <v>0</v>
      </c>
      <c r="AH183" s="68">
        <f>_xlfn.IFS(AND(V:V&gt;=3000,V:V&lt;5000),AF:AF*0.5,V:V&gt;=5000,AF:AF*1,V:V&lt;3000,0)</f>
        <v>0</v>
      </c>
      <c r="AI183" s="68" t="str">
        <f>A:A&amp;D:D&amp;G:G&amp;$AF$1&amp;AF:AF&amp;"元，目前预收价值"&amp;U:U&amp;"，"&amp;$AG$1&amp;AG:AG&amp;"元，"&amp;$AH$1&amp;AH:AH&amp;"元"</f>
        <v>凤台李梅伙伴冲锋队缴费金额0元，目前预收价值0，预收拟返还0元，承保拟返还0元</v>
      </c>
      <c r="AJ183" s="68">
        <f>SUMIF(保单!R:R,E:E,保单!BE:BE)*IF(AF:AF&gt;1,1,0)</f>
        <v>0</v>
      </c>
      <c r="AK183" s="68">
        <f>SUMIFS(保单!BE:BE,保单!R:R,E:E,保单!BB:BB,"有效")*IF(AF:AF&gt;1,1,0)</f>
        <v>0</v>
      </c>
      <c r="AL183" s="72" t="str">
        <f>A:A&amp;D:D&amp;G:G&amp;"只要在1-10日承保全部保单，即可获得"&amp;$AJ$1&amp;AJ:AJ&amp;"个"</f>
        <v>凤台李梅伙伴只要在1-10日承保全部保单，即可获得冲锋队按摩仪0个</v>
      </c>
    </row>
    <row r="184" spans="1:38">
      <c r="A184" s="64" t="s">
        <v>42</v>
      </c>
      <c r="B184" s="64" t="s">
        <v>43</v>
      </c>
      <c r="C184" s="64" t="s">
        <v>44</v>
      </c>
      <c r="D184" s="64" t="s">
        <v>422</v>
      </c>
      <c r="E184" s="64">
        <v>6186306472</v>
      </c>
      <c r="F184" s="64" t="s">
        <v>174</v>
      </c>
      <c r="G184" s="64" t="str">
        <f>IF(OR(F:F="高级经理一级",F:F="业务经理一级"),"主管","伙伴")</f>
        <v>伙伴</v>
      </c>
      <c r="H184" s="65">
        <f>SUMIF(险种!E:E,E:E,险种!R:R)-SUMIFS(险种!R:R,险种!U:U,"终止",险种!E:E,E:E)</f>
        <v>0</v>
      </c>
      <c r="I184" s="65">
        <f>SUMIFS(险种!R:R,险种!U:U,"有效",险种!E:E,E:E)</f>
        <v>0</v>
      </c>
      <c r="J184" s="65">
        <f>ROUND(SUMIF(险种!E:E,E:E,险种!Q:Q)-SUMIFS(险种!Q:Q,险种!U:U,"终止",险种!E:E,E:E),1)</f>
        <v>0</v>
      </c>
      <c r="K184" s="68">
        <f>RANK(J184,J:J)</f>
        <v>22</v>
      </c>
      <c r="L184" s="65">
        <f>ROUND(SUMIFS(险种!Q:Q,险种!U:U,"有效",险种!E:E,E:E),1)</f>
        <v>0</v>
      </c>
      <c r="M184" s="68">
        <f>RANK(L184,L:L,)</f>
        <v>14</v>
      </c>
      <c r="N184" s="68">
        <f>SUMIF(险种!E:E,E:E,险种!W:W)</f>
        <v>0</v>
      </c>
      <c r="O184" s="68">
        <f>IF(N:N&gt;=1,1,0)</f>
        <v>0</v>
      </c>
      <c r="P184" s="65">
        <f>ROUND(SUMIFS(险种!Q:Q,险种!V:V,$P$1,险种!E:E,E:E),1)</f>
        <v>0</v>
      </c>
      <c r="Q184" s="68">
        <f>RANK(P184,$P:$P,0)-1</f>
        <v>5</v>
      </c>
      <c r="R184" s="68" t="str">
        <f>A:A&amp;D:D&amp;G:G&amp;"在"&amp;$P$1&amp;"预收"&amp;P:P&amp;"排名中支第"&amp;Q:Q&amp;"位"</f>
        <v>淮南本部杨之义伙伴在20210509预收0排名中支第5位</v>
      </c>
      <c r="S184" s="65">
        <f>ROUND(SUMIFS(险种!Q:Q,险种!E:E,E:E,险种!V:V,"&lt;=20210506")-SUMIFS(险种!Q:Q,险种!U:U,"终止",险种!E:E,E:E,险种!V:V,"&lt;=20210506"),1)</f>
        <v>0</v>
      </c>
      <c r="T184" s="65">
        <f>ROUND(SUMIFS(险种!Q:Q,险种!U:U,"有效",险种!E:E,E:E,险种!V:V,"&lt;=20210506"),1)</f>
        <v>0</v>
      </c>
      <c r="U184" s="65">
        <f>ROUND(SUMIFS(险种!Q:Q,险种!E:E,E:E,险种!V:V,"&lt;=20210510")-SUMIFS(险种!Q:Q,险种!U:U,"终止",险种!E:E,E:E,险种!V:V,"&lt;=20210510"),1)</f>
        <v>0</v>
      </c>
      <c r="V184" s="65">
        <f>ROUND(SUMIFS(险种!Q:Q,险种!U:U,"有效",险种!E:E,E:E,险种!V:V,"&lt;=20210510"),1)</f>
        <v>0</v>
      </c>
      <c r="W184" s="65">
        <f t="shared" si="2"/>
        <v>0</v>
      </c>
      <c r="X184" s="68">
        <f>SUMIF(险种!E:E,E:E,险种!Y:Y)</f>
        <v>0</v>
      </c>
      <c r="Y184" s="65">
        <f>MAX(_xlfn.IFS(OR(X:X=1,X:X=2),J:J*0.1,X:X&gt;=3,J:J*0.2,X:X=0,0),IF(J:J&gt;=20000,J:J*0.2,0))</f>
        <v>0</v>
      </c>
      <c r="Z184" s="65" t="str">
        <f>A184&amp;D184&amp;G184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淮南本部杨之义伙伴5.1-5.10预收价值保费0，首周预收3000P件数0件，预收拟加佣0元。温馨提示，保单需10日（含）前承保，目前还有0价值保费未承保,开单一件即可获得10%加佣</v>
      </c>
      <c r="AA184" s="68">
        <f>SUMIF(险种!E:E,E:E,险种!Z:Z)</f>
        <v>0</v>
      </c>
      <c r="AB184" s="65"/>
      <c r="AC184" s="68">
        <f>SUMIF(险种!E:E,E:E,险种!AA:AA)</f>
        <v>0</v>
      </c>
      <c r="AD184" s="68">
        <f>SUMIFS(险种!AA:AA,险种!U:U,"有效",险种!E:E,E:E)</f>
        <v>0</v>
      </c>
      <c r="AE184" s="68" t="str">
        <f>A184&amp;D184&amp;G184&amp;"目前获得"&amp;$AC$1&amp;AC:AC&amp;"名，获得"&amp;$AD$1&amp;AD:AD&amp;"名"</f>
        <v>淮南本部杨之义伙伴目前获得龙虾节预收名额0名，获得龙虾节承保名额0名</v>
      </c>
      <c r="AF184" s="68">
        <f>SUMIF(认购返还案!D:D,E:E,认购返还案!E:E)</f>
        <v>0</v>
      </c>
      <c r="AG184" s="68">
        <f>_xlfn.IFS(AND(U:U&gt;=3000,U:U&lt;5000),AF:AF*0.5,U:U&gt;=5000,AF:AF*1,U:U&lt;3000,0)</f>
        <v>0</v>
      </c>
      <c r="AH184" s="68">
        <f>_xlfn.IFS(AND(V:V&gt;=3000,V:V&lt;5000),AF:AF*0.5,V:V&gt;=5000,AF:AF*1,V:V&lt;3000,0)</f>
        <v>0</v>
      </c>
      <c r="AI184" s="68" t="str">
        <f>A:A&amp;D:D&amp;G:G&amp;$AF$1&amp;AF:AF&amp;"元，目前预收价值"&amp;U:U&amp;"，"&amp;$AG$1&amp;AG:AG&amp;"元，"&amp;$AH$1&amp;AH:AH&amp;"元"</f>
        <v>淮南本部杨之义伙伴冲锋队缴费金额0元，目前预收价值0，预收拟返还0元，承保拟返还0元</v>
      </c>
      <c r="AJ184" s="68">
        <f>SUMIF(保单!R:R,E:E,保单!BE:BE)*IF(AF:AF&gt;1,1,0)</f>
        <v>0</v>
      </c>
      <c r="AK184" s="68">
        <f>SUMIFS(保单!BE:BE,保单!R:R,E:E,保单!BB:BB,"有效")*IF(AF:AF&gt;1,1,0)</f>
        <v>0</v>
      </c>
      <c r="AL184" s="72" t="str">
        <f>A:A&amp;D:D&amp;G:G&amp;"只要在1-10日承保全部保单，即可获得"&amp;$AJ$1&amp;AJ:AJ&amp;"个"</f>
        <v>淮南本部杨之义伙伴只要在1-10日承保全部保单，即可获得冲锋队按摩仪0个</v>
      </c>
    </row>
    <row r="185" spans="1:38">
      <c r="A185" s="64" t="s">
        <v>48</v>
      </c>
      <c r="B185" s="64" t="s">
        <v>49</v>
      </c>
      <c r="C185" s="64" t="s">
        <v>98</v>
      </c>
      <c r="D185" s="64" t="s">
        <v>423</v>
      </c>
      <c r="E185" s="64">
        <v>6183512512</v>
      </c>
      <c r="F185" s="64" t="s">
        <v>174</v>
      </c>
      <c r="G185" s="64" t="str">
        <f>IF(OR(F:F="高级经理一级",F:F="业务经理一级"),"主管","伙伴")</f>
        <v>伙伴</v>
      </c>
      <c r="H185" s="65">
        <f>SUMIF(险种!E:E,E:E,险种!R:R)-SUMIFS(险种!R:R,险种!U:U,"终止",险种!E:E,E:E)</f>
        <v>0</v>
      </c>
      <c r="I185" s="65">
        <f>SUMIFS(险种!R:R,险种!U:U,"有效",险种!E:E,E:E)</f>
        <v>0</v>
      </c>
      <c r="J185" s="65">
        <f>ROUND(SUMIF(险种!E:E,E:E,险种!Q:Q)-SUMIFS(险种!Q:Q,险种!U:U,"终止",险种!E:E,E:E),1)</f>
        <v>0</v>
      </c>
      <c r="K185" s="68">
        <f>RANK(J185,J:J)</f>
        <v>22</v>
      </c>
      <c r="L185" s="65">
        <f>ROUND(SUMIFS(险种!Q:Q,险种!U:U,"有效",险种!E:E,E:E),1)</f>
        <v>0</v>
      </c>
      <c r="M185" s="68">
        <f>RANK(L185,L:L,)</f>
        <v>14</v>
      </c>
      <c r="N185" s="68">
        <f>SUMIF(险种!E:E,E:E,险种!W:W)</f>
        <v>0</v>
      </c>
      <c r="O185" s="68">
        <f>IF(N:N&gt;=1,1,0)</f>
        <v>0</v>
      </c>
      <c r="P185" s="65">
        <f>ROUND(SUMIFS(险种!Q:Q,险种!V:V,$P$1,险种!E:E,E:E),1)</f>
        <v>0</v>
      </c>
      <c r="Q185" s="68">
        <f>RANK(P185,$P:$P,0)-1</f>
        <v>5</v>
      </c>
      <c r="R185" s="68" t="str">
        <f>A:A&amp;D:D&amp;G:G&amp;"在"&amp;$P$1&amp;"预收"&amp;P:P&amp;"排名中支第"&amp;Q:Q&amp;"位"</f>
        <v>谢家集郑兆喜伙伴在20210509预收0排名中支第5位</v>
      </c>
      <c r="S185" s="65">
        <f>ROUND(SUMIFS(险种!Q:Q,险种!E:E,E:E,险种!V:V,"&lt;=20210506")-SUMIFS(险种!Q:Q,险种!U:U,"终止",险种!E:E,E:E,险种!V:V,"&lt;=20210506"),1)</f>
        <v>0</v>
      </c>
      <c r="T185" s="65">
        <f>ROUND(SUMIFS(险种!Q:Q,险种!U:U,"有效",险种!E:E,E:E,险种!V:V,"&lt;=20210506"),1)</f>
        <v>0</v>
      </c>
      <c r="U185" s="65">
        <f>ROUND(SUMIFS(险种!Q:Q,险种!E:E,E:E,险种!V:V,"&lt;=20210510")-SUMIFS(险种!Q:Q,险种!U:U,"终止",险种!E:E,E:E,险种!V:V,"&lt;=20210510"),1)</f>
        <v>0</v>
      </c>
      <c r="V185" s="65">
        <f>ROUND(SUMIFS(险种!Q:Q,险种!U:U,"有效",险种!E:E,E:E,险种!V:V,"&lt;=20210510"),1)</f>
        <v>0</v>
      </c>
      <c r="W185" s="65">
        <f t="shared" si="2"/>
        <v>0</v>
      </c>
      <c r="X185" s="68">
        <f>SUMIF(险种!E:E,E:E,险种!Y:Y)</f>
        <v>0</v>
      </c>
      <c r="Y185" s="65">
        <f>MAX(_xlfn.IFS(OR(X:X=1,X:X=2),J:J*0.1,X:X&gt;=3,J:J*0.2,X:X=0,0),IF(J:J&gt;=20000,J:J*0.2,0))</f>
        <v>0</v>
      </c>
      <c r="Z185" s="65" t="str">
        <f>A185&amp;D185&amp;G185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谢家集郑兆喜伙伴5.1-5.10预收价值保费0，首周预收3000P件数0件，预收拟加佣0元。温馨提示，保单需10日（含）前承保，目前还有0价值保费未承保,开单一件即可获得10%加佣</v>
      </c>
      <c r="AA185" s="68">
        <f>SUMIF(险种!E:E,E:E,险种!Z:Z)</f>
        <v>0</v>
      </c>
      <c r="AB185" s="65"/>
      <c r="AC185" s="68">
        <f>SUMIF(险种!E:E,E:E,险种!AA:AA)</f>
        <v>0</v>
      </c>
      <c r="AD185" s="68">
        <f>SUMIFS(险种!AA:AA,险种!U:U,"有效",险种!E:E,E:E)</f>
        <v>0</v>
      </c>
      <c r="AE185" s="68" t="str">
        <f>A185&amp;D185&amp;G185&amp;"目前获得"&amp;$AC$1&amp;AC:AC&amp;"名，获得"&amp;$AD$1&amp;AD:AD&amp;"名"</f>
        <v>谢家集郑兆喜伙伴目前获得龙虾节预收名额0名，获得龙虾节承保名额0名</v>
      </c>
      <c r="AF185" s="68">
        <f>SUMIF(认购返还案!D:D,E:E,认购返还案!E:E)</f>
        <v>0</v>
      </c>
      <c r="AG185" s="68">
        <f>_xlfn.IFS(AND(U:U&gt;=3000,U:U&lt;5000),AF:AF*0.5,U:U&gt;=5000,AF:AF*1,U:U&lt;3000,0)</f>
        <v>0</v>
      </c>
      <c r="AH185" s="68">
        <f>_xlfn.IFS(AND(V:V&gt;=3000,V:V&lt;5000),AF:AF*0.5,V:V&gt;=5000,AF:AF*1,V:V&lt;3000,0)</f>
        <v>0</v>
      </c>
      <c r="AI185" s="68" t="str">
        <f>A:A&amp;D:D&amp;G:G&amp;$AF$1&amp;AF:AF&amp;"元，目前预收价值"&amp;U:U&amp;"，"&amp;$AG$1&amp;AG:AG&amp;"元，"&amp;$AH$1&amp;AH:AH&amp;"元"</f>
        <v>谢家集郑兆喜伙伴冲锋队缴费金额0元，目前预收价值0，预收拟返还0元，承保拟返还0元</v>
      </c>
      <c r="AJ185" s="68">
        <f>SUMIF(保单!R:R,E:E,保单!BE:BE)*IF(AF:AF&gt;1,1,0)</f>
        <v>0</v>
      </c>
      <c r="AK185" s="68">
        <f>SUMIFS(保单!BE:BE,保单!R:R,E:E,保单!BB:BB,"有效")*IF(AF:AF&gt;1,1,0)</f>
        <v>0</v>
      </c>
      <c r="AL185" s="72" t="str">
        <f>A:A&amp;D:D&amp;G:G&amp;"只要在1-10日承保全部保单，即可获得"&amp;$AJ$1&amp;AJ:AJ&amp;"个"</f>
        <v>谢家集郑兆喜伙伴只要在1-10日承保全部保单，即可获得冲锋队按摩仪0个</v>
      </c>
    </row>
    <row r="186" spans="1:38">
      <c r="A186" s="64" t="s">
        <v>42</v>
      </c>
      <c r="B186" s="64" t="s">
        <v>43</v>
      </c>
      <c r="C186" s="64" t="s">
        <v>70</v>
      </c>
      <c r="D186" s="64" t="s">
        <v>424</v>
      </c>
      <c r="E186" s="64">
        <v>6183121812</v>
      </c>
      <c r="F186" s="64" t="s">
        <v>174</v>
      </c>
      <c r="G186" s="64" t="str">
        <f>IF(OR(F:F="高级经理一级",F:F="业务经理一级"),"主管","伙伴")</f>
        <v>伙伴</v>
      </c>
      <c r="H186" s="65">
        <f>SUMIF(险种!E:E,E:E,险种!R:R)-SUMIFS(险种!R:R,险种!U:U,"终止",险种!E:E,E:E)</f>
        <v>0</v>
      </c>
      <c r="I186" s="65">
        <f>SUMIFS(险种!R:R,险种!U:U,"有效",险种!E:E,E:E)</f>
        <v>0</v>
      </c>
      <c r="J186" s="65">
        <f>ROUND(SUMIF(险种!E:E,E:E,险种!Q:Q)-SUMIFS(险种!Q:Q,险种!U:U,"终止",险种!E:E,E:E),1)</f>
        <v>0</v>
      </c>
      <c r="K186" s="68">
        <f>RANK(J186,J:J)</f>
        <v>22</v>
      </c>
      <c r="L186" s="65">
        <f>ROUND(SUMIFS(险种!Q:Q,险种!U:U,"有效",险种!E:E,E:E),1)</f>
        <v>0</v>
      </c>
      <c r="M186" s="68">
        <f>RANK(L186,L:L,)</f>
        <v>14</v>
      </c>
      <c r="N186" s="68">
        <f>SUMIF(险种!E:E,E:E,险种!W:W)</f>
        <v>0</v>
      </c>
      <c r="O186" s="68">
        <f>IF(N:N&gt;=1,1,0)</f>
        <v>0</v>
      </c>
      <c r="P186" s="65">
        <f>ROUND(SUMIFS(险种!Q:Q,险种!V:V,$P$1,险种!E:E,E:E),1)</f>
        <v>0</v>
      </c>
      <c r="Q186" s="68">
        <f>RANK(P186,$P:$P,0)-1</f>
        <v>5</v>
      </c>
      <c r="R186" s="68" t="str">
        <f>A:A&amp;D:D&amp;G:G&amp;"在"&amp;$P$1&amp;"预收"&amp;P:P&amp;"排名中支第"&amp;Q:Q&amp;"位"</f>
        <v>淮南本部李范勤伙伴在20210509预收0排名中支第5位</v>
      </c>
      <c r="S186" s="65">
        <f>ROUND(SUMIFS(险种!Q:Q,险种!E:E,E:E,险种!V:V,"&lt;=20210506")-SUMIFS(险种!Q:Q,险种!U:U,"终止",险种!E:E,E:E,险种!V:V,"&lt;=20210506"),1)</f>
        <v>0</v>
      </c>
      <c r="T186" s="65">
        <f>ROUND(SUMIFS(险种!Q:Q,险种!U:U,"有效",险种!E:E,E:E,险种!V:V,"&lt;=20210506"),1)</f>
        <v>0</v>
      </c>
      <c r="U186" s="65">
        <f>ROUND(SUMIFS(险种!Q:Q,险种!E:E,E:E,险种!V:V,"&lt;=20210510")-SUMIFS(险种!Q:Q,险种!U:U,"终止",险种!E:E,E:E,险种!V:V,"&lt;=20210510"),1)</f>
        <v>0</v>
      </c>
      <c r="V186" s="65">
        <f>ROUND(SUMIFS(险种!Q:Q,险种!U:U,"有效",险种!E:E,E:E,险种!V:V,"&lt;=20210510"),1)</f>
        <v>0</v>
      </c>
      <c r="W186" s="65">
        <f t="shared" si="2"/>
        <v>0</v>
      </c>
      <c r="X186" s="68">
        <f>SUMIF(险种!E:E,E:E,险种!Y:Y)</f>
        <v>0</v>
      </c>
      <c r="Y186" s="65">
        <f>MAX(_xlfn.IFS(OR(X:X=1,X:X=2),J:J*0.1,X:X&gt;=3,J:J*0.2,X:X=0,0),IF(J:J&gt;=20000,J:J*0.2,0))</f>
        <v>0</v>
      </c>
      <c r="Z186" s="65" t="str">
        <f>A186&amp;D186&amp;G186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淮南本部李范勤伙伴5.1-5.10预收价值保费0，首周预收3000P件数0件，预收拟加佣0元。温馨提示，保单需10日（含）前承保，目前还有0价值保费未承保,开单一件即可获得10%加佣</v>
      </c>
      <c r="AA186" s="68">
        <f>SUMIF(险种!E:E,E:E,险种!Z:Z)</f>
        <v>0</v>
      </c>
      <c r="AB186" s="65"/>
      <c r="AC186" s="68">
        <f>SUMIF(险种!E:E,E:E,险种!AA:AA)</f>
        <v>0</v>
      </c>
      <c r="AD186" s="68">
        <f>SUMIFS(险种!AA:AA,险种!U:U,"有效",险种!E:E,E:E)</f>
        <v>0</v>
      </c>
      <c r="AE186" s="68" t="str">
        <f>A186&amp;D186&amp;G186&amp;"目前获得"&amp;$AC$1&amp;AC:AC&amp;"名，获得"&amp;$AD$1&amp;AD:AD&amp;"名"</f>
        <v>淮南本部李范勤伙伴目前获得龙虾节预收名额0名，获得龙虾节承保名额0名</v>
      </c>
      <c r="AF186" s="68">
        <f>SUMIF(认购返还案!D:D,E:E,认购返还案!E:E)</f>
        <v>0</v>
      </c>
      <c r="AG186" s="68">
        <f>_xlfn.IFS(AND(U:U&gt;=3000,U:U&lt;5000),AF:AF*0.5,U:U&gt;=5000,AF:AF*1,U:U&lt;3000,0)</f>
        <v>0</v>
      </c>
      <c r="AH186" s="68">
        <f>_xlfn.IFS(AND(V:V&gt;=3000,V:V&lt;5000),AF:AF*0.5,V:V&gt;=5000,AF:AF*1,V:V&lt;3000,0)</f>
        <v>0</v>
      </c>
      <c r="AI186" s="68" t="str">
        <f>A:A&amp;D:D&amp;G:G&amp;$AF$1&amp;AF:AF&amp;"元，目前预收价值"&amp;U:U&amp;"，"&amp;$AG$1&amp;AG:AG&amp;"元，"&amp;$AH$1&amp;AH:AH&amp;"元"</f>
        <v>淮南本部李范勤伙伴冲锋队缴费金额0元，目前预收价值0，预收拟返还0元，承保拟返还0元</v>
      </c>
      <c r="AJ186" s="68">
        <f>SUMIF(保单!R:R,E:E,保单!BE:BE)*IF(AF:AF&gt;1,1,0)</f>
        <v>0</v>
      </c>
      <c r="AK186" s="68">
        <f>SUMIFS(保单!BE:BE,保单!R:R,E:E,保单!BB:BB,"有效")*IF(AF:AF&gt;1,1,0)</f>
        <v>0</v>
      </c>
      <c r="AL186" s="72" t="str">
        <f>A:A&amp;D:D&amp;G:G&amp;"只要在1-10日承保全部保单，即可获得"&amp;$AJ$1&amp;AJ:AJ&amp;"个"</f>
        <v>淮南本部李范勤伙伴只要在1-10日承保全部保单，即可获得冲锋队按摩仪0个</v>
      </c>
    </row>
    <row r="187" spans="1:38">
      <c r="A187" s="64" t="s">
        <v>42</v>
      </c>
      <c r="B187" s="64" t="s">
        <v>43</v>
      </c>
      <c r="C187" s="64" t="s">
        <v>70</v>
      </c>
      <c r="D187" s="64" t="s">
        <v>425</v>
      </c>
      <c r="E187" s="64">
        <v>6176568392</v>
      </c>
      <c r="F187" s="64" t="s">
        <v>158</v>
      </c>
      <c r="G187" s="64" t="str">
        <f>IF(OR(F:F="高级经理一级",F:F="业务经理一级"),"主管","伙伴")</f>
        <v>伙伴</v>
      </c>
      <c r="H187" s="65">
        <f>SUMIF(险种!E:E,E:E,险种!R:R)-SUMIFS(险种!R:R,险种!U:U,"终止",险种!E:E,E:E)</f>
        <v>0</v>
      </c>
      <c r="I187" s="65">
        <f>SUMIFS(险种!R:R,险种!U:U,"有效",险种!E:E,E:E)</f>
        <v>0</v>
      </c>
      <c r="J187" s="65">
        <f>ROUND(SUMIF(险种!E:E,E:E,险种!Q:Q)-SUMIFS(险种!Q:Q,险种!U:U,"终止",险种!E:E,E:E),1)</f>
        <v>0</v>
      </c>
      <c r="K187" s="68">
        <f>RANK(J187,J:J)</f>
        <v>22</v>
      </c>
      <c r="L187" s="65">
        <f>ROUND(SUMIFS(险种!Q:Q,险种!U:U,"有效",险种!E:E,E:E),1)</f>
        <v>0</v>
      </c>
      <c r="M187" s="68">
        <f>RANK(L187,L:L,)</f>
        <v>14</v>
      </c>
      <c r="N187" s="68">
        <f>SUMIF(险种!E:E,E:E,险种!W:W)</f>
        <v>0</v>
      </c>
      <c r="O187" s="68">
        <f>IF(N:N&gt;=1,1,0)</f>
        <v>0</v>
      </c>
      <c r="P187" s="65">
        <f>ROUND(SUMIFS(险种!Q:Q,险种!V:V,$P$1,险种!E:E,E:E),1)</f>
        <v>0</v>
      </c>
      <c r="Q187" s="68">
        <f>RANK(P187,$P:$P,0)-1</f>
        <v>5</v>
      </c>
      <c r="R187" s="68" t="str">
        <f>A:A&amp;D:D&amp;G:G&amp;"在"&amp;$P$1&amp;"预收"&amp;P:P&amp;"排名中支第"&amp;Q:Q&amp;"位"</f>
        <v>淮南本部方杰伙伴在20210509预收0排名中支第5位</v>
      </c>
      <c r="S187" s="65">
        <f>ROUND(SUMIFS(险种!Q:Q,险种!E:E,E:E,险种!V:V,"&lt;=20210506")-SUMIFS(险种!Q:Q,险种!U:U,"终止",险种!E:E,E:E,险种!V:V,"&lt;=20210506"),1)</f>
        <v>0</v>
      </c>
      <c r="T187" s="65">
        <f>ROUND(SUMIFS(险种!Q:Q,险种!U:U,"有效",险种!E:E,E:E,险种!V:V,"&lt;=20210506"),1)</f>
        <v>0</v>
      </c>
      <c r="U187" s="65">
        <f>ROUND(SUMIFS(险种!Q:Q,险种!E:E,E:E,险种!V:V,"&lt;=20210510")-SUMIFS(险种!Q:Q,险种!U:U,"终止",险种!E:E,E:E,险种!V:V,"&lt;=20210510"),1)</f>
        <v>0</v>
      </c>
      <c r="V187" s="65">
        <f>ROUND(SUMIFS(险种!Q:Q,险种!U:U,"有效",险种!E:E,E:E,险种!V:V,"&lt;=20210510"),1)</f>
        <v>0</v>
      </c>
      <c r="W187" s="65">
        <f t="shared" si="2"/>
        <v>0</v>
      </c>
      <c r="X187" s="68">
        <f>SUMIF(险种!E:E,E:E,险种!Y:Y)</f>
        <v>0</v>
      </c>
      <c r="Y187" s="65">
        <f>MAX(_xlfn.IFS(OR(X:X=1,X:X=2),J:J*0.1,X:X&gt;=3,J:J*0.2,X:X=0,0),IF(J:J&gt;=20000,J:J*0.2,0))</f>
        <v>0</v>
      </c>
      <c r="Z187" s="65" t="str">
        <f>A187&amp;D187&amp;G187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淮南本部方杰伙伴5.1-5.10预收价值保费0，首周预收3000P件数0件，预收拟加佣0元。温馨提示，保单需10日（含）前承保，目前还有0价值保费未承保,开单一件即可获得10%加佣</v>
      </c>
      <c r="AA187" s="68">
        <f>SUMIF(险种!E:E,E:E,险种!Z:Z)</f>
        <v>0</v>
      </c>
      <c r="AB187" s="65"/>
      <c r="AC187" s="68">
        <f>SUMIF(险种!E:E,E:E,险种!AA:AA)</f>
        <v>0</v>
      </c>
      <c r="AD187" s="68">
        <f>SUMIFS(险种!AA:AA,险种!U:U,"有效",险种!E:E,E:E)</f>
        <v>0</v>
      </c>
      <c r="AE187" s="68" t="str">
        <f>A187&amp;D187&amp;G187&amp;"目前获得"&amp;$AC$1&amp;AC:AC&amp;"名，获得"&amp;$AD$1&amp;AD:AD&amp;"名"</f>
        <v>淮南本部方杰伙伴目前获得龙虾节预收名额0名，获得龙虾节承保名额0名</v>
      </c>
      <c r="AF187" s="68">
        <f>SUMIF(认购返还案!D:D,E:E,认购返还案!E:E)</f>
        <v>0</v>
      </c>
      <c r="AG187" s="68">
        <f>_xlfn.IFS(AND(U:U&gt;=3000,U:U&lt;5000),AF:AF*0.5,U:U&gt;=5000,AF:AF*1,U:U&lt;3000,0)</f>
        <v>0</v>
      </c>
      <c r="AH187" s="68">
        <f>_xlfn.IFS(AND(V:V&gt;=3000,V:V&lt;5000),AF:AF*0.5,V:V&gt;=5000,AF:AF*1,V:V&lt;3000,0)</f>
        <v>0</v>
      </c>
      <c r="AI187" s="68" t="str">
        <f>A:A&amp;D:D&amp;G:G&amp;$AF$1&amp;AF:AF&amp;"元，目前预收价值"&amp;U:U&amp;"，"&amp;$AG$1&amp;AG:AG&amp;"元，"&amp;$AH$1&amp;AH:AH&amp;"元"</f>
        <v>淮南本部方杰伙伴冲锋队缴费金额0元，目前预收价值0，预收拟返还0元，承保拟返还0元</v>
      </c>
      <c r="AJ187" s="68">
        <f>SUMIF(保单!R:R,E:E,保单!BE:BE)*IF(AF:AF&gt;1,1,0)</f>
        <v>0</v>
      </c>
      <c r="AK187" s="68">
        <f>SUMIFS(保单!BE:BE,保单!R:R,E:E,保单!BB:BB,"有效")*IF(AF:AF&gt;1,1,0)</f>
        <v>0</v>
      </c>
      <c r="AL187" s="72" t="str">
        <f>A:A&amp;D:D&amp;G:G&amp;"只要在1-10日承保全部保单，即可获得"&amp;$AJ$1&amp;AJ:AJ&amp;"个"</f>
        <v>淮南本部方杰伙伴只要在1-10日承保全部保单，即可获得冲锋队按摩仪0个</v>
      </c>
    </row>
    <row r="188" spans="1:38">
      <c r="A188" s="64" t="s">
        <v>48</v>
      </c>
      <c r="B188" s="64" t="s">
        <v>49</v>
      </c>
      <c r="C188" s="64" t="s">
        <v>50</v>
      </c>
      <c r="D188" s="64" t="s">
        <v>426</v>
      </c>
      <c r="E188" s="64">
        <v>6173444452</v>
      </c>
      <c r="F188" s="64" t="s">
        <v>168</v>
      </c>
      <c r="G188" s="64" t="str">
        <f>IF(OR(F:F="高级经理一级",F:F="业务经理一级"),"主管","伙伴")</f>
        <v>伙伴</v>
      </c>
      <c r="H188" s="65">
        <f>SUMIF(险种!E:E,E:E,险种!R:R)-SUMIFS(险种!R:R,险种!U:U,"终止",险种!E:E,E:E)</f>
        <v>0</v>
      </c>
      <c r="I188" s="65">
        <f>SUMIFS(险种!R:R,险种!U:U,"有效",险种!E:E,E:E)</f>
        <v>0</v>
      </c>
      <c r="J188" s="65">
        <f>ROUND(SUMIF(险种!E:E,E:E,险种!Q:Q)-SUMIFS(险种!Q:Q,险种!U:U,"终止",险种!E:E,E:E),1)</f>
        <v>0</v>
      </c>
      <c r="K188" s="68">
        <f>RANK(J188,J:J)</f>
        <v>22</v>
      </c>
      <c r="L188" s="65">
        <f>ROUND(SUMIFS(险种!Q:Q,险种!U:U,"有效",险种!E:E,E:E),1)</f>
        <v>0</v>
      </c>
      <c r="M188" s="68">
        <f>RANK(L188,L:L,)</f>
        <v>14</v>
      </c>
      <c r="N188" s="68">
        <f>SUMIF(险种!E:E,E:E,险种!W:W)</f>
        <v>0</v>
      </c>
      <c r="O188" s="68">
        <f>IF(N:N&gt;=1,1,0)</f>
        <v>0</v>
      </c>
      <c r="P188" s="65">
        <f>ROUND(SUMIFS(险种!Q:Q,险种!V:V,$P$1,险种!E:E,E:E),1)</f>
        <v>0</v>
      </c>
      <c r="Q188" s="68">
        <f>RANK(P188,$P:$P,0)-1</f>
        <v>5</v>
      </c>
      <c r="R188" s="68" t="str">
        <f>A:A&amp;D:D&amp;G:G&amp;"在"&amp;$P$1&amp;"预收"&amp;P:P&amp;"排名中支第"&amp;Q:Q&amp;"位"</f>
        <v>谢家集吴家美伙伴在20210509预收0排名中支第5位</v>
      </c>
      <c r="S188" s="65">
        <f>ROUND(SUMIFS(险种!Q:Q,险种!E:E,E:E,险种!V:V,"&lt;=20210506")-SUMIFS(险种!Q:Q,险种!U:U,"终止",险种!E:E,E:E,险种!V:V,"&lt;=20210506"),1)</f>
        <v>0</v>
      </c>
      <c r="T188" s="65">
        <f>ROUND(SUMIFS(险种!Q:Q,险种!U:U,"有效",险种!E:E,E:E,险种!V:V,"&lt;=20210506"),1)</f>
        <v>0</v>
      </c>
      <c r="U188" s="65">
        <f>ROUND(SUMIFS(险种!Q:Q,险种!E:E,E:E,险种!V:V,"&lt;=20210510")-SUMIFS(险种!Q:Q,险种!U:U,"终止",险种!E:E,E:E,险种!V:V,"&lt;=20210510"),1)</f>
        <v>0</v>
      </c>
      <c r="V188" s="65">
        <f>ROUND(SUMIFS(险种!Q:Q,险种!U:U,"有效",险种!E:E,E:E,险种!V:V,"&lt;=20210510"),1)</f>
        <v>0</v>
      </c>
      <c r="W188" s="65">
        <f t="shared" si="2"/>
        <v>0</v>
      </c>
      <c r="X188" s="68">
        <f>SUMIF(险种!E:E,E:E,险种!Y:Y)</f>
        <v>0</v>
      </c>
      <c r="Y188" s="65">
        <f>MAX(_xlfn.IFS(OR(X:X=1,X:X=2),J:J*0.1,X:X&gt;=3,J:J*0.2,X:X=0,0),IF(J:J&gt;=20000,J:J*0.2,0))</f>
        <v>0</v>
      </c>
      <c r="Z188" s="65" t="str">
        <f>A188&amp;D188&amp;G188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谢家集吴家美伙伴5.1-5.10预收价值保费0，首周预收3000P件数0件，预收拟加佣0元。温馨提示，保单需10日（含）前承保，目前还有0价值保费未承保,开单一件即可获得10%加佣</v>
      </c>
      <c r="AA188" s="68">
        <f>SUMIF(险种!E:E,E:E,险种!Z:Z)</f>
        <v>0</v>
      </c>
      <c r="AB188" s="65"/>
      <c r="AC188" s="68">
        <f>SUMIF(险种!E:E,E:E,险种!AA:AA)</f>
        <v>0</v>
      </c>
      <c r="AD188" s="68">
        <f>SUMIFS(险种!AA:AA,险种!U:U,"有效",险种!E:E,E:E)</f>
        <v>0</v>
      </c>
      <c r="AE188" s="68" t="str">
        <f>A188&amp;D188&amp;G188&amp;"目前获得"&amp;$AC$1&amp;AC:AC&amp;"名，获得"&amp;$AD$1&amp;AD:AD&amp;"名"</f>
        <v>谢家集吴家美伙伴目前获得龙虾节预收名额0名，获得龙虾节承保名额0名</v>
      </c>
      <c r="AF188" s="68">
        <f>SUMIF(认购返还案!D:D,E:E,认购返还案!E:E)</f>
        <v>200</v>
      </c>
      <c r="AG188" s="68">
        <f>_xlfn.IFS(AND(U:U&gt;=3000,U:U&lt;5000),AF:AF*0.5,U:U&gt;=5000,AF:AF*1,U:U&lt;3000,0)</f>
        <v>0</v>
      </c>
      <c r="AH188" s="68">
        <f>_xlfn.IFS(AND(V:V&gt;=3000,V:V&lt;5000),AF:AF*0.5,V:V&gt;=5000,AF:AF*1,V:V&lt;3000,0)</f>
        <v>0</v>
      </c>
      <c r="AI188" s="68" t="str">
        <f>A:A&amp;D:D&amp;G:G&amp;$AF$1&amp;AF:AF&amp;"元，目前预收价值"&amp;U:U&amp;"，"&amp;$AG$1&amp;AG:AG&amp;"元，"&amp;$AH$1&amp;AH:AH&amp;"元"</f>
        <v>谢家集吴家美伙伴冲锋队缴费金额200元，目前预收价值0，预收拟返还0元，承保拟返还0元</v>
      </c>
      <c r="AJ188" s="68">
        <f>SUMIF(保单!R:R,E:E,保单!BE:BE)*IF(AF:AF&gt;1,1,0)</f>
        <v>0</v>
      </c>
      <c r="AK188" s="68">
        <f>SUMIFS(保单!BE:BE,保单!R:R,E:E,保单!BB:BB,"有效")*IF(AF:AF&gt;1,1,0)</f>
        <v>0</v>
      </c>
      <c r="AL188" s="72" t="str">
        <f>A:A&amp;D:D&amp;G:G&amp;"只要在1-10日承保全部保单，即可获得"&amp;$AJ$1&amp;AJ:AJ&amp;"个"</f>
        <v>谢家集吴家美伙伴只要在1-10日承保全部保单，即可获得冲锋队按摩仪0个</v>
      </c>
    </row>
    <row r="189" spans="1:38">
      <c r="A189" s="64" t="s">
        <v>42</v>
      </c>
      <c r="B189" s="64" t="s">
        <v>66</v>
      </c>
      <c r="C189" s="64" t="s">
        <v>67</v>
      </c>
      <c r="D189" s="64" t="s">
        <v>427</v>
      </c>
      <c r="E189" s="64">
        <v>6172970322</v>
      </c>
      <c r="F189" s="64" t="s">
        <v>174</v>
      </c>
      <c r="G189" s="64" t="str">
        <f>IF(OR(F:F="高级经理一级",F:F="业务经理一级"),"主管","伙伴")</f>
        <v>伙伴</v>
      </c>
      <c r="H189" s="65">
        <f>SUMIF(险种!E:E,E:E,险种!R:R)-SUMIFS(险种!R:R,险种!U:U,"终止",险种!E:E,E:E)</f>
        <v>0</v>
      </c>
      <c r="I189" s="65">
        <f>SUMIFS(险种!R:R,险种!U:U,"有效",险种!E:E,E:E)</f>
        <v>0</v>
      </c>
      <c r="J189" s="65">
        <f>ROUND(SUMIF(险种!E:E,E:E,险种!Q:Q)-SUMIFS(险种!Q:Q,险种!U:U,"终止",险种!E:E,E:E),1)</f>
        <v>0</v>
      </c>
      <c r="K189" s="68">
        <f>RANK(J189,J:J)</f>
        <v>22</v>
      </c>
      <c r="L189" s="65">
        <f>ROUND(SUMIFS(险种!Q:Q,险种!U:U,"有效",险种!E:E,E:E),1)</f>
        <v>0</v>
      </c>
      <c r="M189" s="68">
        <f>RANK(L189,L:L,)</f>
        <v>14</v>
      </c>
      <c r="N189" s="68">
        <f>SUMIF(险种!E:E,E:E,险种!W:W)</f>
        <v>0</v>
      </c>
      <c r="O189" s="68">
        <f>IF(N:N&gt;=1,1,0)</f>
        <v>0</v>
      </c>
      <c r="P189" s="65">
        <f>ROUND(SUMIFS(险种!Q:Q,险种!V:V,$P$1,险种!E:E,E:E),1)</f>
        <v>0</v>
      </c>
      <c r="Q189" s="68">
        <f>RANK(P189,$P:$P,0)-1</f>
        <v>5</v>
      </c>
      <c r="R189" s="68" t="str">
        <f>A:A&amp;D:D&amp;G:G&amp;"在"&amp;$P$1&amp;"预收"&amp;P:P&amp;"排名中支第"&amp;Q:Q&amp;"位"</f>
        <v>淮南本部王秀美伙伴在20210509预收0排名中支第5位</v>
      </c>
      <c r="S189" s="65">
        <f>ROUND(SUMIFS(险种!Q:Q,险种!E:E,E:E,险种!V:V,"&lt;=20210506")-SUMIFS(险种!Q:Q,险种!U:U,"终止",险种!E:E,E:E,险种!V:V,"&lt;=20210506"),1)</f>
        <v>0</v>
      </c>
      <c r="T189" s="65">
        <f>ROUND(SUMIFS(险种!Q:Q,险种!U:U,"有效",险种!E:E,E:E,险种!V:V,"&lt;=20210506"),1)</f>
        <v>0</v>
      </c>
      <c r="U189" s="65">
        <f>ROUND(SUMIFS(险种!Q:Q,险种!E:E,E:E,险种!V:V,"&lt;=20210510")-SUMIFS(险种!Q:Q,险种!U:U,"终止",险种!E:E,E:E,险种!V:V,"&lt;=20210510"),1)</f>
        <v>0</v>
      </c>
      <c r="V189" s="65">
        <f>ROUND(SUMIFS(险种!Q:Q,险种!U:U,"有效",险种!E:E,E:E,险种!V:V,"&lt;=20210510"),1)</f>
        <v>0</v>
      </c>
      <c r="W189" s="65">
        <f t="shared" si="2"/>
        <v>0</v>
      </c>
      <c r="X189" s="68">
        <f>SUMIF(险种!E:E,E:E,险种!Y:Y)</f>
        <v>0</v>
      </c>
      <c r="Y189" s="65">
        <f>MAX(_xlfn.IFS(OR(X:X=1,X:X=2),J:J*0.1,X:X&gt;=3,J:J*0.2,X:X=0,0),IF(J:J&gt;=20000,J:J*0.2,0))</f>
        <v>0</v>
      </c>
      <c r="Z189" s="65" t="str">
        <f>A189&amp;D189&amp;G189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淮南本部王秀美伙伴5.1-5.10预收价值保费0，首周预收3000P件数0件，预收拟加佣0元。温馨提示，保单需10日（含）前承保，目前还有0价值保费未承保,开单一件即可获得10%加佣</v>
      </c>
      <c r="AA189" s="68">
        <f>SUMIF(险种!E:E,E:E,险种!Z:Z)</f>
        <v>0</v>
      </c>
      <c r="AB189" s="65"/>
      <c r="AC189" s="68">
        <f>SUMIF(险种!E:E,E:E,险种!AA:AA)</f>
        <v>0</v>
      </c>
      <c r="AD189" s="68">
        <f>SUMIFS(险种!AA:AA,险种!U:U,"有效",险种!E:E,E:E)</f>
        <v>0</v>
      </c>
      <c r="AE189" s="68" t="str">
        <f>A189&amp;D189&amp;G189&amp;"目前获得"&amp;$AC$1&amp;AC:AC&amp;"名，获得"&amp;$AD$1&amp;AD:AD&amp;"名"</f>
        <v>淮南本部王秀美伙伴目前获得龙虾节预收名额0名，获得龙虾节承保名额0名</v>
      </c>
      <c r="AF189" s="68">
        <f>SUMIF(认购返还案!D:D,E:E,认购返还案!E:E)</f>
        <v>0</v>
      </c>
      <c r="AG189" s="68">
        <f>_xlfn.IFS(AND(U:U&gt;=3000,U:U&lt;5000),AF:AF*0.5,U:U&gt;=5000,AF:AF*1,U:U&lt;3000,0)</f>
        <v>0</v>
      </c>
      <c r="AH189" s="68">
        <f>_xlfn.IFS(AND(V:V&gt;=3000,V:V&lt;5000),AF:AF*0.5,V:V&gt;=5000,AF:AF*1,V:V&lt;3000,0)</f>
        <v>0</v>
      </c>
      <c r="AI189" s="68" t="str">
        <f>A:A&amp;D:D&amp;G:G&amp;$AF$1&amp;AF:AF&amp;"元，目前预收价值"&amp;U:U&amp;"，"&amp;$AG$1&amp;AG:AG&amp;"元，"&amp;$AH$1&amp;AH:AH&amp;"元"</f>
        <v>淮南本部王秀美伙伴冲锋队缴费金额0元，目前预收价值0，预收拟返还0元，承保拟返还0元</v>
      </c>
      <c r="AJ189" s="68">
        <f>SUMIF(保单!R:R,E:E,保单!BE:BE)*IF(AF:AF&gt;1,1,0)</f>
        <v>0</v>
      </c>
      <c r="AK189" s="68">
        <f>SUMIFS(保单!BE:BE,保单!R:R,E:E,保单!BB:BB,"有效")*IF(AF:AF&gt;1,1,0)</f>
        <v>0</v>
      </c>
      <c r="AL189" s="72" t="str">
        <f>A:A&amp;D:D&amp;G:G&amp;"只要在1-10日承保全部保单，即可获得"&amp;$AJ$1&amp;AJ:AJ&amp;"个"</f>
        <v>淮南本部王秀美伙伴只要在1-10日承保全部保单，即可获得冲锋队按摩仪0个</v>
      </c>
    </row>
    <row r="190" spans="1:38">
      <c r="A190" s="64" t="s">
        <v>48</v>
      </c>
      <c r="B190" s="64" t="s">
        <v>49</v>
      </c>
      <c r="C190" s="64" t="s">
        <v>82</v>
      </c>
      <c r="D190" s="64" t="s">
        <v>428</v>
      </c>
      <c r="E190" s="64">
        <v>6170483702</v>
      </c>
      <c r="F190" s="64" t="s">
        <v>168</v>
      </c>
      <c r="G190" s="64" t="str">
        <f>IF(OR(F:F="高级经理一级",F:F="业务经理一级"),"主管","伙伴")</f>
        <v>伙伴</v>
      </c>
      <c r="H190" s="65">
        <f>SUMIF(险种!E:E,E:E,险种!R:R)-SUMIFS(险种!R:R,险种!U:U,"终止",险种!E:E,E:E)</f>
        <v>0</v>
      </c>
      <c r="I190" s="65">
        <f>SUMIFS(险种!R:R,险种!U:U,"有效",险种!E:E,E:E)</f>
        <v>0</v>
      </c>
      <c r="J190" s="65">
        <f>ROUND(SUMIF(险种!E:E,E:E,险种!Q:Q)-SUMIFS(险种!Q:Q,险种!U:U,"终止",险种!E:E,E:E),1)</f>
        <v>0</v>
      </c>
      <c r="K190" s="68">
        <f>RANK(J190,J:J)</f>
        <v>22</v>
      </c>
      <c r="L190" s="65">
        <f>ROUND(SUMIFS(险种!Q:Q,险种!U:U,"有效",险种!E:E,E:E),1)</f>
        <v>0</v>
      </c>
      <c r="M190" s="68">
        <f>RANK(L190,L:L,)</f>
        <v>14</v>
      </c>
      <c r="N190" s="68">
        <f>SUMIF(险种!E:E,E:E,险种!W:W)</f>
        <v>0</v>
      </c>
      <c r="O190" s="68">
        <f>IF(N:N&gt;=1,1,0)</f>
        <v>0</v>
      </c>
      <c r="P190" s="65">
        <f>ROUND(SUMIFS(险种!Q:Q,险种!V:V,$P$1,险种!E:E,E:E),1)</f>
        <v>0</v>
      </c>
      <c r="Q190" s="68">
        <f>RANK(P190,$P:$P,0)-1</f>
        <v>5</v>
      </c>
      <c r="R190" s="68" t="str">
        <f>A:A&amp;D:D&amp;G:G&amp;"在"&amp;$P$1&amp;"预收"&amp;P:P&amp;"排名中支第"&amp;Q:Q&amp;"位"</f>
        <v>谢家集陈榕华伙伴在20210509预收0排名中支第5位</v>
      </c>
      <c r="S190" s="65">
        <f>ROUND(SUMIFS(险种!Q:Q,险种!E:E,E:E,险种!V:V,"&lt;=20210506")-SUMIFS(险种!Q:Q,险种!U:U,"终止",险种!E:E,E:E,险种!V:V,"&lt;=20210506"),1)</f>
        <v>0</v>
      </c>
      <c r="T190" s="65">
        <f>ROUND(SUMIFS(险种!Q:Q,险种!U:U,"有效",险种!E:E,E:E,险种!V:V,"&lt;=20210506"),1)</f>
        <v>0</v>
      </c>
      <c r="U190" s="65">
        <f>ROUND(SUMIFS(险种!Q:Q,险种!E:E,E:E,险种!V:V,"&lt;=20210510")-SUMIFS(险种!Q:Q,险种!U:U,"终止",险种!E:E,E:E,险种!V:V,"&lt;=20210510"),1)</f>
        <v>0</v>
      </c>
      <c r="V190" s="65">
        <f>ROUND(SUMIFS(险种!Q:Q,险种!U:U,"有效",险种!E:E,E:E,险种!V:V,"&lt;=20210510"),1)</f>
        <v>0</v>
      </c>
      <c r="W190" s="65">
        <f t="shared" si="2"/>
        <v>0</v>
      </c>
      <c r="X190" s="68">
        <f>SUMIF(险种!E:E,E:E,险种!Y:Y)</f>
        <v>0</v>
      </c>
      <c r="Y190" s="65">
        <f>MAX(_xlfn.IFS(OR(X:X=1,X:X=2),J:J*0.1,X:X&gt;=3,J:J*0.2,X:X=0,0),IF(J:J&gt;=20000,J:J*0.2,0))</f>
        <v>0</v>
      </c>
      <c r="Z190" s="65" t="str">
        <f>A190&amp;D190&amp;G190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谢家集陈榕华伙伴5.1-5.10预收价值保费0，首周预收3000P件数0件，预收拟加佣0元。温馨提示，保单需10日（含）前承保，目前还有0价值保费未承保,开单一件即可获得10%加佣</v>
      </c>
      <c r="AA190" s="68">
        <f>SUMIF(险种!E:E,E:E,险种!Z:Z)</f>
        <v>0</v>
      </c>
      <c r="AB190" s="65"/>
      <c r="AC190" s="68">
        <f>SUMIF(险种!E:E,E:E,险种!AA:AA)</f>
        <v>0</v>
      </c>
      <c r="AD190" s="68">
        <f>SUMIFS(险种!AA:AA,险种!U:U,"有效",险种!E:E,E:E)</f>
        <v>0</v>
      </c>
      <c r="AE190" s="68" t="str">
        <f>A190&amp;D190&amp;G190&amp;"目前获得"&amp;$AC$1&amp;AC:AC&amp;"名，获得"&amp;$AD$1&amp;AD:AD&amp;"名"</f>
        <v>谢家集陈榕华伙伴目前获得龙虾节预收名额0名，获得龙虾节承保名额0名</v>
      </c>
      <c r="AF190" s="68">
        <f>SUMIF(认购返还案!D:D,E:E,认购返还案!E:E)</f>
        <v>200</v>
      </c>
      <c r="AG190" s="68">
        <f>_xlfn.IFS(AND(U:U&gt;=3000,U:U&lt;5000),AF:AF*0.5,U:U&gt;=5000,AF:AF*1,U:U&lt;3000,0)</f>
        <v>0</v>
      </c>
      <c r="AH190" s="68">
        <f>_xlfn.IFS(AND(V:V&gt;=3000,V:V&lt;5000),AF:AF*0.5,V:V&gt;=5000,AF:AF*1,V:V&lt;3000,0)</f>
        <v>0</v>
      </c>
      <c r="AI190" s="68" t="str">
        <f>A:A&amp;D:D&amp;G:G&amp;$AF$1&amp;AF:AF&amp;"元，目前预收价值"&amp;U:U&amp;"，"&amp;$AG$1&amp;AG:AG&amp;"元，"&amp;$AH$1&amp;AH:AH&amp;"元"</f>
        <v>谢家集陈榕华伙伴冲锋队缴费金额200元，目前预收价值0，预收拟返还0元，承保拟返还0元</v>
      </c>
      <c r="AJ190" s="68">
        <f>SUMIF(保单!R:R,E:E,保单!BE:BE)*IF(AF:AF&gt;1,1,0)</f>
        <v>0</v>
      </c>
      <c r="AK190" s="68">
        <f>SUMIFS(保单!BE:BE,保单!R:R,E:E,保单!BB:BB,"有效")*IF(AF:AF&gt;1,1,0)</f>
        <v>0</v>
      </c>
      <c r="AL190" s="72" t="str">
        <f>A:A&amp;D:D&amp;G:G&amp;"只要在1-10日承保全部保单，即可获得"&amp;$AJ$1&amp;AJ:AJ&amp;"个"</f>
        <v>谢家集陈榕华伙伴只要在1-10日承保全部保单，即可获得冲锋队按摩仪0个</v>
      </c>
    </row>
    <row r="191" spans="1:38">
      <c r="A191" s="64" t="s">
        <v>27</v>
      </c>
      <c r="B191" s="64" t="s">
        <v>94</v>
      </c>
      <c r="C191" s="64" t="s">
        <v>95</v>
      </c>
      <c r="D191" s="64" t="s">
        <v>429</v>
      </c>
      <c r="E191" s="64">
        <v>6165252972</v>
      </c>
      <c r="F191" s="64" t="s">
        <v>168</v>
      </c>
      <c r="G191" s="64" t="str">
        <f>IF(OR(F:F="高级经理一级",F:F="业务经理一级"),"主管","伙伴")</f>
        <v>伙伴</v>
      </c>
      <c r="H191" s="65">
        <f>SUMIF(险种!E:E,E:E,险种!R:R)-SUMIFS(险种!R:R,险种!U:U,"终止",险种!E:E,E:E)</f>
        <v>0</v>
      </c>
      <c r="I191" s="65">
        <f>SUMIFS(险种!R:R,险种!U:U,"有效",险种!E:E,E:E)</f>
        <v>0</v>
      </c>
      <c r="J191" s="65">
        <f>ROUND(SUMIF(险种!E:E,E:E,险种!Q:Q)-SUMIFS(险种!Q:Q,险种!U:U,"终止",险种!E:E,E:E),1)</f>
        <v>0</v>
      </c>
      <c r="K191" s="68">
        <f>RANK(J191,J:J)</f>
        <v>22</v>
      </c>
      <c r="L191" s="65">
        <f>ROUND(SUMIFS(险种!Q:Q,险种!U:U,"有效",险种!E:E,E:E),1)</f>
        <v>0</v>
      </c>
      <c r="M191" s="68">
        <f>RANK(L191,L:L,)</f>
        <v>14</v>
      </c>
      <c r="N191" s="68">
        <f>SUMIF(险种!E:E,E:E,险种!W:W)</f>
        <v>0</v>
      </c>
      <c r="O191" s="68">
        <f>IF(N:N&gt;=1,1,0)</f>
        <v>0</v>
      </c>
      <c r="P191" s="65">
        <f>ROUND(SUMIFS(险种!Q:Q,险种!V:V,$P$1,险种!E:E,E:E),1)</f>
        <v>0</v>
      </c>
      <c r="Q191" s="68">
        <f>RANK(P191,$P:$P,0)-1</f>
        <v>5</v>
      </c>
      <c r="R191" s="68" t="str">
        <f>A:A&amp;D:D&amp;G:G&amp;"在"&amp;$P$1&amp;"预收"&amp;P:P&amp;"排名中支第"&amp;Q:Q&amp;"位"</f>
        <v>凤台叶永艳伙伴在20210509预收0排名中支第5位</v>
      </c>
      <c r="S191" s="65">
        <f>ROUND(SUMIFS(险种!Q:Q,险种!E:E,E:E,险种!V:V,"&lt;=20210506")-SUMIFS(险种!Q:Q,险种!U:U,"终止",险种!E:E,E:E,险种!V:V,"&lt;=20210506"),1)</f>
        <v>0</v>
      </c>
      <c r="T191" s="65">
        <f>ROUND(SUMIFS(险种!Q:Q,险种!U:U,"有效",险种!E:E,E:E,险种!V:V,"&lt;=20210506"),1)</f>
        <v>0</v>
      </c>
      <c r="U191" s="65">
        <f>ROUND(SUMIFS(险种!Q:Q,险种!E:E,E:E,险种!V:V,"&lt;=20210510")-SUMIFS(险种!Q:Q,险种!U:U,"终止",险种!E:E,E:E,险种!V:V,"&lt;=20210510"),1)</f>
        <v>0</v>
      </c>
      <c r="V191" s="65">
        <f>ROUND(SUMIFS(险种!Q:Q,险种!U:U,"有效",险种!E:E,E:E,险种!V:V,"&lt;=20210510"),1)</f>
        <v>0</v>
      </c>
      <c r="W191" s="65">
        <f t="shared" si="2"/>
        <v>0</v>
      </c>
      <c r="X191" s="68">
        <f>SUMIF(险种!E:E,E:E,险种!Y:Y)</f>
        <v>0</v>
      </c>
      <c r="Y191" s="65">
        <f>MAX(_xlfn.IFS(OR(X:X=1,X:X=2),J:J*0.1,X:X&gt;=3,J:J*0.2,X:X=0,0),IF(J:J&gt;=20000,J:J*0.2,0))</f>
        <v>0</v>
      </c>
      <c r="Z191" s="65" t="str">
        <f>A191&amp;D191&amp;G191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凤台叶永艳伙伴5.1-5.10预收价值保费0，首周预收3000P件数0件，预收拟加佣0元。温馨提示，保单需10日（含）前承保，目前还有0价值保费未承保,开单一件即可获得10%加佣</v>
      </c>
      <c r="AA191" s="68">
        <f>SUMIF(险种!E:E,E:E,险种!Z:Z)</f>
        <v>0</v>
      </c>
      <c r="AB191" s="65"/>
      <c r="AC191" s="68">
        <f>SUMIF(险种!E:E,E:E,险种!AA:AA)</f>
        <v>0</v>
      </c>
      <c r="AD191" s="68">
        <f>SUMIFS(险种!AA:AA,险种!U:U,"有效",险种!E:E,E:E)</f>
        <v>0</v>
      </c>
      <c r="AE191" s="68" t="str">
        <f>A191&amp;D191&amp;G191&amp;"目前获得"&amp;$AC$1&amp;AC:AC&amp;"名，获得"&amp;$AD$1&amp;AD:AD&amp;"名"</f>
        <v>凤台叶永艳伙伴目前获得龙虾节预收名额0名，获得龙虾节承保名额0名</v>
      </c>
      <c r="AF191" s="68">
        <f>SUMIF(认购返还案!D:D,E:E,认购返还案!E:E)</f>
        <v>200</v>
      </c>
      <c r="AG191" s="68">
        <f>_xlfn.IFS(AND(U:U&gt;=3000,U:U&lt;5000),AF:AF*0.5,U:U&gt;=5000,AF:AF*1,U:U&lt;3000,0)</f>
        <v>0</v>
      </c>
      <c r="AH191" s="68">
        <f>_xlfn.IFS(AND(V:V&gt;=3000,V:V&lt;5000),AF:AF*0.5,V:V&gt;=5000,AF:AF*1,V:V&lt;3000,0)</f>
        <v>0</v>
      </c>
      <c r="AI191" s="68" t="str">
        <f>A:A&amp;D:D&amp;G:G&amp;$AF$1&amp;AF:AF&amp;"元，目前预收价值"&amp;U:U&amp;"，"&amp;$AG$1&amp;AG:AG&amp;"元，"&amp;$AH$1&amp;AH:AH&amp;"元"</f>
        <v>凤台叶永艳伙伴冲锋队缴费金额200元，目前预收价值0，预收拟返还0元，承保拟返还0元</v>
      </c>
      <c r="AJ191" s="68">
        <f>SUMIF(保单!R:R,E:E,保单!BE:BE)*IF(AF:AF&gt;1,1,0)</f>
        <v>0</v>
      </c>
      <c r="AK191" s="68">
        <f>SUMIFS(保单!BE:BE,保单!R:R,E:E,保单!BB:BB,"有效")*IF(AF:AF&gt;1,1,0)</f>
        <v>0</v>
      </c>
      <c r="AL191" s="72" t="str">
        <f>A:A&amp;D:D&amp;G:G&amp;"只要在1-10日承保全部保单，即可获得"&amp;$AJ$1&amp;AJ:AJ&amp;"个"</f>
        <v>凤台叶永艳伙伴只要在1-10日承保全部保单，即可获得冲锋队按摩仪0个</v>
      </c>
    </row>
    <row r="192" spans="1:38">
      <c r="A192" s="64" t="s">
        <v>42</v>
      </c>
      <c r="B192" s="64" t="s">
        <v>43</v>
      </c>
      <c r="C192" s="64" t="s">
        <v>44</v>
      </c>
      <c r="D192" s="64" t="s">
        <v>430</v>
      </c>
      <c r="E192" s="64">
        <v>6155042562</v>
      </c>
      <c r="F192" s="64" t="s">
        <v>174</v>
      </c>
      <c r="G192" s="64" t="str">
        <f>IF(OR(F:F="高级经理一级",F:F="业务经理一级"),"主管","伙伴")</f>
        <v>伙伴</v>
      </c>
      <c r="H192" s="65">
        <f>SUMIF(险种!E:E,E:E,险种!R:R)-SUMIFS(险种!R:R,险种!U:U,"终止",险种!E:E,E:E)</f>
        <v>0</v>
      </c>
      <c r="I192" s="65">
        <f>SUMIFS(险种!R:R,险种!U:U,"有效",险种!E:E,E:E)</f>
        <v>0</v>
      </c>
      <c r="J192" s="65">
        <f>ROUND(SUMIF(险种!E:E,E:E,险种!Q:Q)-SUMIFS(险种!Q:Q,险种!U:U,"终止",险种!E:E,E:E),1)</f>
        <v>0</v>
      </c>
      <c r="K192" s="68">
        <f>RANK(J192,J:J)</f>
        <v>22</v>
      </c>
      <c r="L192" s="65">
        <f>ROUND(SUMIFS(险种!Q:Q,险种!U:U,"有效",险种!E:E,E:E),1)</f>
        <v>0</v>
      </c>
      <c r="M192" s="68">
        <f>RANK(L192,L:L,)</f>
        <v>14</v>
      </c>
      <c r="N192" s="68">
        <f>SUMIF(险种!E:E,E:E,险种!W:W)</f>
        <v>0</v>
      </c>
      <c r="O192" s="68">
        <f>IF(N:N&gt;=1,1,0)</f>
        <v>0</v>
      </c>
      <c r="P192" s="65">
        <f>ROUND(SUMIFS(险种!Q:Q,险种!V:V,$P$1,险种!E:E,E:E),1)</f>
        <v>0</v>
      </c>
      <c r="Q192" s="68">
        <f>RANK(P192,$P:$P,0)-1</f>
        <v>5</v>
      </c>
      <c r="R192" s="68" t="str">
        <f>A:A&amp;D:D&amp;G:G&amp;"在"&amp;$P$1&amp;"预收"&amp;P:P&amp;"排名中支第"&amp;Q:Q&amp;"位"</f>
        <v>淮南本部李连秀伙伴在20210509预收0排名中支第5位</v>
      </c>
      <c r="S192" s="65">
        <f>ROUND(SUMIFS(险种!Q:Q,险种!E:E,E:E,险种!V:V,"&lt;=20210506")-SUMIFS(险种!Q:Q,险种!U:U,"终止",险种!E:E,E:E,险种!V:V,"&lt;=20210506"),1)</f>
        <v>0</v>
      </c>
      <c r="T192" s="65">
        <f>ROUND(SUMIFS(险种!Q:Q,险种!U:U,"有效",险种!E:E,E:E,险种!V:V,"&lt;=20210506"),1)</f>
        <v>0</v>
      </c>
      <c r="U192" s="65">
        <f>ROUND(SUMIFS(险种!Q:Q,险种!E:E,E:E,险种!V:V,"&lt;=20210510")-SUMIFS(险种!Q:Q,险种!U:U,"终止",险种!E:E,E:E,险种!V:V,"&lt;=20210510"),1)</f>
        <v>0</v>
      </c>
      <c r="V192" s="65">
        <f>ROUND(SUMIFS(险种!Q:Q,险种!U:U,"有效",险种!E:E,E:E,险种!V:V,"&lt;=20210510"),1)</f>
        <v>0</v>
      </c>
      <c r="W192" s="65">
        <f t="shared" si="2"/>
        <v>0</v>
      </c>
      <c r="X192" s="68">
        <f>SUMIF(险种!E:E,E:E,险种!Y:Y)</f>
        <v>0</v>
      </c>
      <c r="Y192" s="65">
        <f>MAX(_xlfn.IFS(OR(X:X=1,X:X=2),J:J*0.1,X:X&gt;=3,J:J*0.2,X:X=0,0),IF(J:J&gt;=20000,J:J*0.2,0))</f>
        <v>0</v>
      </c>
      <c r="Z192" s="65" t="str">
        <f>A192&amp;D192&amp;G192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淮南本部李连秀伙伴5.1-5.10预收价值保费0，首周预收3000P件数0件，预收拟加佣0元。温馨提示，保单需10日（含）前承保，目前还有0价值保费未承保,开单一件即可获得10%加佣</v>
      </c>
      <c r="AA192" s="68">
        <f>SUMIF(险种!E:E,E:E,险种!Z:Z)</f>
        <v>0</v>
      </c>
      <c r="AB192" s="65"/>
      <c r="AC192" s="68">
        <f>SUMIF(险种!E:E,E:E,险种!AA:AA)</f>
        <v>0</v>
      </c>
      <c r="AD192" s="68">
        <f>SUMIFS(险种!AA:AA,险种!U:U,"有效",险种!E:E,E:E)</f>
        <v>0</v>
      </c>
      <c r="AE192" s="68" t="str">
        <f>A192&amp;D192&amp;G192&amp;"目前获得"&amp;$AC$1&amp;AC:AC&amp;"名，获得"&amp;$AD$1&amp;AD:AD&amp;"名"</f>
        <v>淮南本部李连秀伙伴目前获得龙虾节预收名额0名，获得龙虾节承保名额0名</v>
      </c>
      <c r="AF192" s="68">
        <f>SUMIF(认购返还案!D:D,E:E,认购返还案!E:E)</f>
        <v>0</v>
      </c>
      <c r="AG192" s="68">
        <f>_xlfn.IFS(AND(U:U&gt;=3000,U:U&lt;5000),AF:AF*0.5,U:U&gt;=5000,AF:AF*1,U:U&lt;3000,0)</f>
        <v>0</v>
      </c>
      <c r="AH192" s="68">
        <f>_xlfn.IFS(AND(V:V&gt;=3000,V:V&lt;5000),AF:AF*0.5,V:V&gt;=5000,AF:AF*1,V:V&lt;3000,0)</f>
        <v>0</v>
      </c>
      <c r="AI192" s="68" t="str">
        <f>A:A&amp;D:D&amp;G:G&amp;$AF$1&amp;AF:AF&amp;"元，目前预收价值"&amp;U:U&amp;"，"&amp;$AG$1&amp;AG:AG&amp;"元，"&amp;$AH$1&amp;AH:AH&amp;"元"</f>
        <v>淮南本部李连秀伙伴冲锋队缴费金额0元，目前预收价值0，预收拟返还0元，承保拟返还0元</v>
      </c>
      <c r="AJ192" s="68">
        <f>SUMIF(保单!R:R,E:E,保单!BE:BE)*IF(AF:AF&gt;1,1,0)</f>
        <v>0</v>
      </c>
      <c r="AK192" s="68">
        <f>SUMIFS(保单!BE:BE,保单!R:R,E:E,保单!BB:BB,"有效")*IF(AF:AF&gt;1,1,0)</f>
        <v>0</v>
      </c>
      <c r="AL192" s="72" t="str">
        <f>A:A&amp;D:D&amp;G:G&amp;"只要在1-10日承保全部保单，即可获得"&amp;$AJ$1&amp;AJ:AJ&amp;"个"</f>
        <v>淮南本部李连秀伙伴只要在1-10日承保全部保单，即可获得冲锋队按摩仪0个</v>
      </c>
    </row>
    <row r="193" spans="1:38">
      <c r="A193" s="64" t="s">
        <v>27</v>
      </c>
      <c r="B193" s="64" t="s">
        <v>28</v>
      </c>
      <c r="C193" s="64" t="s">
        <v>29</v>
      </c>
      <c r="D193" s="64" t="s">
        <v>431</v>
      </c>
      <c r="E193" s="64">
        <v>6148870842</v>
      </c>
      <c r="F193" s="64" t="s">
        <v>168</v>
      </c>
      <c r="G193" s="64" t="str">
        <f>IF(OR(F:F="高级经理一级",F:F="业务经理一级"),"主管","伙伴")</f>
        <v>伙伴</v>
      </c>
      <c r="H193" s="65">
        <f>SUMIF(险种!E:E,E:E,险种!R:R)-SUMIFS(险种!R:R,险种!U:U,"终止",险种!E:E,E:E)</f>
        <v>0</v>
      </c>
      <c r="I193" s="65">
        <f>SUMIFS(险种!R:R,险种!U:U,"有效",险种!E:E,E:E)</f>
        <v>0</v>
      </c>
      <c r="J193" s="65">
        <f>ROUND(SUMIF(险种!E:E,E:E,险种!Q:Q)-SUMIFS(险种!Q:Q,险种!U:U,"终止",险种!E:E,E:E),1)</f>
        <v>0</v>
      </c>
      <c r="K193" s="68">
        <f>RANK(J193,J:J)</f>
        <v>22</v>
      </c>
      <c r="L193" s="65">
        <f>ROUND(SUMIFS(险种!Q:Q,险种!U:U,"有效",险种!E:E,E:E),1)</f>
        <v>0</v>
      </c>
      <c r="M193" s="68">
        <f>RANK(L193,L:L,)</f>
        <v>14</v>
      </c>
      <c r="N193" s="68">
        <f>SUMIF(险种!E:E,E:E,险种!W:W)</f>
        <v>0</v>
      </c>
      <c r="O193" s="68">
        <f>IF(N:N&gt;=1,1,0)</f>
        <v>0</v>
      </c>
      <c r="P193" s="65">
        <f>ROUND(SUMIFS(险种!Q:Q,险种!V:V,$P$1,险种!E:E,E:E),1)</f>
        <v>0</v>
      </c>
      <c r="Q193" s="68">
        <f>RANK(P193,$P:$P,0)-1</f>
        <v>5</v>
      </c>
      <c r="R193" s="68" t="str">
        <f>A:A&amp;D:D&amp;G:G&amp;"在"&amp;$P$1&amp;"预收"&amp;P:P&amp;"排名中支第"&amp;Q:Q&amp;"位"</f>
        <v>凤台陈佳敏伙伴在20210509预收0排名中支第5位</v>
      </c>
      <c r="S193" s="65">
        <f>ROUND(SUMIFS(险种!Q:Q,险种!E:E,E:E,险种!V:V,"&lt;=20210506")-SUMIFS(险种!Q:Q,险种!U:U,"终止",险种!E:E,E:E,险种!V:V,"&lt;=20210506"),1)</f>
        <v>0</v>
      </c>
      <c r="T193" s="65">
        <f>ROUND(SUMIFS(险种!Q:Q,险种!U:U,"有效",险种!E:E,E:E,险种!V:V,"&lt;=20210506"),1)</f>
        <v>0</v>
      </c>
      <c r="U193" s="65">
        <f>ROUND(SUMIFS(险种!Q:Q,险种!E:E,E:E,险种!V:V,"&lt;=20210510")-SUMIFS(险种!Q:Q,险种!U:U,"终止",险种!E:E,E:E,险种!V:V,"&lt;=20210510"),1)</f>
        <v>0</v>
      </c>
      <c r="V193" s="65">
        <f>ROUND(SUMIFS(险种!Q:Q,险种!U:U,"有效",险种!E:E,E:E,险种!V:V,"&lt;=20210510"),1)</f>
        <v>0</v>
      </c>
      <c r="W193" s="65">
        <f t="shared" si="2"/>
        <v>0</v>
      </c>
      <c r="X193" s="68">
        <f>SUMIF(险种!E:E,E:E,险种!Y:Y)</f>
        <v>0</v>
      </c>
      <c r="Y193" s="65">
        <f>MAX(_xlfn.IFS(OR(X:X=1,X:X=2),J:J*0.1,X:X&gt;=3,J:J*0.2,X:X=0,0),IF(J:J&gt;=20000,J:J*0.2,0))</f>
        <v>0</v>
      </c>
      <c r="Z193" s="65" t="str">
        <f>A193&amp;D193&amp;G193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凤台陈佳敏伙伴5.1-5.10预收价值保费0，首周预收3000P件数0件，预收拟加佣0元。温馨提示，保单需10日（含）前承保，目前还有0价值保费未承保,开单一件即可获得10%加佣</v>
      </c>
      <c r="AA193" s="68">
        <f>SUMIF(险种!E:E,E:E,险种!Z:Z)</f>
        <v>0</v>
      </c>
      <c r="AB193" s="65"/>
      <c r="AC193" s="68">
        <f>SUMIF(险种!E:E,E:E,险种!AA:AA)</f>
        <v>0</v>
      </c>
      <c r="AD193" s="68">
        <f>SUMIFS(险种!AA:AA,险种!U:U,"有效",险种!E:E,E:E)</f>
        <v>0</v>
      </c>
      <c r="AE193" s="68" t="str">
        <f>A193&amp;D193&amp;G193&amp;"目前获得"&amp;$AC$1&amp;AC:AC&amp;"名，获得"&amp;$AD$1&amp;AD:AD&amp;"名"</f>
        <v>凤台陈佳敏伙伴目前获得龙虾节预收名额0名，获得龙虾节承保名额0名</v>
      </c>
      <c r="AF193" s="68">
        <f>SUMIF(认购返还案!D:D,E:E,认购返还案!E:E)</f>
        <v>0</v>
      </c>
      <c r="AG193" s="68">
        <f>_xlfn.IFS(AND(U:U&gt;=3000,U:U&lt;5000),AF:AF*0.5,U:U&gt;=5000,AF:AF*1,U:U&lt;3000,0)</f>
        <v>0</v>
      </c>
      <c r="AH193" s="68">
        <f>_xlfn.IFS(AND(V:V&gt;=3000,V:V&lt;5000),AF:AF*0.5,V:V&gt;=5000,AF:AF*1,V:V&lt;3000,0)</f>
        <v>0</v>
      </c>
      <c r="AI193" s="68" t="str">
        <f>A:A&amp;D:D&amp;G:G&amp;$AF$1&amp;AF:AF&amp;"元，目前预收价值"&amp;U:U&amp;"，"&amp;$AG$1&amp;AG:AG&amp;"元，"&amp;$AH$1&amp;AH:AH&amp;"元"</f>
        <v>凤台陈佳敏伙伴冲锋队缴费金额0元，目前预收价值0，预收拟返还0元，承保拟返还0元</v>
      </c>
      <c r="AJ193" s="68">
        <f>SUMIF(保单!R:R,E:E,保单!BE:BE)*IF(AF:AF&gt;1,1,0)</f>
        <v>0</v>
      </c>
      <c r="AK193" s="68">
        <f>SUMIFS(保单!BE:BE,保单!R:R,E:E,保单!BB:BB,"有效")*IF(AF:AF&gt;1,1,0)</f>
        <v>0</v>
      </c>
      <c r="AL193" s="72" t="str">
        <f>A:A&amp;D:D&amp;G:G&amp;"只要在1-10日承保全部保单，即可获得"&amp;$AJ$1&amp;AJ:AJ&amp;"个"</f>
        <v>凤台陈佳敏伙伴只要在1-10日承保全部保单，即可获得冲锋队按摩仪0个</v>
      </c>
    </row>
    <row r="194" spans="1:38">
      <c r="A194" s="64" t="s">
        <v>42</v>
      </c>
      <c r="B194" s="64" t="s">
        <v>66</v>
      </c>
      <c r="C194" s="64" t="s">
        <v>343</v>
      </c>
      <c r="D194" s="64" t="s">
        <v>432</v>
      </c>
      <c r="E194" s="64">
        <v>6145056062</v>
      </c>
      <c r="F194" s="64" t="s">
        <v>174</v>
      </c>
      <c r="G194" s="64" t="str">
        <f>IF(OR(F:F="高级经理一级",F:F="业务经理一级"),"主管","伙伴")</f>
        <v>伙伴</v>
      </c>
      <c r="H194" s="65">
        <f>SUMIF(险种!E:E,E:E,险种!R:R)-SUMIFS(险种!R:R,险种!U:U,"终止",险种!E:E,E:E)</f>
        <v>0</v>
      </c>
      <c r="I194" s="65">
        <f>SUMIFS(险种!R:R,险种!U:U,"有效",险种!E:E,E:E)</f>
        <v>0</v>
      </c>
      <c r="J194" s="65">
        <f>ROUND(SUMIF(险种!E:E,E:E,险种!Q:Q)-SUMIFS(险种!Q:Q,险种!U:U,"终止",险种!E:E,E:E),1)</f>
        <v>0</v>
      </c>
      <c r="K194" s="68">
        <f>RANK(J194,J:J)</f>
        <v>22</v>
      </c>
      <c r="L194" s="65">
        <f>ROUND(SUMIFS(险种!Q:Q,险种!U:U,"有效",险种!E:E,E:E),1)</f>
        <v>0</v>
      </c>
      <c r="M194" s="68">
        <f>RANK(L194,L:L,)</f>
        <v>14</v>
      </c>
      <c r="N194" s="68">
        <f>SUMIF(险种!E:E,E:E,险种!W:W)</f>
        <v>0</v>
      </c>
      <c r="O194" s="68">
        <f>IF(N:N&gt;=1,1,0)</f>
        <v>0</v>
      </c>
      <c r="P194" s="65">
        <f>ROUND(SUMIFS(险种!Q:Q,险种!V:V,$P$1,险种!E:E,E:E),1)</f>
        <v>0</v>
      </c>
      <c r="Q194" s="68">
        <f>RANK(P194,$P:$P,0)-1</f>
        <v>5</v>
      </c>
      <c r="R194" s="68" t="str">
        <f>A:A&amp;D:D&amp;G:G&amp;"在"&amp;$P$1&amp;"预收"&amp;P:P&amp;"排名中支第"&amp;Q:Q&amp;"位"</f>
        <v>淮南本部张玉霞伙伴在20210509预收0排名中支第5位</v>
      </c>
      <c r="S194" s="65">
        <f>ROUND(SUMIFS(险种!Q:Q,险种!E:E,E:E,险种!V:V,"&lt;=20210506")-SUMIFS(险种!Q:Q,险种!U:U,"终止",险种!E:E,E:E,险种!V:V,"&lt;=20210506"),1)</f>
        <v>0</v>
      </c>
      <c r="T194" s="65">
        <f>ROUND(SUMIFS(险种!Q:Q,险种!U:U,"有效",险种!E:E,E:E,险种!V:V,"&lt;=20210506"),1)</f>
        <v>0</v>
      </c>
      <c r="U194" s="65">
        <f>ROUND(SUMIFS(险种!Q:Q,险种!E:E,E:E,险种!V:V,"&lt;=20210510")-SUMIFS(险种!Q:Q,险种!U:U,"终止",险种!E:E,E:E,险种!V:V,"&lt;=20210510"),1)</f>
        <v>0</v>
      </c>
      <c r="V194" s="65">
        <f>ROUND(SUMIFS(险种!Q:Q,险种!U:U,"有效",险种!E:E,E:E,险种!V:V,"&lt;=20210510"),1)</f>
        <v>0</v>
      </c>
      <c r="W194" s="65">
        <f t="shared" ref="W194:W257" si="3">U194-V194</f>
        <v>0</v>
      </c>
      <c r="X194" s="68">
        <f>SUMIF(险种!E:E,E:E,险种!Y:Y)</f>
        <v>0</v>
      </c>
      <c r="Y194" s="65">
        <f>MAX(_xlfn.IFS(OR(X:X=1,X:X=2),J:J*0.1,X:X&gt;=3,J:J*0.2,X:X=0,0),IF(J:J&gt;=20000,J:J*0.2,0))</f>
        <v>0</v>
      </c>
      <c r="Z194" s="65" t="str">
        <f>A194&amp;D194&amp;G194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淮南本部张玉霞伙伴5.1-5.10预收价值保费0，首周预收3000P件数0件，预收拟加佣0元。温馨提示，保单需10日（含）前承保，目前还有0价值保费未承保,开单一件即可获得10%加佣</v>
      </c>
      <c r="AA194" s="68">
        <f>SUMIF(险种!E:E,E:E,险种!Z:Z)</f>
        <v>0</v>
      </c>
      <c r="AB194" s="65"/>
      <c r="AC194" s="68">
        <f>SUMIF(险种!E:E,E:E,险种!AA:AA)</f>
        <v>0</v>
      </c>
      <c r="AD194" s="68">
        <f>SUMIFS(险种!AA:AA,险种!U:U,"有效",险种!E:E,E:E)</f>
        <v>0</v>
      </c>
      <c r="AE194" s="68" t="str">
        <f>A194&amp;D194&amp;G194&amp;"目前获得"&amp;$AC$1&amp;AC:AC&amp;"名，获得"&amp;$AD$1&amp;AD:AD&amp;"名"</f>
        <v>淮南本部张玉霞伙伴目前获得龙虾节预收名额0名，获得龙虾节承保名额0名</v>
      </c>
      <c r="AF194" s="68">
        <f>SUMIF(认购返还案!D:D,E:E,认购返还案!E:E)</f>
        <v>0</v>
      </c>
      <c r="AG194" s="68">
        <f>_xlfn.IFS(AND(U:U&gt;=3000,U:U&lt;5000),AF:AF*0.5,U:U&gt;=5000,AF:AF*1,U:U&lt;3000,0)</f>
        <v>0</v>
      </c>
      <c r="AH194" s="68">
        <f>_xlfn.IFS(AND(V:V&gt;=3000,V:V&lt;5000),AF:AF*0.5,V:V&gt;=5000,AF:AF*1,V:V&lt;3000,0)</f>
        <v>0</v>
      </c>
      <c r="AI194" s="68" t="str">
        <f>A:A&amp;D:D&amp;G:G&amp;$AF$1&amp;AF:AF&amp;"元，目前预收价值"&amp;U:U&amp;"，"&amp;$AG$1&amp;AG:AG&amp;"元，"&amp;$AH$1&amp;AH:AH&amp;"元"</f>
        <v>淮南本部张玉霞伙伴冲锋队缴费金额0元，目前预收价值0，预收拟返还0元，承保拟返还0元</v>
      </c>
      <c r="AJ194" s="68">
        <f>SUMIF(保单!R:R,E:E,保单!BE:BE)*IF(AF:AF&gt;1,1,0)</f>
        <v>0</v>
      </c>
      <c r="AK194" s="68">
        <f>SUMIFS(保单!BE:BE,保单!R:R,E:E,保单!BB:BB,"有效")*IF(AF:AF&gt;1,1,0)</f>
        <v>0</v>
      </c>
      <c r="AL194" s="72" t="str">
        <f>A:A&amp;D:D&amp;G:G&amp;"只要在1-10日承保全部保单，即可获得"&amp;$AJ$1&amp;AJ:AJ&amp;"个"</f>
        <v>淮南本部张玉霞伙伴只要在1-10日承保全部保单，即可获得冲锋队按摩仪0个</v>
      </c>
    </row>
    <row r="195" spans="1:38">
      <c r="A195" s="64" t="s">
        <v>48</v>
      </c>
      <c r="B195" s="64" t="s">
        <v>49</v>
      </c>
      <c r="C195" s="64" t="s">
        <v>50</v>
      </c>
      <c r="D195" s="64" t="s">
        <v>433</v>
      </c>
      <c r="E195" s="64">
        <v>6138546192</v>
      </c>
      <c r="F195" s="64" t="s">
        <v>168</v>
      </c>
      <c r="G195" s="64" t="str">
        <f>IF(OR(F:F="高级经理一级",F:F="业务经理一级"),"主管","伙伴")</f>
        <v>伙伴</v>
      </c>
      <c r="H195" s="65">
        <f>SUMIF(险种!E:E,E:E,险种!R:R)-SUMIFS(险种!R:R,险种!U:U,"终止",险种!E:E,E:E)</f>
        <v>0</v>
      </c>
      <c r="I195" s="65">
        <f>SUMIFS(险种!R:R,险种!U:U,"有效",险种!E:E,E:E)</f>
        <v>0</v>
      </c>
      <c r="J195" s="65">
        <f>ROUND(SUMIF(险种!E:E,E:E,险种!Q:Q)-SUMIFS(险种!Q:Q,险种!U:U,"终止",险种!E:E,E:E),1)</f>
        <v>0</v>
      </c>
      <c r="K195" s="68">
        <f>RANK(J195,J:J)</f>
        <v>22</v>
      </c>
      <c r="L195" s="65">
        <f>ROUND(SUMIFS(险种!Q:Q,险种!U:U,"有效",险种!E:E,E:E),1)</f>
        <v>0</v>
      </c>
      <c r="M195" s="68">
        <f>RANK(L195,L:L,)</f>
        <v>14</v>
      </c>
      <c r="N195" s="68">
        <f>SUMIF(险种!E:E,E:E,险种!W:W)</f>
        <v>0</v>
      </c>
      <c r="O195" s="68">
        <f>IF(N:N&gt;=1,1,0)</f>
        <v>0</v>
      </c>
      <c r="P195" s="65">
        <f>ROUND(SUMIFS(险种!Q:Q,险种!V:V,$P$1,险种!E:E,E:E),1)</f>
        <v>0</v>
      </c>
      <c r="Q195" s="68">
        <f>RANK(P195,$P:$P,0)-1</f>
        <v>5</v>
      </c>
      <c r="R195" s="68" t="str">
        <f>A:A&amp;D:D&amp;G:G&amp;"在"&amp;$P$1&amp;"预收"&amp;P:P&amp;"排名中支第"&amp;Q:Q&amp;"位"</f>
        <v>谢家集裴华伙伴在20210509预收0排名中支第5位</v>
      </c>
      <c r="S195" s="65">
        <f>ROUND(SUMIFS(险种!Q:Q,险种!E:E,E:E,险种!V:V,"&lt;=20210506")-SUMIFS(险种!Q:Q,险种!U:U,"终止",险种!E:E,E:E,险种!V:V,"&lt;=20210506"),1)</f>
        <v>0</v>
      </c>
      <c r="T195" s="65">
        <f>ROUND(SUMIFS(险种!Q:Q,险种!U:U,"有效",险种!E:E,E:E,险种!V:V,"&lt;=20210506"),1)</f>
        <v>0</v>
      </c>
      <c r="U195" s="65">
        <f>ROUND(SUMIFS(险种!Q:Q,险种!E:E,E:E,险种!V:V,"&lt;=20210510")-SUMIFS(险种!Q:Q,险种!U:U,"终止",险种!E:E,E:E,险种!V:V,"&lt;=20210510"),1)</f>
        <v>0</v>
      </c>
      <c r="V195" s="65">
        <f>ROUND(SUMIFS(险种!Q:Q,险种!U:U,"有效",险种!E:E,E:E,险种!V:V,"&lt;=20210510"),1)</f>
        <v>0</v>
      </c>
      <c r="W195" s="65">
        <f t="shared" si="3"/>
        <v>0</v>
      </c>
      <c r="X195" s="68">
        <f>SUMIF(险种!E:E,E:E,险种!Y:Y)</f>
        <v>0</v>
      </c>
      <c r="Y195" s="65">
        <f>MAX(_xlfn.IFS(OR(X:X=1,X:X=2),J:J*0.1,X:X&gt;=3,J:J*0.2,X:X=0,0),IF(J:J&gt;=20000,J:J*0.2,0))</f>
        <v>0</v>
      </c>
      <c r="Z195" s="65" t="str">
        <f>A195&amp;D195&amp;G195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谢家集裴华伙伴5.1-5.10预收价值保费0，首周预收3000P件数0件，预收拟加佣0元。温馨提示，保单需10日（含）前承保，目前还有0价值保费未承保,开单一件即可获得10%加佣</v>
      </c>
      <c r="AA195" s="68">
        <f>SUMIF(险种!E:E,E:E,险种!Z:Z)</f>
        <v>0</v>
      </c>
      <c r="AB195" s="65"/>
      <c r="AC195" s="68">
        <f>SUMIF(险种!E:E,E:E,险种!AA:AA)</f>
        <v>0</v>
      </c>
      <c r="AD195" s="68">
        <f>SUMIFS(险种!AA:AA,险种!U:U,"有效",险种!E:E,E:E)</f>
        <v>0</v>
      </c>
      <c r="AE195" s="68" t="str">
        <f>A195&amp;D195&amp;G195&amp;"目前获得"&amp;$AC$1&amp;AC:AC&amp;"名，获得"&amp;$AD$1&amp;AD:AD&amp;"名"</f>
        <v>谢家集裴华伙伴目前获得龙虾节预收名额0名，获得龙虾节承保名额0名</v>
      </c>
      <c r="AF195" s="68">
        <f>SUMIF(认购返还案!D:D,E:E,认购返还案!E:E)</f>
        <v>0</v>
      </c>
      <c r="AG195" s="68">
        <f>_xlfn.IFS(AND(U:U&gt;=3000,U:U&lt;5000),AF:AF*0.5,U:U&gt;=5000,AF:AF*1,U:U&lt;3000,0)</f>
        <v>0</v>
      </c>
      <c r="AH195" s="68">
        <f>_xlfn.IFS(AND(V:V&gt;=3000,V:V&lt;5000),AF:AF*0.5,V:V&gt;=5000,AF:AF*1,V:V&lt;3000,0)</f>
        <v>0</v>
      </c>
      <c r="AI195" s="68" t="str">
        <f>A:A&amp;D:D&amp;G:G&amp;$AF$1&amp;AF:AF&amp;"元，目前预收价值"&amp;U:U&amp;"，"&amp;$AG$1&amp;AG:AG&amp;"元，"&amp;$AH$1&amp;AH:AH&amp;"元"</f>
        <v>谢家集裴华伙伴冲锋队缴费金额0元，目前预收价值0，预收拟返还0元，承保拟返还0元</v>
      </c>
      <c r="AJ195" s="68">
        <f>SUMIF(保单!R:R,E:E,保单!BE:BE)*IF(AF:AF&gt;1,1,0)</f>
        <v>0</v>
      </c>
      <c r="AK195" s="68">
        <f>SUMIFS(保单!BE:BE,保单!R:R,E:E,保单!BB:BB,"有效")*IF(AF:AF&gt;1,1,0)</f>
        <v>0</v>
      </c>
      <c r="AL195" s="72" t="str">
        <f>A:A&amp;D:D&amp;G:G&amp;"只要在1-10日承保全部保单，即可获得"&amp;$AJ$1&amp;AJ:AJ&amp;"个"</f>
        <v>谢家集裴华伙伴只要在1-10日承保全部保单，即可获得冲锋队按摩仪0个</v>
      </c>
    </row>
    <row r="196" spans="1:38">
      <c r="A196" s="64" t="s">
        <v>48</v>
      </c>
      <c r="B196" s="64" t="s">
        <v>49</v>
      </c>
      <c r="C196" s="64" t="s">
        <v>50</v>
      </c>
      <c r="D196" s="64" t="s">
        <v>434</v>
      </c>
      <c r="E196" s="64">
        <v>6124158482</v>
      </c>
      <c r="F196" s="64" t="s">
        <v>174</v>
      </c>
      <c r="G196" s="64" t="str">
        <f>IF(OR(F:F="高级经理一级",F:F="业务经理一级"),"主管","伙伴")</f>
        <v>伙伴</v>
      </c>
      <c r="H196" s="65">
        <f>SUMIF(险种!E:E,E:E,险种!R:R)-SUMIFS(险种!R:R,险种!U:U,"终止",险种!E:E,E:E)</f>
        <v>0</v>
      </c>
      <c r="I196" s="65">
        <f>SUMIFS(险种!R:R,险种!U:U,"有效",险种!E:E,E:E)</f>
        <v>0</v>
      </c>
      <c r="J196" s="65">
        <f>ROUND(SUMIF(险种!E:E,E:E,险种!Q:Q)-SUMIFS(险种!Q:Q,险种!U:U,"终止",险种!E:E,E:E),1)</f>
        <v>0</v>
      </c>
      <c r="K196" s="68">
        <f>RANK(J196,J:J)</f>
        <v>22</v>
      </c>
      <c r="L196" s="65">
        <f>ROUND(SUMIFS(险种!Q:Q,险种!U:U,"有效",险种!E:E,E:E),1)</f>
        <v>0</v>
      </c>
      <c r="M196" s="68">
        <f>RANK(L196,L:L,)</f>
        <v>14</v>
      </c>
      <c r="N196" s="68">
        <f>SUMIF(险种!E:E,E:E,险种!W:W)</f>
        <v>0</v>
      </c>
      <c r="O196" s="68">
        <f>IF(N:N&gt;=1,1,0)</f>
        <v>0</v>
      </c>
      <c r="P196" s="65">
        <f>ROUND(SUMIFS(险种!Q:Q,险种!V:V,$P$1,险种!E:E,E:E),1)</f>
        <v>0</v>
      </c>
      <c r="Q196" s="68">
        <f>RANK(P196,$P:$P,0)-1</f>
        <v>5</v>
      </c>
      <c r="R196" s="68" t="str">
        <f>A:A&amp;D:D&amp;G:G&amp;"在"&amp;$P$1&amp;"预收"&amp;P:P&amp;"排名中支第"&amp;Q:Q&amp;"位"</f>
        <v>谢家集马强伙伴在20210509预收0排名中支第5位</v>
      </c>
      <c r="S196" s="65">
        <f>ROUND(SUMIFS(险种!Q:Q,险种!E:E,E:E,险种!V:V,"&lt;=20210506")-SUMIFS(险种!Q:Q,险种!U:U,"终止",险种!E:E,E:E,险种!V:V,"&lt;=20210506"),1)</f>
        <v>0</v>
      </c>
      <c r="T196" s="65">
        <f>ROUND(SUMIFS(险种!Q:Q,险种!U:U,"有效",险种!E:E,E:E,险种!V:V,"&lt;=20210506"),1)</f>
        <v>0</v>
      </c>
      <c r="U196" s="65">
        <f>ROUND(SUMIFS(险种!Q:Q,险种!E:E,E:E,险种!V:V,"&lt;=20210510")-SUMIFS(险种!Q:Q,险种!U:U,"终止",险种!E:E,E:E,险种!V:V,"&lt;=20210510"),1)</f>
        <v>0</v>
      </c>
      <c r="V196" s="65">
        <f>ROUND(SUMIFS(险种!Q:Q,险种!U:U,"有效",险种!E:E,E:E,险种!V:V,"&lt;=20210510"),1)</f>
        <v>0</v>
      </c>
      <c r="W196" s="65">
        <f t="shared" si="3"/>
        <v>0</v>
      </c>
      <c r="X196" s="68">
        <f>SUMIF(险种!E:E,E:E,险种!Y:Y)</f>
        <v>0</v>
      </c>
      <c r="Y196" s="65">
        <f>MAX(_xlfn.IFS(OR(X:X=1,X:X=2),J:J*0.1,X:X&gt;=3,J:J*0.2,X:X=0,0),IF(J:J&gt;=20000,J:J*0.2,0))</f>
        <v>0</v>
      </c>
      <c r="Z196" s="65" t="str">
        <f>A196&amp;D196&amp;G196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谢家集马强伙伴5.1-5.10预收价值保费0，首周预收3000P件数0件，预收拟加佣0元。温馨提示，保单需10日（含）前承保，目前还有0价值保费未承保,开单一件即可获得10%加佣</v>
      </c>
      <c r="AA196" s="68">
        <f>SUMIF(险种!E:E,E:E,险种!Z:Z)</f>
        <v>0</v>
      </c>
      <c r="AB196" s="65"/>
      <c r="AC196" s="68">
        <f>SUMIF(险种!E:E,E:E,险种!AA:AA)</f>
        <v>0</v>
      </c>
      <c r="AD196" s="68">
        <f>SUMIFS(险种!AA:AA,险种!U:U,"有效",险种!E:E,E:E)</f>
        <v>0</v>
      </c>
      <c r="AE196" s="68" t="str">
        <f>A196&amp;D196&amp;G196&amp;"目前获得"&amp;$AC$1&amp;AC:AC&amp;"名，获得"&amp;$AD$1&amp;AD:AD&amp;"名"</f>
        <v>谢家集马强伙伴目前获得龙虾节预收名额0名，获得龙虾节承保名额0名</v>
      </c>
      <c r="AF196" s="68">
        <f>SUMIF(认购返还案!D:D,E:E,认购返还案!E:E)</f>
        <v>200</v>
      </c>
      <c r="AG196" s="68">
        <f>_xlfn.IFS(AND(U:U&gt;=3000,U:U&lt;5000),AF:AF*0.5,U:U&gt;=5000,AF:AF*1,U:U&lt;3000,0)</f>
        <v>0</v>
      </c>
      <c r="AH196" s="68">
        <f>_xlfn.IFS(AND(V:V&gt;=3000,V:V&lt;5000),AF:AF*0.5,V:V&gt;=5000,AF:AF*1,V:V&lt;3000,0)</f>
        <v>0</v>
      </c>
      <c r="AI196" s="68" t="str">
        <f>A:A&amp;D:D&amp;G:G&amp;$AF$1&amp;AF:AF&amp;"元，目前预收价值"&amp;U:U&amp;"，"&amp;$AG$1&amp;AG:AG&amp;"元，"&amp;$AH$1&amp;AH:AH&amp;"元"</f>
        <v>谢家集马强伙伴冲锋队缴费金额200元，目前预收价值0，预收拟返还0元，承保拟返还0元</v>
      </c>
      <c r="AJ196" s="68">
        <f>SUMIF(保单!R:R,E:E,保单!BE:BE)*IF(AF:AF&gt;1,1,0)</f>
        <v>0</v>
      </c>
      <c r="AK196" s="68">
        <f>SUMIFS(保单!BE:BE,保单!R:R,E:E,保单!BB:BB,"有效")*IF(AF:AF&gt;1,1,0)</f>
        <v>0</v>
      </c>
      <c r="AL196" s="72" t="str">
        <f>A:A&amp;D:D&amp;G:G&amp;"只要在1-10日承保全部保单，即可获得"&amp;$AJ$1&amp;AJ:AJ&amp;"个"</f>
        <v>谢家集马强伙伴只要在1-10日承保全部保单，即可获得冲锋队按摩仪0个</v>
      </c>
    </row>
    <row r="197" spans="1:38">
      <c r="A197" s="64" t="s">
        <v>27</v>
      </c>
      <c r="B197" s="64" t="s">
        <v>28</v>
      </c>
      <c r="C197" s="64" t="s">
        <v>29</v>
      </c>
      <c r="D197" s="64" t="s">
        <v>102</v>
      </c>
      <c r="E197" s="64">
        <v>6116420222</v>
      </c>
      <c r="F197" s="64" t="s">
        <v>168</v>
      </c>
      <c r="G197" s="64" t="str">
        <f>IF(OR(F:F="高级经理一级",F:F="业务经理一级"),"主管","伙伴")</f>
        <v>伙伴</v>
      </c>
      <c r="H197" s="65">
        <f>SUMIF(险种!E:E,E:E,险种!R:R)-SUMIFS(险种!R:R,险种!U:U,"终止",险种!E:E,E:E)</f>
        <v>0</v>
      </c>
      <c r="I197" s="65">
        <f>SUMIFS(险种!R:R,险种!U:U,"有效",险种!E:E,E:E)</f>
        <v>0</v>
      </c>
      <c r="J197" s="65">
        <f>ROUND(SUMIF(险种!E:E,E:E,险种!Q:Q)-SUMIFS(险种!Q:Q,险种!U:U,"终止",险种!E:E,E:E),1)</f>
        <v>0</v>
      </c>
      <c r="K197" s="68">
        <f>RANK(J197,J:J)</f>
        <v>22</v>
      </c>
      <c r="L197" s="65">
        <f>ROUND(SUMIFS(险种!Q:Q,险种!U:U,"有效",险种!E:E,E:E),1)</f>
        <v>0</v>
      </c>
      <c r="M197" s="68">
        <f>RANK(L197,L:L,)</f>
        <v>14</v>
      </c>
      <c r="N197" s="68">
        <f>SUMIF(险种!E:E,E:E,险种!W:W)</f>
        <v>0</v>
      </c>
      <c r="O197" s="68">
        <f>IF(N:N&gt;=1,1,0)</f>
        <v>0</v>
      </c>
      <c r="P197" s="65">
        <f>ROUND(SUMIFS(险种!Q:Q,险种!V:V,$P$1,险种!E:E,E:E),1)</f>
        <v>0</v>
      </c>
      <c r="Q197" s="68">
        <f>RANK(P197,$P:$P,0)-1</f>
        <v>5</v>
      </c>
      <c r="R197" s="68" t="str">
        <f>A:A&amp;D:D&amp;G:G&amp;"在"&amp;$P$1&amp;"预收"&amp;P:P&amp;"排名中支第"&amp;Q:Q&amp;"位"</f>
        <v>凤台李玲伙伴在20210509预收0排名中支第5位</v>
      </c>
      <c r="S197" s="65">
        <f>ROUND(SUMIFS(险种!Q:Q,险种!E:E,E:E,险种!V:V,"&lt;=20210506")-SUMIFS(险种!Q:Q,险种!U:U,"终止",险种!E:E,E:E,险种!V:V,"&lt;=20210506"),1)</f>
        <v>0</v>
      </c>
      <c r="T197" s="65">
        <f>ROUND(SUMIFS(险种!Q:Q,险种!U:U,"有效",险种!E:E,E:E,险种!V:V,"&lt;=20210506"),1)</f>
        <v>0</v>
      </c>
      <c r="U197" s="65">
        <f>ROUND(SUMIFS(险种!Q:Q,险种!E:E,E:E,险种!V:V,"&lt;=20210510")-SUMIFS(险种!Q:Q,险种!U:U,"终止",险种!E:E,E:E,险种!V:V,"&lt;=20210510"),1)</f>
        <v>0</v>
      </c>
      <c r="V197" s="65">
        <f>ROUND(SUMIFS(险种!Q:Q,险种!U:U,"有效",险种!E:E,E:E,险种!V:V,"&lt;=20210510"),1)</f>
        <v>0</v>
      </c>
      <c r="W197" s="65">
        <f t="shared" si="3"/>
        <v>0</v>
      </c>
      <c r="X197" s="68">
        <f>SUMIF(险种!E:E,E:E,险种!Y:Y)</f>
        <v>0</v>
      </c>
      <c r="Y197" s="65">
        <f>MAX(_xlfn.IFS(OR(X:X=1,X:X=2),J:J*0.1,X:X&gt;=3,J:J*0.2,X:X=0,0),IF(J:J&gt;=20000,J:J*0.2,0))</f>
        <v>0</v>
      </c>
      <c r="Z197" s="65" t="str">
        <f>A197&amp;D197&amp;G197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凤台李玲伙伴5.1-5.10预收价值保费0，首周预收3000P件数0件，预收拟加佣0元。温馨提示，保单需10日（含）前承保，目前还有0价值保费未承保,开单一件即可获得10%加佣</v>
      </c>
      <c r="AA197" s="68">
        <f>SUMIF(险种!E:E,E:E,险种!Z:Z)</f>
        <v>0</v>
      </c>
      <c r="AB197" s="65"/>
      <c r="AC197" s="68">
        <f>SUMIF(险种!E:E,E:E,险种!AA:AA)</f>
        <v>0</v>
      </c>
      <c r="AD197" s="68">
        <f>SUMIFS(险种!AA:AA,险种!U:U,"有效",险种!E:E,E:E)</f>
        <v>0</v>
      </c>
      <c r="AE197" s="68" t="str">
        <f>A197&amp;D197&amp;G197&amp;"目前获得"&amp;$AC$1&amp;AC:AC&amp;"名，获得"&amp;$AD$1&amp;AD:AD&amp;"名"</f>
        <v>凤台李玲伙伴目前获得龙虾节预收名额0名，获得龙虾节承保名额0名</v>
      </c>
      <c r="AF197" s="68">
        <f>SUMIF(认购返还案!D:D,E:E,认购返还案!E:E)</f>
        <v>0</v>
      </c>
      <c r="AG197" s="68">
        <f>_xlfn.IFS(AND(U:U&gt;=3000,U:U&lt;5000),AF:AF*0.5,U:U&gt;=5000,AF:AF*1,U:U&lt;3000,0)</f>
        <v>0</v>
      </c>
      <c r="AH197" s="68">
        <f>_xlfn.IFS(AND(V:V&gt;=3000,V:V&lt;5000),AF:AF*0.5,V:V&gt;=5000,AF:AF*1,V:V&lt;3000,0)</f>
        <v>0</v>
      </c>
      <c r="AI197" s="68" t="str">
        <f>A:A&amp;D:D&amp;G:G&amp;$AF$1&amp;AF:AF&amp;"元，目前预收价值"&amp;U:U&amp;"，"&amp;$AG$1&amp;AG:AG&amp;"元，"&amp;$AH$1&amp;AH:AH&amp;"元"</f>
        <v>凤台李玲伙伴冲锋队缴费金额0元，目前预收价值0，预收拟返还0元，承保拟返还0元</v>
      </c>
      <c r="AJ197" s="68">
        <f>SUMIF(保单!R:R,E:E,保单!BE:BE)*IF(AF:AF&gt;1,1,0)</f>
        <v>0</v>
      </c>
      <c r="AK197" s="68">
        <f>SUMIFS(保单!BE:BE,保单!R:R,E:E,保单!BB:BB,"有效")*IF(AF:AF&gt;1,1,0)</f>
        <v>0</v>
      </c>
      <c r="AL197" s="72" t="str">
        <f>A:A&amp;D:D&amp;G:G&amp;"只要在1-10日承保全部保单，即可获得"&amp;$AJ$1&amp;AJ:AJ&amp;"个"</f>
        <v>凤台李玲伙伴只要在1-10日承保全部保单，即可获得冲锋队按摩仪0个</v>
      </c>
    </row>
    <row r="198" spans="1:38">
      <c r="A198" s="64" t="s">
        <v>27</v>
      </c>
      <c r="B198" s="64" t="s">
        <v>37</v>
      </c>
      <c r="C198" s="64" t="s">
        <v>110</v>
      </c>
      <c r="D198" s="64" t="s">
        <v>435</v>
      </c>
      <c r="E198" s="64">
        <v>6090747902</v>
      </c>
      <c r="F198" s="64" t="s">
        <v>174</v>
      </c>
      <c r="G198" s="64" t="str">
        <f>IF(OR(F:F="高级经理一级",F:F="业务经理一级"),"主管","伙伴")</f>
        <v>伙伴</v>
      </c>
      <c r="H198" s="65">
        <f>SUMIF(险种!E:E,E:E,险种!R:R)-SUMIFS(险种!R:R,险种!U:U,"终止",险种!E:E,E:E)</f>
        <v>0</v>
      </c>
      <c r="I198" s="65">
        <f>SUMIFS(险种!R:R,险种!U:U,"有效",险种!E:E,E:E)</f>
        <v>0</v>
      </c>
      <c r="J198" s="65">
        <f>ROUND(SUMIF(险种!E:E,E:E,险种!Q:Q)-SUMIFS(险种!Q:Q,险种!U:U,"终止",险种!E:E,E:E),1)</f>
        <v>0</v>
      </c>
      <c r="K198" s="68">
        <f>RANK(J198,J:J)</f>
        <v>22</v>
      </c>
      <c r="L198" s="65">
        <f>ROUND(SUMIFS(险种!Q:Q,险种!U:U,"有效",险种!E:E,E:E),1)</f>
        <v>0</v>
      </c>
      <c r="M198" s="68">
        <f>RANK(L198,L:L,)</f>
        <v>14</v>
      </c>
      <c r="N198" s="68">
        <f>SUMIF(险种!E:E,E:E,险种!W:W)</f>
        <v>0</v>
      </c>
      <c r="O198" s="68">
        <f>IF(N:N&gt;=1,1,0)</f>
        <v>0</v>
      </c>
      <c r="P198" s="65">
        <f>ROUND(SUMIFS(险种!Q:Q,险种!V:V,$P$1,险种!E:E,E:E),1)</f>
        <v>0</v>
      </c>
      <c r="Q198" s="68">
        <f>RANK(P198,$P:$P,0)-1</f>
        <v>5</v>
      </c>
      <c r="R198" s="68" t="str">
        <f>A:A&amp;D:D&amp;G:G&amp;"在"&amp;$P$1&amp;"预收"&amp;P:P&amp;"排名中支第"&amp;Q:Q&amp;"位"</f>
        <v>凤台胡莺莺伙伴在20210509预收0排名中支第5位</v>
      </c>
      <c r="S198" s="65">
        <f>ROUND(SUMIFS(险种!Q:Q,险种!E:E,E:E,险种!V:V,"&lt;=20210506")-SUMIFS(险种!Q:Q,险种!U:U,"终止",险种!E:E,E:E,险种!V:V,"&lt;=20210506"),1)</f>
        <v>0</v>
      </c>
      <c r="T198" s="65">
        <f>ROUND(SUMIFS(险种!Q:Q,险种!U:U,"有效",险种!E:E,E:E,险种!V:V,"&lt;=20210506"),1)</f>
        <v>0</v>
      </c>
      <c r="U198" s="65">
        <f>ROUND(SUMIFS(险种!Q:Q,险种!E:E,E:E,险种!V:V,"&lt;=20210510")-SUMIFS(险种!Q:Q,险种!U:U,"终止",险种!E:E,E:E,险种!V:V,"&lt;=20210510"),1)</f>
        <v>0</v>
      </c>
      <c r="V198" s="65">
        <f>ROUND(SUMIFS(险种!Q:Q,险种!U:U,"有效",险种!E:E,E:E,险种!V:V,"&lt;=20210510"),1)</f>
        <v>0</v>
      </c>
      <c r="W198" s="65">
        <f t="shared" si="3"/>
        <v>0</v>
      </c>
      <c r="X198" s="68">
        <f>SUMIF(险种!E:E,E:E,险种!Y:Y)</f>
        <v>0</v>
      </c>
      <c r="Y198" s="65">
        <f>MAX(_xlfn.IFS(OR(X:X=1,X:X=2),J:J*0.1,X:X&gt;=3,J:J*0.2,X:X=0,0),IF(J:J&gt;=20000,J:J*0.2,0))</f>
        <v>0</v>
      </c>
      <c r="Z198" s="65" t="str">
        <f>A198&amp;D198&amp;G198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凤台胡莺莺伙伴5.1-5.10预收价值保费0，首周预收3000P件数0件，预收拟加佣0元。温馨提示，保单需10日（含）前承保，目前还有0价值保费未承保,开单一件即可获得10%加佣</v>
      </c>
      <c r="AA198" s="68">
        <f>SUMIF(险种!E:E,E:E,险种!Z:Z)</f>
        <v>0</v>
      </c>
      <c r="AB198" s="65"/>
      <c r="AC198" s="68">
        <f>SUMIF(险种!E:E,E:E,险种!AA:AA)</f>
        <v>0</v>
      </c>
      <c r="AD198" s="68">
        <f>SUMIFS(险种!AA:AA,险种!U:U,"有效",险种!E:E,E:E)</f>
        <v>0</v>
      </c>
      <c r="AE198" s="68" t="str">
        <f>A198&amp;D198&amp;G198&amp;"目前获得"&amp;$AC$1&amp;AC:AC&amp;"名，获得"&amp;$AD$1&amp;AD:AD&amp;"名"</f>
        <v>凤台胡莺莺伙伴目前获得龙虾节预收名额0名，获得龙虾节承保名额0名</v>
      </c>
      <c r="AF198" s="68">
        <f>SUMIF(认购返还案!D:D,E:E,认购返还案!E:E)</f>
        <v>0</v>
      </c>
      <c r="AG198" s="68">
        <f>_xlfn.IFS(AND(U:U&gt;=3000,U:U&lt;5000),AF:AF*0.5,U:U&gt;=5000,AF:AF*1,U:U&lt;3000,0)</f>
        <v>0</v>
      </c>
      <c r="AH198" s="68">
        <f>_xlfn.IFS(AND(V:V&gt;=3000,V:V&lt;5000),AF:AF*0.5,V:V&gt;=5000,AF:AF*1,V:V&lt;3000,0)</f>
        <v>0</v>
      </c>
      <c r="AI198" s="68" t="str">
        <f>A:A&amp;D:D&amp;G:G&amp;$AF$1&amp;AF:AF&amp;"元，目前预收价值"&amp;U:U&amp;"，"&amp;$AG$1&amp;AG:AG&amp;"元，"&amp;$AH$1&amp;AH:AH&amp;"元"</f>
        <v>凤台胡莺莺伙伴冲锋队缴费金额0元，目前预收价值0，预收拟返还0元，承保拟返还0元</v>
      </c>
      <c r="AJ198" s="68">
        <f>SUMIF(保单!R:R,E:E,保单!BE:BE)*IF(AF:AF&gt;1,1,0)</f>
        <v>0</v>
      </c>
      <c r="AK198" s="68">
        <f>SUMIFS(保单!BE:BE,保单!R:R,E:E,保单!BB:BB,"有效")*IF(AF:AF&gt;1,1,0)</f>
        <v>0</v>
      </c>
      <c r="AL198" s="72" t="str">
        <f>A:A&amp;D:D&amp;G:G&amp;"只要在1-10日承保全部保单，即可获得"&amp;$AJ$1&amp;AJ:AJ&amp;"个"</f>
        <v>凤台胡莺莺伙伴只要在1-10日承保全部保单，即可获得冲锋队按摩仪0个</v>
      </c>
    </row>
    <row r="199" spans="1:38">
      <c r="A199" s="64" t="s">
        <v>42</v>
      </c>
      <c r="B199" s="64" t="s">
        <v>43</v>
      </c>
      <c r="C199" s="64" t="s">
        <v>75</v>
      </c>
      <c r="D199" s="64" t="s">
        <v>436</v>
      </c>
      <c r="E199" s="64">
        <v>6090081572</v>
      </c>
      <c r="F199" s="64" t="s">
        <v>174</v>
      </c>
      <c r="G199" s="64" t="str">
        <f>IF(OR(F:F="高级经理一级",F:F="业务经理一级"),"主管","伙伴")</f>
        <v>伙伴</v>
      </c>
      <c r="H199" s="65">
        <f>SUMIF(险种!E:E,E:E,险种!R:R)-SUMIFS(险种!R:R,险种!U:U,"终止",险种!E:E,E:E)</f>
        <v>0</v>
      </c>
      <c r="I199" s="65">
        <f>SUMIFS(险种!R:R,险种!U:U,"有效",险种!E:E,E:E)</f>
        <v>0</v>
      </c>
      <c r="J199" s="65">
        <f>ROUND(SUMIF(险种!E:E,E:E,险种!Q:Q)-SUMIFS(险种!Q:Q,险种!U:U,"终止",险种!E:E,E:E),1)</f>
        <v>0</v>
      </c>
      <c r="K199" s="68">
        <f>RANK(J199,J:J)</f>
        <v>22</v>
      </c>
      <c r="L199" s="65">
        <f>ROUND(SUMIFS(险种!Q:Q,险种!U:U,"有效",险种!E:E,E:E),1)</f>
        <v>0</v>
      </c>
      <c r="M199" s="68">
        <f>RANK(L199,L:L,)</f>
        <v>14</v>
      </c>
      <c r="N199" s="68">
        <f>SUMIF(险种!E:E,E:E,险种!W:W)</f>
        <v>0</v>
      </c>
      <c r="O199" s="68">
        <f>IF(N:N&gt;=1,1,0)</f>
        <v>0</v>
      </c>
      <c r="P199" s="65">
        <f>ROUND(SUMIFS(险种!Q:Q,险种!V:V,$P$1,险种!E:E,E:E),1)</f>
        <v>0</v>
      </c>
      <c r="Q199" s="68">
        <f>RANK(P199,$P:$P,0)-1</f>
        <v>5</v>
      </c>
      <c r="R199" s="68" t="str">
        <f>A:A&amp;D:D&amp;G:G&amp;"在"&amp;$P$1&amp;"预收"&amp;P:P&amp;"排名中支第"&amp;Q:Q&amp;"位"</f>
        <v>淮南本部芦鸿文伙伴在20210509预收0排名中支第5位</v>
      </c>
      <c r="S199" s="65">
        <f>ROUND(SUMIFS(险种!Q:Q,险种!E:E,E:E,险种!V:V,"&lt;=20210506")-SUMIFS(险种!Q:Q,险种!U:U,"终止",险种!E:E,E:E,险种!V:V,"&lt;=20210506"),1)</f>
        <v>0</v>
      </c>
      <c r="T199" s="65">
        <f>ROUND(SUMIFS(险种!Q:Q,险种!U:U,"有效",险种!E:E,E:E,险种!V:V,"&lt;=20210506"),1)</f>
        <v>0</v>
      </c>
      <c r="U199" s="65">
        <f>ROUND(SUMIFS(险种!Q:Q,险种!E:E,E:E,险种!V:V,"&lt;=20210510")-SUMIFS(险种!Q:Q,险种!U:U,"终止",险种!E:E,E:E,险种!V:V,"&lt;=20210510"),1)</f>
        <v>0</v>
      </c>
      <c r="V199" s="65">
        <f>ROUND(SUMIFS(险种!Q:Q,险种!U:U,"有效",险种!E:E,E:E,险种!V:V,"&lt;=20210510"),1)</f>
        <v>0</v>
      </c>
      <c r="W199" s="65">
        <f t="shared" si="3"/>
        <v>0</v>
      </c>
      <c r="X199" s="68">
        <f>SUMIF(险种!E:E,E:E,险种!Y:Y)</f>
        <v>0</v>
      </c>
      <c r="Y199" s="65">
        <f>MAX(_xlfn.IFS(OR(X:X=1,X:X=2),J:J*0.1,X:X&gt;=3,J:J*0.2,X:X=0,0),IF(J:J&gt;=20000,J:J*0.2,0))</f>
        <v>0</v>
      </c>
      <c r="Z199" s="65" t="str">
        <f>A199&amp;D199&amp;G199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淮南本部芦鸿文伙伴5.1-5.10预收价值保费0，首周预收3000P件数0件，预收拟加佣0元。温馨提示，保单需10日（含）前承保，目前还有0价值保费未承保,开单一件即可获得10%加佣</v>
      </c>
      <c r="AA199" s="68">
        <f>SUMIF(险种!E:E,E:E,险种!Z:Z)</f>
        <v>0</v>
      </c>
      <c r="AB199" s="65"/>
      <c r="AC199" s="68">
        <f>SUMIF(险种!E:E,E:E,险种!AA:AA)</f>
        <v>0</v>
      </c>
      <c r="AD199" s="68">
        <f>SUMIFS(险种!AA:AA,险种!U:U,"有效",险种!E:E,E:E)</f>
        <v>0</v>
      </c>
      <c r="AE199" s="68" t="str">
        <f>A199&amp;D199&amp;G199&amp;"目前获得"&amp;$AC$1&amp;AC:AC&amp;"名，获得"&amp;$AD$1&amp;AD:AD&amp;"名"</f>
        <v>淮南本部芦鸿文伙伴目前获得龙虾节预收名额0名，获得龙虾节承保名额0名</v>
      </c>
      <c r="AF199" s="68">
        <f>SUMIF(认购返还案!D:D,E:E,认购返还案!E:E)</f>
        <v>0</v>
      </c>
      <c r="AG199" s="68">
        <f>_xlfn.IFS(AND(U:U&gt;=3000,U:U&lt;5000),AF:AF*0.5,U:U&gt;=5000,AF:AF*1,U:U&lt;3000,0)</f>
        <v>0</v>
      </c>
      <c r="AH199" s="68">
        <f>_xlfn.IFS(AND(V:V&gt;=3000,V:V&lt;5000),AF:AF*0.5,V:V&gt;=5000,AF:AF*1,V:V&lt;3000,0)</f>
        <v>0</v>
      </c>
      <c r="AI199" s="68" t="str">
        <f>A:A&amp;D:D&amp;G:G&amp;$AF$1&amp;AF:AF&amp;"元，目前预收价值"&amp;U:U&amp;"，"&amp;$AG$1&amp;AG:AG&amp;"元，"&amp;$AH$1&amp;AH:AH&amp;"元"</f>
        <v>淮南本部芦鸿文伙伴冲锋队缴费金额0元，目前预收价值0，预收拟返还0元，承保拟返还0元</v>
      </c>
      <c r="AJ199" s="68">
        <f>SUMIF(保单!R:R,E:E,保单!BE:BE)*IF(AF:AF&gt;1,1,0)</f>
        <v>0</v>
      </c>
      <c r="AK199" s="68">
        <f>SUMIFS(保单!BE:BE,保单!R:R,E:E,保单!BB:BB,"有效")*IF(AF:AF&gt;1,1,0)</f>
        <v>0</v>
      </c>
      <c r="AL199" s="72" t="str">
        <f>A:A&amp;D:D&amp;G:G&amp;"只要在1-10日承保全部保单，即可获得"&amp;$AJ$1&amp;AJ:AJ&amp;"个"</f>
        <v>淮南本部芦鸿文伙伴只要在1-10日承保全部保单，即可获得冲锋队按摩仪0个</v>
      </c>
    </row>
    <row r="200" spans="1:38">
      <c r="A200" s="64" t="s">
        <v>48</v>
      </c>
      <c r="B200" s="64" t="s">
        <v>49</v>
      </c>
      <c r="C200" s="64" t="s">
        <v>82</v>
      </c>
      <c r="D200" s="64" t="s">
        <v>437</v>
      </c>
      <c r="E200" s="64">
        <v>6089744322</v>
      </c>
      <c r="F200" s="64" t="s">
        <v>174</v>
      </c>
      <c r="G200" s="64" t="str">
        <f>IF(OR(F:F="高级经理一级",F:F="业务经理一级"),"主管","伙伴")</f>
        <v>伙伴</v>
      </c>
      <c r="H200" s="65">
        <f>SUMIF(险种!E:E,E:E,险种!R:R)-SUMIFS(险种!R:R,险种!U:U,"终止",险种!E:E,E:E)</f>
        <v>0</v>
      </c>
      <c r="I200" s="65">
        <f>SUMIFS(险种!R:R,险种!U:U,"有效",险种!E:E,E:E)</f>
        <v>0</v>
      </c>
      <c r="J200" s="65">
        <f>ROUND(SUMIF(险种!E:E,E:E,险种!Q:Q)-SUMIFS(险种!Q:Q,险种!U:U,"终止",险种!E:E,E:E),1)</f>
        <v>0</v>
      </c>
      <c r="K200" s="68">
        <f>RANK(J200,J:J)</f>
        <v>22</v>
      </c>
      <c r="L200" s="65">
        <f>ROUND(SUMIFS(险种!Q:Q,险种!U:U,"有效",险种!E:E,E:E),1)</f>
        <v>0</v>
      </c>
      <c r="M200" s="68">
        <f>RANK(L200,L:L,)</f>
        <v>14</v>
      </c>
      <c r="N200" s="68">
        <f>SUMIF(险种!E:E,E:E,险种!W:W)</f>
        <v>0</v>
      </c>
      <c r="O200" s="68">
        <f>IF(N:N&gt;=1,1,0)</f>
        <v>0</v>
      </c>
      <c r="P200" s="65">
        <f>ROUND(SUMIFS(险种!Q:Q,险种!V:V,$P$1,险种!E:E,E:E),1)</f>
        <v>0</v>
      </c>
      <c r="Q200" s="68">
        <f>RANK(P200,$P:$P,0)-1</f>
        <v>5</v>
      </c>
      <c r="R200" s="68" t="str">
        <f>A:A&amp;D:D&amp;G:G&amp;"在"&amp;$P$1&amp;"预收"&amp;P:P&amp;"排名中支第"&amp;Q:Q&amp;"位"</f>
        <v>谢家集缪龙宇伙伴在20210509预收0排名中支第5位</v>
      </c>
      <c r="S200" s="65">
        <f>ROUND(SUMIFS(险种!Q:Q,险种!E:E,E:E,险种!V:V,"&lt;=20210506")-SUMIFS(险种!Q:Q,险种!U:U,"终止",险种!E:E,E:E,险种!V:V,"&lt;=20210506"),1)</f>
        <v>0</v>
      </c>
      <c r="T200" s="65">
        <f>ROUND(SUMIFS(险种!Q:Q,险种!U:U,"有效",险种!E:E,E:E,险种!V:V,"&lt;=20210506"),1)</f>
        <v>0</v>
      </c>
      <c r="U200" s="65">
        <f>ROUND(SUMIFS(险种!Q:Q,险种!E:E,E:E,险种!V:V,"&lt;=20210510")-SUMIFS(险种!Q:Q,险种!U:U,"终止",险种!E:E,E:E,险种!V:V,"&lt;=20210510"),1)</f>
        <v>0</v>
      </c>
      <c r="V200" s="65">
        <f>ROUND(SUMIFS(险种!Q:Q,险种!U:U,"有效",险种!E:E,E:E,险种!V:V,"&lt;=20210510"),1)</f>
        <v>0</v>
      </c>
      <c r="W200" s="65">
        <f t="shared" si="3"/>
        <v>0</v>
      </c>
      <c r="X200" s="68">
        <f>SUMIF(险种!E:E,E:E,险种!Y:Y)</f>
        <v>0</v>
      </c>
      <c r="Y200" s="65">
        <f>MAX(_xlfn.IFS(OR(X:X=1,X:X=2),J:J*0.1,X:X&gt;=3,J:J*0.2,X:X=0,0),IF(J:J&gt;=20000,J:J*0.2,0))</f>
        <v>0</v>
      </c>
      <c r="Z200" s="65" t="str">
        <f>A200&amp;D200&amp;G200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谢家集缪龙宇伙伴5.1-5.10预收价值保费0，首周预收3000P件数0件，预收拟加佣0元。温馨提示，保单需10日（含）前承保，目前还有0价值保费未承保,开单一件即可获得10%加佣</v>
      </c>
      <c r="AA200" s="68">
        <f>SUMIF(险种!E:E,E:E,险种!Z:Z)</f>
        <v>0</v>
      </c>
      <c r="AB200" s="65"/>
      <c r="AC200" s="68">
        <f>SUMIF(险种!E:E,E:E,险种!AA:AA)</f>
        <v>0</v>
      </c>
      <c r="AD200" s="68">
        <f>SUMIFS(险种!AA:AA,险种!U:U,"有效",险种!E:E,E:E)</f>
        <v>0</v>
      </c>
      <c r="AE200" s="68" t="str">
        <f>A200&amp;D200&amp;G200&amp;"目前获得"&amp;$AC$1&amp;AC:AC&amp;"名，获得"&amp;$AD$1&amp;AD:AD&amp;"名"</f>
        <v>谢家集缪龙宇伙伴目前获得龙虾节预收名额0名，获得龙虾节承保名额0名</v>
      </c>
      <c r="AF200" s="68">
        <f>SUMIF(认购返还案!D:D,E:E,认购返还案!E:E)</f>
        <v>0</v>
      </c>
      <c r="AG200" s="68">
        <f>_xlfn.IFS(AND(U:U&gt;=3000,U:U&lt;5000),AF:AF*0.5,U:U&gt;=5000,AF:AF*1,U:U&lt;3000,0)</f>
        <v>0</v>
      </c>
      <c r="AH200" s="68">
        <f>_xlfn.IFS(AND(V:V&gt;=3000,V:V&lt;5000),AF:AF*0.5,V:V&gt;=5000,AF:AF*1,V:V&lt;3000,0)</f>
        <v>0</v>
      </c>
      <c r="AI200" s="68" t="str">
        <f>A:A&amp;D:D&amp;G:G&amp;$AF$1&amp;AF:AF&amp;"元，目前预收价值"&amp;U:U&amp;"，"&amp;$AG$1&amp;AG:AG&amp;"元，"&amp;$AH$1&amp;AH:AH&amp;"元"</f>
        <v>谢家集缪龙宇伙伴冲锋队缴费金额0元，目前预收价值0，预收拟返还0元，承保拟返还0元</v>
      </c>
      <c r="AJ200" s="68">
        <f>SUMIF(保单!R:R,E:E,保单!BE:BE)*IF(AF:AF&gt;1,1,0)</f>
        <v>0</v>
      </c>
      <c r="AK200" s="68">
        <f>SUMIFS(保单!BE:BE,保单!R:R,E:E,保单!BB:BB,"有效")*IF(AF:AF&gt;1,1,0)</f>
        <v>0</v>
      </c>
      <c r="AL200" s="72" t="str">
        <f>A:A&amp;D:D&amp;G:G&amp;"只要在1-10日承保全部保单，即可获得"&amp;$AJ$1&amp;AJ:AJ&amp;"个"</f>
        <v>谢家集缪龙宇伙伴只要在1-10日承保全部保单，即可获得冲锋队按摩仪0个</v>
      </c>
    </row>
    <row r="201" spans="1:38">
      <c r="A201" s="64" t="s">
        <v>48</v>
      </c>
      <c r="B201" s="64" t="s">
        <v>49</v>
      </c>
      <c r="C201" s="64" t="s">
        <v>50</v>
      </c>
      <c r="D201" s="64" t="s">
        <v>438</v>
      </c>
      <c r="E201" s="64">
        <v>6089567562</v>
      </c>
      <c r="F201" s="64" t="s">
        <v>174</v>
      </c>
      <c r="G201" s="64" t="str">
        <f>IF(OR(F:F="高级经理一级",F:F="业务经理一级"),"主管","伙伴")</f>
        <v>伙伴</v>
      </c>
      <c r="H201" s="65">
        <f>SUMIF(险种!E:E,E:E,险种!R:R)-SUMIFS(险种!R:R,险种!U:U,"终止",险种!E:E,E:E)</f>
        <v>0</v>
      </c>
      <c r="I201" s="65">
        <f>SUMIFS(险种!R:R,险种!U:U,"有效",险种!E:E,E:E)</f>
        <v>0</v>
      </c>
      <c r="J201" s="65">
        <f>ROUND(SUMIF(险种!E:E,E:E,险种!Q:Q)-SUMIFS(险种!Q:Q,险种!U:U,"终止",险种!E:E,E:E),1)</f>
        <v>0</v>
      </c>
      <c r="K201" s="68">
        <f>RANK(J201,J:J)</f>
        <v>22</v>
      </c>
      <c r="L201" s="65">
        <f>ROUND(SUMIFS(险种!Q:Q,险种!U:U,"有效",险种!E:E,E:E),1)</f>
        <v>0</v>
      </c>
      <c r="M201" s="68">
        <f>RANK(L201,L:L,)</f>
        <v>14</v>
      </c>
      <c r="N201" s="68">
        <f>SUMIF(险种!E:E,E:E,险种!W:W)</f>
        <v>0</v>
      </c>
      <c r="O201" s="68">
        <f>IF(N:N&gt;=1,1,0)</f>
        <v>0</v>
      </c>
      <c r="P201" s="65">
        <f>ROUND(SUMIFS(险种!Q:Q,险种!V:V,$P$1,险种!E:E,E:E),1)</f>
        <v>0</v>
      </c>
      <c r="Q201" s="68">
        <f>RANK(P201,$P:$P,0)-1</f>
        <v>5</v>
      </c>
      <c r="R201" s="68" t="str">
        <f>A:A&amp;D:D&amp;G:G&amp;"在"&amp;$P$1&amp;"预收"&amp;P:P&amp;"排名中支第"&amp;Q:Q&amp;"位"</f>
        <v>谢家集范晓丽伙伴在20210509预收0排名中支第5位</v>
      </c>
      <c r="S201" s="65">
        <f>ROUND(SUMIFS(险种!Q:Q,险种!E:E,E:E,险种!V:V,"&lt;=20210506")-SUMIFS(险种!Q:Q,险种!U:U,"终止",险种!E:E,E:E,险种!V:V,"&lt;=20210506"),1)</f>
        <v>0</v>
      </c>
      <c r="T201" s="65">
        <f>ROUND(SUMIFS(险种!Q:Q,险种!U:U,"有效",险种!E:E,E:E,险种!V:V,"&lt;=20210506"),1)</f>
        <v>0</v>
      </c>
      <c r="U201" s="65">
        <f>ROUND(SUMIFS(险种!Q:Q,险种!E:E,E:E,险种!V:V,"&lt;=20210510")-SUMIFS(险种!Q:Q,险种!U:U,"终止",险种!E:E,E:E,险种!V:V,"&lt;=20210510"),1)</f>
        <v>0</v>
      </c>
      <c r="V201" s="65">
        <f>ROUND(SUMIFS(险种!Q:Q,险种!U:U,"有效",险种!E:E,E:E,险种!V:V,"&lt;=20210510"),1)</f>
        <v>0</v>
      </c>
      <c r="W201" s="65">
        <f t="shared" si="3"/>
        <v>0</v>
      </c>
      <c r="X201" s="68">
        <f>SUMIF(险种!E:E,E:E,险种!Y:Y)</f>
        <v>0</v>
      </c>
      <c r="Y201" s="65">
        <f>MAX(_xlfn.IFS(OR(X:X=1,X:X=2),J:J*0.1,X:X&gt;=3,J:J*0.2,X:X=0,0),IF(J:J&gt;=20000,J:J*0.2,0))</f>
        <v>0</v>
      </c>
      <c r="Z201" s="65" t="str">
        <f>A201&amp;D201&amp;G201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谢家集范晓丽伙伴5.1-5.10预收价值保费0，首周预收3000P件数0件，预收拟加佣0元。温馨提示，保单需10日（含）前承保，目前还有0价值保费未承保,开单一件即可获得10%加佣</v>
      </c>
      <c r="AA201" s="68">
        <f>SUMIF(险种!E:E,E:E,险种!Z:Z)</f>
        <v>0</v>
      </c>
      <c r="AB201" s="65"/>
      <c r="AC201" s="68">
        <f>SUMIF(险种!E:E,E:E,险种!AA:AA)</f>
        <v>0</v>
      </c>
      <c r="AD201" s="68">
        <f>SUMIFS(险种!AA:AA,险种!U:U,"有效",险种!E:E,E:E)</f>
        <v>0</v>
      </c>
      <c r="AE201" s="68" t="str">
        <f>A201&amp;D201&amp;G201&amp;"目前获得"&amp;$AC$1&amp;AC:AC&amp;"名，获得"&amp;$AD$1&amp;AD:AD&amp;"名"</f>
        <v>谢家集范晓丽伙伴目前获得龙虾节预收名额0名，获得龙虾节承保名额0名</v>
      </c>
      <c r="AF201" s="68">
        <f>SUMIF(认购返还案!D:D,E:E,认购返还案!E:E)</f>
        <v>0</v>
      </c>
      <c r="AG201" s="68">
        <f>_xlfn.IFS(AND(U:U&gt;=3000,U:U&lt;5000),AF:AF*0.5,U:U&gt;=5000,AF:AF*1,U:U&lt;3000,0)</f>
        <v>0</v>
      </c>
      <c r="AH201" s="68">
        <f>_xlfn.IFS(AND(V:V&gt;=3000,V:V&lt;5000),AF:AF*0.5,V:V&gt;=5000,AF:AF*1,V:V&lt;3000,0)</f>
        <v>0</v>
      </c>
      <c r="AI201" s="68" t="str">
        <f>A:A&amp;D:D&amp;G:G&amp;$AF$1&amp;AF:AF&amp;"元，目前预收价值"&amp;U:U&amp;"，"&amp;$AG$1&amp;AG:AG&amp;"元，"&amp;$AH$1&amp;AH:AH&amp;"元"</f>
        <v>谢家集范晓丽伙伴冲锋队缴费金额0元，目前预收价值0，预收拟返还0元，承保拟返还0元</v>
      </c>
      <c r="AJ201" s="68">
        <f>SUMIF(保单!R:R,E:E,保单!BE:BE)*IF(AF:AF&gt;1,1,0)</f>
        <v>0</v>
      </c>
      <c r="AK201" s="68">
        <f>SUMIFS(保单!BE:BE,保单!R:R,E:E,保单!BB:BB,"有效")*IF(AF:AF&gt;1,1,0)</f>
        <v>0</v>
      </c>
      <c r="AL201" s="72" t="str">
        <f>A:A&amp;D:D&amp;G:G&amp;"只要在1-10日承保全部保单，即可获得"&amp;$AJ$1&amp;AJ:AJ&amp;"个"</f>
        <v>谢家集范晓丽伙伴只要在1-10日承保全部保单，即可获得冲锋队按摩仪0个</v>
      </c>
    </row>
    <row r="202" spans="1:38">
      <c r="A202" s="64" t="s">
        <v>48</v>
      </c>
      <c r="B202" s="64" t="s">
        <v>49</v>
      </c>
      <c r="C202" s="64" t="s">
        <v>50</v>
      </c>
      <c r="D202" s="64" t="s">
        <v>439</v>
      </c>
      <c r="E202" s="64">
        <v>6089161422</v>
      </c>
      <c r="F202" s="64" t="s">
        <v>174</v>
      </c>
      <c r="G202" s="64" t="str">
        <f>IF(OR(F:F="高级经理一级",F:F="业务经理一级"),"主管","伙伴")</f>
        <v>伙伴</v>
      </c>
      <c r="H202" s="65">
        <f>SUMIF(险种!E:E,E:E,险种!R:R)-SUMIFS(险种!R:R,险种!U:U,"终止",险种!E:E,E:E)</f>
        <v>0</v>
      </c>
      <c r="I202" s="65">
        <f>SUMIFS(险种!R:R,险种!U:U,"有效",险种!E:E,E:E)</f>
        <v>0</v>
      </c>
      <c r="J202" s="65">
        <f>ROUND(SUMIF(险种!E:E,E:E,险种!Q:Q)-SUMIFS(险种!Q:Q,险种!U:U,"终止",险种!E:E,E:E),1)</f>
        <v>0</v>
      </c>
      <c r="K202" s="68">
        <f>RANK(J202,J:J)</f>
        <v>22</v>
      </c>
      <c r="L202" s="65">
        <f>ROUND(SUMIFS(险种!Q:Q,险种!U:U,"有效",险种!E:E,E:E),1)</f>
        <v>0</v>
      </c>
      <c r="M202" s="68">
        <f>RANK(L202,L:L,)</f>
        <v>14</v>
      </c>
      <c r="N202" s="68">
        <f>SUMIF(险种!E:E,E:E,险种!W:W)</f>
        <v>0</v>
      </c>
      <c r="O202" s="68">
        <f>IF(N:N&gt;=1,1,0)</f>
        <v>0</v>
      </c>
      <c r="P202" s="65">
        <f>ROUND(SUMIFS(险种!Q:Q,险种!V:V,$P$1,险种!E:E,E:E),1)</f>
        <v>0</v>
      </c>
      <c r="Q202" s="68">
        <f>RANK(P202,$P:$P,0)-1</f>
        <v>5</v>
      </c>
      <c r="R202" s="68" t="str">
        <f>A:A&amp;D:D&amp;G:G&amp;"在"&amp;$P$1&amp;"预收"&amp;P:P&amp;"排名中支第"&amp;Q:Q&amp;"位"</f>
        <v>谢家集张丽伙伴在20210509预收0排名中支第5位</v>
      </c>
      <c r="S202" s="65">
        <f>ROUND(SUMIFS(险种!Q:Q,险种!E:E,E:E,险种!V:V,"&lt;=20210506")-SUMIFS(险种!Q:Q,险种!U:U,"终止",险种!E:E,E:E,险种!V:V,"&lt;=20210506"),1)</f>
        <v>0</v>
      </c>
      <c r="T202" s="65">
        <f>ROUND(SUMIFS(险种!Q:Q,险种!U:U,"有效",险种!E:E,E:E,险种!V:V,"&lt;=20210506"),1)</f>
        <v>0</v>
      </c>
      <c r="U202" s="65">
        <f>ROUND(SUMIFS(险种!Q:Q,险种!E:E,E:E,险种!V:V,"&lt;=20210510")-SUMIFS(险种!Q:Q,险种!U:U,"终止",险种!E:E,E:E,险种!V:V,"&lt;=20210510"),1)</f>
        <v>0</v>
      </c>
      <c r="V202" s="65">
        <f>ROUND(SUMIFS(险种!Q:Q,险种!U:U,"有效",险种!E:E,E:E,险种!V:V,"&lt;=20210510"),1)</f>
        <v>0</v>
      </c>
      <c r="W202" s="65">
        <f t="shared" si="3"/>
        <v>0</v>
      </c>
      <c r="X202" s="68">
        <f>SUMIF(险种!E:E,E:E,险种!Y:Y)</f>
        <v>0</v>
      </c>
      <c r="Y202" s="65">
        <f>MAX(_xlfn.IFS(OR(X:X=1,X:X=2),J:J*0.1,X:X&gt;=3,J:J*0.2,X:X=0,0),IF(J:J&gt;=20000,J:J*0.2,0))</f>
        <v>0</v>
      </c>
      <c r="Z202" s="65" t="str">
        <f>A202&amp;D202&amp;G202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谢家集张丽伙伴5.1-5.10预收价值保费0，首周预收3000P件数0件，预收拟加佣0元。温馨提示，保单需10日（含）前承保，目前还有0价值保费未承保,开单一件即可获得10%加佣</v>
      </c>
      <c r="AA202" s="68">
        <f>SUMIF(险种!E:E,E:E,险种!Z:Z)</f>
        <v>0</v>
      </c>
      <c r="AB202" s="65"/>
      <c r="AC202" s="68">
        <f>SUMIF(险种!E:E,E:E,险种!AA:AA)</f>
        <v>0</v>
      </c>
      <c r="AD202" s="68">
        <f>SUMIFS(险种!AA:AA,险种!U:U,"有效",险种!E:E,E:E)</f>
        <v>0</v>
      </c>
      <c r="AE202" s="68" t="str">
        <f>A202&amp;D202&amp;G202&amp;"目前获得"&amp;$AC$1&amp;AC:AC&amp;"名，获得"&amp;$AD$1&amp;AD:AD&amp;"名"</f>
        <v>谢家集张丽伙伴目前获得龙虾节预收名额0名，获得龙虾节承保名额0名</v>
      </c>
      <c r="AF202" s="68">
        <f>SUMIF(认购返还案!D:D,E:E,认购返还案!E:E)</f>
        <v>0</v>
      </c>
      <c r="AG202" s="68">
        <f>_xlfn.IFS(AND(U:U&gt;=3000,U:U&lt;5000),AF:AF*0.5,U:U&gt;=5000,AF:AF*1,U:U&lt;3000,0)</f>
        <v>0</v>
      </c>
      <c r="AH202" s="68">
        <f>_xlfn.IFS(AND(V:V&gt;=3000,V:V&lt;5000),AF:AF*0.5,V:V&gt;=5000,AF:AF*1,V:V&lt;3000,0)</f>
        <v>0</v>
      </c>
      <c r="AI202" s="68" t="str">
        <f>A:A&amp;D:D&amp;G:G&amp;$AF$1&amp;AF:AF&amp;"元，目前预收价值"&amp;U:U&amp;"，"&amp;$AG$1&amp;AG:AG&amp;"元，"&amp;$AH$1&amp;AH:AH&amp;"元"</f>
        <v>谢家集张丽伙伴冲锋队缴费金额0元，目前预收价值0，预收拟返还0元，承保拟返还0元</v>
      </c>
      <c r="AJ202" s="68">
        <f>SUMIF(保单!R:R,E:E,保单!BE:BE)*IF(AF:AF&gt;1,1,0)</f>
        <v>0</v>
      </c>
      <c r="AK202" s="68">
        <f>SUMIFS(保单!BE:BE,保单!R:R,E:E,保单!BB:BB,"有效")*IF(AF:AF&gt;1,1,0)</f>
        <v>0</v>
      </c>
      <c r="AL202" s="72" t="str">
        <f>A:A&amp;D:D&amp;G:G&amp;"只要在1-10日承保全部保单，即可获得"&amp;$AJ$1&amp;AJ:AJ&amp;"个"</f>
        <v>谢家集张丽伙伴只要在1-10日承保全部保单，即可获得冲锋队按摩仪0个</v>
      </c>
    </row>
    <row r="203" spans="1:38">
      <c r="A203" s="64" t="s">
        <v>27</v>
      </c>
      <c r="B203" s="64" t="s">
        <v>28</v>
      </c>
      <c r="C203" s="64" t="s">
        <v>224</v>
      </c>
      <c r="D203" s="64" t="s">
        <v>440</v>
      </c>
      <c r="E203" s="64">
        <v>6088245842</v>
      </c>
      <c r="F203" s="64" t="s">
        <v>174</v>
      </c>
      <c r="G203" s="64" t="str">
        <f>IF(OR(F:F="高级经理一级",F:F="业务经理一级"),"主管","伙伴")</f>
        <v>伙伴</v>
      </c>
      <c r="H203" s="65">
        <f>SUMIF(险种!E:E,E:E,险种!R:R)-SUMIFS(险种!R:R,险种!U:U,"终止",险种!E:E,E:E)</f>
        <v>0</v>
      </c>
      <c r="I203" s="65">
        <f>SUMIFS(险种!R:R,险种!U:U,"有效",险种!E:E,E:E)</f>
        <v>0</v>
      </c>
      <c r="J203" s="65">
        <f>ROUND(SUMIF(险种!E:E,E:E,险种!Q:Q)-SUMIFS(险种!Q:Q,险种!U:U,"终止",险种!E:E,E:E),1)</f>
        <v>0</v>
      </c>
      <c r="K203" s="68">
        <f>RANK(J203,J:J)</f>
        <v>22</v>
      </c>
      <c r="L203" s="65">
        <f>ROUND(SUMIFS(险种!Q:Q,险种!U:U,"有效",险种!E:E,E:E),1)</f>
        <v>0</v>
      </c>
      <c r="M203" s="68">
        <f>RANK(L203,L:L,)</f>
        <v>14</v>
      </c>
      <c r="N203" s="68">
        <f>SUMIF(险种!E:E,E:E,险种!W:W)</f>
        <v>0</v>
      </c>
      <c r="O203" s="68">
        <f>IF(N:N&gt;=1,1,0)</f>
        <v>0</v>
      </c>
      <c r="P203" s="65">
        <f>ROUND(SUMIFS(险种!Q:Q,险种!V:V,$P$1,险种!E:E,E:E),1)</f>
        <v>0</v>
      </c>
      <c r="Q203" s="68">
        <f>RANK(P203,$P:$P,0)-1</f>
        <v>5</v>
      </c>
      <c r="R203" s="68" t="str">
        <f>A:A&amp;D:D&amp;G:G&amp;"在"&amp;$P$1&amp;"预收"&amp;P:P&amp;"排名中支第"&amp;Q:Q&amp;"位"</f>
        <v>凤台陈桂侠伙伴在20210509预收0排名中支第5位</v>
      </c>
      <c r="S203" s="65">
        <f>ROUND(SUMIFS(险种!Q:Q,险种!E:E,E:E,险种!V:V,"&lt;=20210506")-SUMIFS(险种!Q:Q,险种!U:U,"终止",险种!E:E,E:E,险种!V:V,"&lt;=20210506"),1)</f>
        <v>0</v>
      </c>
      <c r="T203" s="65">
        <f>ROUND(SUMIFS(险种!Q:Q,险种!U:U,"有效",险种!E:E,E:E,险种!V:V,"&lt;=20210506"),1)</f>
        <v>0</v>
      </c>
      <c r="U203" s="65">
        <f>ROUND(SUMIFS(险种!Q:Q,险种!E:E,E:E,险种!V:V,"&lt;=20210510")-SUMIFS(险种!Q:Q,险种!U:U,"终止",险种!E:E,E:E,险种!V:V,"&lt;=20210510"),1)</f>
        <v>0</v>
      </c>
      <c r="V203" s="65">
        <f>ROUND(SUMIFS(险种!Q:Q,险种!U:U,"有效",险种!E:E,E:E,险种!V:V,"&lt;=20210510"),1)</f>
        <v>0</v>
      </c>
      <c r="W203" s="65">
        <f t="shared" si="3"/>
        <v>0</v>
      </c>
      <c r="X203" s="68">
        <f>SUMIF(险种!E:E,E:E,险种!Y:Y)</f>
        <v>0</v>
      </c>
      <c r="Y203" s="65">
        <f>MAX(_xlfn.IFS(OR(X:X=1,X:X=2),J:J*0.1,X:X&gt;=3,J:J*0.2,X:X=0,0),IF(J:J&gt;=20000,J:J*0.2,0))</f>
        <v>0</v>
      </c>
      <c r="Z203" s="65" t="str">
        <f>A203&amp;D203&amp;G203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凤台陈桂侠伙伴5.1-5.10预收价值保费0，首周预收3000P件数0件，预收拟加佣0元。温馨提示，保单需10日（含）前承保，目前还有0价值保费未承保,开单一件即可获得10%加佣</v>
      </c>
      <c r="AA203" s="68">
        <f>SUMIF(险种!E:E,E:E,险种!Z:Z)</f>
        <v>0</v>
      </c>
      <c r="AB203" s="65"/>
      <c r="AC203" s="68">
        <f>SUMIF(险种!E:E,E:E,险种!AA:AA)</f>
        <v>0</v>
      </c>
      <c r="AD203" s="68">
        <f>SUMIFS(险种!AA:AA,险种!U:U,"有效",险种!E:E,E:E)</f>
        <v>0</v>
      </c>
      <c r="AE203" s="68" t="str">
        <f>A203&amp;D203&amp;G203&amp;"目前获得"&amp;$AC$1&amp;AC:AC&amp;"名，获得"&amp;$AD$1&amp;AD:AD&amp;"名"</f>
        <v>凤台陈桂侠伙伴目前获得龙虾节预收名额0名，获得龙虾节承保名额0名</v>
      </c>
      <c r="AF203" s="68">
        <f>SUMIF(认购返还案!D:D,E:E,认购返还案!E:E)</f>
        <v>0</v>
      </c>
      <c r="AG203" s="68">
        <f>_xlfn.IFS(AND(U:U&gt;=3000,U:U&lt;5000),AF:AF*0.5,U:U&gt;=5000,AF:AF*1,U:U&lt;3000,0)</f>
        <v>0</v>
      </c>
      <c r="AH203" s="68">
        <f>_xlfn.IFS(AND(V:V&gt;=3000,V:V&lt;5000),AF:AF*0.5,V:V&gt;=5000,AF:AF*1,V:V&lt;3000,0)</f>
        <v>0</v>
      </c>
      <c r="AI203" s="68" t="str">
        <f>A:A&amp;D:D&amp;G:G&amp;$AF$1&amp;AF:AF&amp;"元，目前预收价值"&amp;U:U&amp;"，"&amp;$AG$1&amp;AG:AG&amp;"元，"&amp;$AH$1&amp;AH:AH&amp;"元"</f>
        <v>凤台陈桂侠伙伴冲锋队缴费金额0元，目前预收价值0，预收拟返还0元，承保拟返还0元</v>
      </c>
      <c r="AJ203" s="68">
        <f>SUMIF(保单!R:R,E:E,保单!BE:BE)*IF(AF:AF&gt;1,1,0)</f>
        <v>0</v>
      </c>
      <c r="AK203" s="68">
        <f>SUMIFS(保单!BE:BE,保单!R:R,E:E,保单!BB:BB,"有效")*IF(AF:AF&gt;1,1,0)</f>
        <v>0</v>
      </c>
      <c r="AL203" s="72" t="str">
        <f>A:A&amp;D:D&amp;G:G&amp;"只要在1-10日承保全部保单，即可获得"&amp;$AJ$1&amp;AJ:AJ&amp;"个"</f>
        <v>凤台陈桂侠伙伴只要在1-10日承保全部保单，即可获得冲锋队按摩仪0个</v>
      </c>
    </row>
    <row r="204" spans="1:38">
      <c r="A204" s="64" t="s">
        <v>27</v>
      </c>
      <c r="B204" s="64" t="s">
        <v>37</v>
      </c>
      <c r="C204" s="64" t="s">
        <v>38</v>
      </c>
      <c r="D204" s="64" t="s">
        <v>441</v>
      </c>
      <c r="E204" s="64">
        <v>6087942102</v>
      </c>
      <c r="F204" s="64" t="s">
        <v>174</v>
      </c>
      <c r="G204" s="64" t="str">
        <f>IF(OR(F:F="高级经理一级",F:F="业务经理一级"),"主管","伙伴")</f>
        <v>伙伴</v>
      </c>
      <c r="H204" s="65">
        <f>SUMIF(险种!E:E,E:E,险种!R:R)-SUMIFS(险种!R:R,险种!U:U,"终止",险种!E:E,E:E)</f>
        <v>0</v>
      </c>
      <c r="I204" s="65">
        <f>SUMIFS(险种!R:R,险种!U:U,"有效",险种!E:E,E:E)</f>
        <v>0</v>
      </c>
      <c r="J204" s="65">
        <f>ROUND(SUMIF(险种!E:E,E:E,险种!Q:Q)-SUMIFS(险种!Q:Q,险种!U:U,"终止",险种!E:E,E:E),1)</f>
        <v>0</v>
      </c>
      <c r="K204" s="68">
        <f>RANK(J204,J:J)</f>
        <v>22</v>
      </c>
      <c r="L204" s="65">
        <f>ROUND(SUMIFS(险种!Q:Q,险种!U:U,"有效",险种!E:E,E:E),1)</f>
        <v>0</v>
      </c>
      <c r="M204" s="68">
        <f>RANK(L204,L:L,)</f>
        <v>14</v>
      </c>
      <c r="N204" s="68">
        <f>SUMIF(险种!E:E,E:E,险种!W:W)</f>
        <v>0</v>
      </c>
      <c r="O204" s="68">
        <f>IF(N:N&gt;=1,1,0)</f>
        <v>0</v>
      </c>
      <c r="P204" s="65">
        <f>ROUND(SUMIFS(险种!Q:Q,险种!V:V,$P$1,险种!E:E,E:E),1)</f>
        <v>0</v>
      </c>
      <c r="Q204" s="68">
        <f>RANK(P204,$P:$P,0)-1</f>
        <v>5</v>
      </c>
      <c r="R204" s="68" t="str">
        <f>A:A&amp;D:D&amp;G:G&amp;"在"&amp;$P$1&amp;"预收"&amp;P:P&amp;"排名中支第"&amp;Q:Q&amp;"位"</f>
        <v>凤台万德清伙伴在20210509预收0排名中支第5位</v>
      </c>
      <c r="S204" s="65">
        <f>ROUND(SUMIFS(险种!Q:Q,险种!E:E,E:E,险种!V:V,"&lt;=20210506")-SUMIFS(险种!Q:Q,险种!U:U,"终止",险种!E:E,E:E,险种!V:V,"&lt;=20210506"),1)</f>
        <v>0</v>
      </c>
      <c r="T204" s="65">
        <f>ROUND(SUMIFS(险种!Q:Q,险种!U:U,"有效",险种!E:E,E:E,险种!V:V,"&lt;=20210506"),1)</f>
        <v>0</v>
      </c>
      <c r="U204" s="65">
        <f>ROUND(SUMIFS(险种!Q:Q,险种!E:E,E:E,险种!V:V,"&lt;=20210510")-SUMIFS(险种!Q:Q,险种!U:U,"终止",险种!E:E,E:E,险种!V:V,"&lt;=20210510"),1)</f>
        <v>0</v>
      </c>
      <c r="V204" s="65">
        <f>ROUND(SUMIFS(险种!Q:Q,险种!U:U,"有效",险种!E:E,E:E,险种!V:V,"&lt;=20210510"),1)</f>
        <v>0</v>
      </c>
      <c r="W204" s="65">
        <f t="shared" si="3"/>
        <v>0</v>
      </c>
      <c r="X204" s="68">
        <f>SUMIF(险种!E:E,E:E,险种!Y:Y)</f>
        <v>0</v>
      </c>
      <c r="Y204" s="65">
        <f>MAX(_xlfn.IFS(OR(X:X=1,X:X=2),J:J*0.1,X:X&gt;=3,J:J*0.2,X:X=0,0),IF(J:J&gt;=20000,J:J*0.2,0))</f>
        <v>0</v>
      </c>
      <c r="Z204" s="65" t="str">
        <f>A204&amp;D204&amp;G204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凤台万德清伙伴5.1-5.10预收价值保费0，首周预收3000P件数0件，预收拟加佣0元。温馨提示，保单需10日（含）前承保，目前还有0价值保费未承保,开单一件即可获得10%加佣</v>
      </c>
      <c r="AA204" s="68">
        <f>SUMIF(险种!E:E,E:E,险种!Z:Z)</f>
        <v>0</v>
      </c>
      <c r="AB204" s="65"/>
      <c r="AC204" s="68">
        <f>SUMIF(险种!E:E,E:E,险种!AA:AA)</f>
        <v>0</v>
      </c>
      <c r="AD204" s="68">
        <f>SUMIFS(险种!AA:AA,险种!U:U,"有效",险种!E:E,E:E)</f>
        <v>0</v>
      </c>
      <c r="AE204" s="68" t="str">
        <f>A204&amp;D204&amp;G204&amp;"目前获得"&amp;$AC$1&amp;AC:AC&amp;"名，获得"&amp;$AD$1&amp;AD:AD&amp;"名"</f>
        <v>凤台万德清伙伴目前获得龙虾节预收名额0名，获得龙虾节承保名额0名</v>
      </c>
      <c r="AF204" s="68">
        <f>SUMIF(认购返还案!D:D,E:E,认购返还案!E:E)</f>
        <v>0</v>
      </c>
      <c r="AG204" s="68">
        <f>_xlfn.IFS(AND(U:U&gt;=3000,U:U&lt;5000),AF:AF*0.5,U:U&gt;=5000,AF:AF*1,U:U&lt;3000,0)</f>
        <v>0</v>
      </c>
      <c r="AH204" s="68">
        <f>_xlfn.IFS(AND(V:V&gt;=3000,V:V&lt;5000),AF:AF*0.5,V:V&gt;=5000,AF:AF*1,V:V&lt;3000,0)</f>
        <v>0</v>
      </c>
      <c r="AI204" s="68" t="str">
        <f>A:A&amp;D:D&amp;G:G&amp;$AF$1&amp;AF:AF&amp;"元，目前预收价值"&amp;U:U&amp;"，"&amp;$AG$1&amp;AG:AG&amp;"元，"&amp;$AH$1&amp;AH:AH&amp;"元"</f>
        <v>凤台万德清伙伴冲锋队缴费金额0元，目前预收价值0，预收拟返还0元，承保拟返还0元</v>
      </c>
      <c r="AJ204" s="68">
        <f>SUMIF(保单!R:R,E:E,保单!BE:BE)*IF(AF:AF&gt;1,1,0)</f>
        <v>0</v>
      </c>
      <c r="AK204" s="68">
        <f>SUMIFS(保单!BE:BE,保单!R:R,E:E,保单!BB:BB,"有效")*IF(AF:AF&gt;1,1,0)</f>
        <v>0</v>
      </c>
      <c r="AL204" s="72" t="str">
        <f>A:A&amp;D:D&amp;G:G&amp;"只要在1-10日承保全部保单，即可获得"&amp;$AJ$1&amp;AJ:AJ&amp;"个"</f>
        <v>凤台万德清伙伴只要在1-10日承保全部保单，即可获得冲锋队按摩仪0个</v>
      </c>
    </row>
    <row r="205" spans="1:38">
      <c r="A205" s="64" t="s">
        <v>48</v>
      </c>
      <c r="B205" s="64" t="s">
        <v>49</v>
      </c>
      <c r="C205" s="64" t="s">
        <v>98</v>
      </c>
      <c r="D205" s="64" t="s">
        <v>442</v>
      </c>
      <c r="E205" s="64">
        <v>6085146342</v>
      </c>
      <c r="F205" s="64" t="s">
        <v>174</v>
      </c>
      <c r="G205" s="64" t="str">
        <f>IF(OR(F:F="高级经理一级",F:F="业务经理一级"),"主管","伙伴")</f>
        <v>伙伴</v>
      </c>
      <c r="H205" s="65">
        <f>SUMIF(险种!E:E,E:E,险种!R:R)-SUMIFS(险种!R:R,险种!U:U,"终止",险种!E:E,E:E)</f>
        <v>0</v>
      </c>
      <c r="I205" s="65">
        <f>SUMIFS(险种!R:R,险种!U:U,"有效",险种!E:E,E:E)</f>
        <v>0</v>
      </c>
      <c r="J205" s="65">
        <f>ROUND(SUMIF(险种!E:E,E:E,险种!Q:Q)-SUMIFS(险种!Q:Q,险种!U:U,"终止",险种!E:E,E:E),1)</f>
        <v>0</v>
      </c>
      <c r="K205" s="68">
        <f>RANK(J205,J:J)</f>
        <v>22</v>
      </c>
      <c r="L205" s="65">
        <f>ROUND(SUMIFS(险种!Q:Q,险种!U:U,"有效",险种!E:E,E:E),1)</f>
        <v>0</v>
      </c>
      <c r="M205" s="68">
        <f>RANK(L205,L:L,)</f>
        <v>14</v>
      </c>
      <c r="N205" s="68">
        <f>SUMIF(险种!E:E,E:E,险种!W:W)</f>
        <v>0</v>
      </c>
      <c r="O205" s="68">
        <f>IF(N:N&gt;=1,1,0)</f>
        <v>0</v>
      </c>
      <c r="P205" s="65">
        <f>ROUND(SUMIFS(险种!Q:Q,险种!V:V,$P$1,险种!E:E,E:E),1)</f>
        <v>0</v>
      </c>
      <c r="Q205" s="68">
        <f>RANK(P205,$P:$P,0)-1</f>
        <v>5</v>
      </c>
      <c r="R205" s="68" t="str">
        <f>A:A&amp;D:D&amp;G:G&amp;"在"&amp;$P$1&amp;"预收"&amp;P:P&amp;"排名中支第"&amp;Q:Q&amp;"位"</f>
        <v>谢家集王利利伙伴在20210509预收0排名中支第5位</v>
      </c>
      <c r="S205" s="65">
        <f>ROUND(SUMIFS(险种!Q:Q,险种!E:E,E:E,险种!V:V,"&lt;=20210506")-SUMIFS(险种!Q:Q,险种!U:U,"终止",险种!E:E,E:E,险种!V:V,"&lt;=20210506"),1)</f>
        <v>0</v>
      </c>
      <c r="T205" s="65">
        <f>ROUND(SUMIFS(险种!Q:Q,险种!U:U,"有效",险种!E:E,E:E,险种!V:V,"&lt;=20210506"),1)</f>
        <v>0</v>
      </c>
      <c r="U205" s="65">
        <f>ROUND(SUMIFS(险种!Q:Q,险种!E:E,E:E,险种!V:V,"&lt;=20210510")-SUMIFS(险种!Q:Q,险种!U:U,"终止",险种!E:E,E:E,险种!V:V,"&lt;=20210510"),1)</f>
        <v>0</v>
      </c>
      <c r="V205" s="65">
        <f>ROUND(SUMIFS(险种!Q:Q,险种!U:U,"有效",险种!E:E,E:E,险种!V:V,"&lt;=20210510"),1)</f>
        <v>0</v>
      </c>
      <c r="W205" s="65">
        <f t="shared" si="3"/>
        <v>0</v>
      </c>
      <c r="X205" s="68">
        <f>SUMIF(险种!E:E,E:E,险种!Y:Y)</f>
        <v>0</v>
      </c>
      <c r="Y205" s="65">
        <f>MAX(_xlfn.IFS(OR(X:X=1,X:X=2),J:J*0.1,X:X&gt;=3,J:J*0.2,X:X=0,0),IF(J:J&gt;=20000,J:J*0.2,0))</f>
        <v>0</v>
      </c>
      <c r="Z205" s="65" t="str">
        <f>A205&amp;D205&amp;G205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谢家集王利利伙伴5.1-5.10预收价值保费0，首周预收3000P件数0件，预收拟加佣0元。温馨提示，保单需10日（含）前承保，目前还有0价值保费未承保,开单一件即可获得10%加佣</v>
      </c>
      <c r="AA205" s="68">
        <f>SUMIF(险种!E:E,E:E,险种!Z:Z)</f>
        <v>0</v>
      </c>
      <c r="AB205" s="65"/>
      <c r="AC205" s="68">
        <f>SUMIF(险种!E:E,E:E,险种!AA:AA)</f>
        <v>0</v>
      </c>
      <c r="AD205" s="68">
        <f>SUMIFS(险种!AA:AA,险种!U:U,"有效",险种!E:E,E:E)</f>
        <v>0</v>
      </c>
      <c r="AE205" s="68" t="str">
        <f>A205&amp;D205&amp;G205&amp;"目前获得"&amp;$AC$1&amp;AC:AC&amp;"名，获得"&amp;$AD$1&amp;AD:AD&amp;"名"</f>
        <v>谢家集王利利伙伴目前获得龙虾节预收名额0名，获得龙虾节承保名额0名</v>
      </c>
      <c r="AF205" s="68">
        <f>SUMIF(认购返还案!D:D,E:E,认购返还案!E:E)</f>
        <v>0</v>
      </c>
      <c r="AG205" s="68">
        <f>_xlfn.IFS(AND(U:U&gt;=3000,U:U&lt;5000),AF:AF*0.5,U:U&gt;=5000,AF:AF*1,U:U&lt;3000,0)</f>
        <v>0</v>
      </c>
      <c r="AH205" s="68">
        <f>_xlfn.IFS(AND(V:V&gt;=3000,V:V&lt;5000),AF:AF*0.5,V:V&gt;=5000,AF:AF*1,V:V&lt;3000,0)</f>
        <v>0</v>
      </c>
      <c r="AI205" s="68" t="str">
        <f>A:A&amp;D:D&amp;G:G&amp;$AF$1&amp;AF:AF&amp;"元，目前预收价值"&amp;U:U&amp;"，"&amp;$AG$1&amp;AG:AG&amp;"元，"&amp;$AH$1&amp;AH:AH&amp;"元"</f>
        <v>谢家集王利利伙伴冲锋队缴费金额0元，目前预收价值0，预收拟返还0元，承保拟返还0元</v>
      </c>
      <c r="AJ205" s="68">
        <f>SUMIF(保单!R:R,E:E,保单!BE:BE)*IF(AF:AF&gt;1,1,0)</f>
        <v>0</v>
      </c>
      <c r="AK205" s="68">
        <f>SUMIFS(保单!BE:BE,保单!R:R,E:E,保单!BB:BB,"有效")*IF(AF:AF&gt;1,1,0)</f>
        <v>0</v>
      </c>
      <c r="AL205" s="72" t="str">
        <f>A:A&amp;D:D&amp;G:G&amp;"只要在1-10日承保全部保单，即可获得"&amp;$AJ$1&amp;AJ:AJ&amp;"个"</f>
        <v>谢家集王利利伙伴只要在1-10日承保全部保单，即可获得冲锋队按摩仪0个</v>
      </c>
    </row>
    <row r="206" spans="1:38">
      <c r="A206" s="64" t="s">
        <v>42</v>
      </c>
      <c r="B206" s="64" t="s">
        <v>43</v>
      </c>
      <c r="C206" s="64" t="s">
        <v>75</v>
      </c>
      <c r="D206" s="64" t="s">
        <v>443</v>
      </c>
      <c r="E206" s="64">
        <v>6084400252</v>
      </c>
      <c r="F206" s="64" t="s">
        <v>174</v>
      </c>
      <c r="G206" s="64" t="str">
        <f>IF(OR(F:F="高级经理一级",F:F="业务经理一级"),"主管","伙伴")</f>
        <v>伙伴</v>
      </c>
      <c r="H206" s="65">
        <f>SUMIF(险种!E:E,E:E,险种!R:R)-SUMIFS(险种!R:R,险种!U:U,"终止",险种!E:E,E:E)</f>
        <v>0</v>
      </c>
      <c r="I206" s="65">
        <f>SUMIFS(险种!R:R,险种!U:U,"有效",险种!E:E,E:E)</f>
        <v>0</v>
      </c>
      <c r="J206" s="65">
        <f>ROUND(SUMIF(险种!E:E,E:E,险种!Q:Q)-SUMIFS(险种!Q:Q,险种!U:U,"终止",险种!E:E,E:E),1)</f>
        <v>0</v>
      </c>
      <c r="K206" s="68">
        <f>RANK(J206,J:J)</f>
        <v>22</v>
      </c>
      <c r="L206" s="65">
        <f>ROUND(SUMIFS(险种!Q:Q,险种!U:U,"有效",险种!E:E,E:E),1)</f>
        <v>0</v>
      </c>
      <c r="M206" s="68">
        <f>RANK(L206,L:L,)</f>
        <v>14</v>
      </c>
      <c r="N206" s="68">
        <f>SUMIF(险种!E:E,E:E,险种!W:W)</f>
        <v>0</v>
      </c>
      <c r="O206" s="68">
        <f>IF(N:N&gt;=1,1,0)</f>
        <v>0</v>
      </c>
      <c r="P206" s="65">
        <f>ROUND(SUMIFS(险种!Q:Q,险种!V:V,$P$1,险种!E:E,E:E),1)</f>
        <v>0</v>
      </c>
      <c r="Q206" s="68">
        <f>RANK(P206,$P:$P,0)-1</f>
        <v>5</v>
      </c>
      <c r="R206" s="68" t="str">
        <f>A:A&amp;D:D&amp;G:G&amp;"在"&amp;$P$1&amp;"预收"&amp;P:P&amp;"排名中支第"&amp;Q:Q&amp;"位"</f>
        <v>淮南本部倪荣跃伙伴在20210509预收0排名中支第5位</v>
      </c>
      <c r="S206" s="65">
        <f>ROUND(SUMIFS(险种!Q:Q,险种!E:E,E:E,险种!V:V,"&lt;=20210506")-SUMIFS(险种!Q:Q,险种!U:U,"终止",险种!E:E,E:E,险种!V:V,"&lt;=20210506"),1)</f>
        <v>0</v>
      </c>
      <c r="T206" s="65">
        <f>ROUND(SUMIFS(险种!Q:Q,险种!U:U,"有效",险种!E:E,E:E,险种!V:V,"&lt;=20210506"),1)</f>
        <v>0</v>
      </c>
      <c r="U206" s="65">
        <f>ROUND(SUMIFS(险种!Q:Q,险种!E:E,E:E,险种!V:V,"&lt;=20210510")-SUMIFS(险种!Q:Q,险种!U:U,"终止",险种!E:E,E:E,险种!V:V,"&lt;=20210510"),1)</f>
        <v>0</v>
      </c>
      <c r="V206" s="65">
        <f>ROUND(SUMIFS(险种!Q:Q,险种!U:U,"有效",险种!E:E,E:E,险种!V:V,"&lt;=20210510"),1)</f>
        <v>0</v>
      </c>
      <c r="W206" s="65">
        <f t="shared" si="3"/>
        <v>0</v>
      </c>
      <c r="X206" s="68">
        <f>SUMIF(险种!E:E,E:E,险种!Y:Y)</f>
        <v>0</v>
      </c>
      <c r="Y206" s="65">
        <f>MAX(_xlfn.IFS(OR(X:X=1,X:X=2),J:J*0.1,X:X&gt;=3,J:J*0.2,X:X=0,0),IF(J:J&gt;=20000,J:J*0.2,0))</f>
        <v>0</v>
      </c>
      <c r="Z206" s="65" t="str">
        <f>A206&amp;D206&amp;G206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淮南本部倪荣跃伙伴5.1-5.10预收价值保费0，首周预收3000P件数0件，预收拟加佣0元。温馨提示，保单需10日（含）前承保，目前还有0价值保费未承保,开单一件即可获得10%加佣</v>
      </c>
      <c r="AA206" s="68">
        <f>SUMIF(险种!E:E,E:E,险种!Z:Z)</f>
        <v>0</v>
      </c>
      <c r="AB206" s="65"/>
      <c r="AC206" s="68">
        <f>SUMIF(险种!E:E,E:E,险种!AA:AA)</f>
        <v>0</v>
      </c>
      <c r="AD206" s="68">
        <f>SUMIFS(险种!AA:AA,险种!U:U,"有效",险种!E:E,E:E)</f>
        <v>0</v>
      </c>
      <c r="AE206" s="68" t="str">
        <f>A206&amp;D206&amp;G206&amp;"目前获得"&amp;$AC$1&amp;AC:AC&amp;"名，获得"&amp;$AD$1&amp;AD:AD&amp;"名"</f>
        <v>淮南本部倪荣跃伙伴目前获得龙虾节预收名额0名，获得龙虾节承保名额0名</v>
      </c>
      <c r="AF206" s="68">
        <f>SUMIF(认购返还案!D:D,E:E,认购返还案!E:E)</f>
        <v>0</v>
      </c>
      <c r="AG206" s="68">
        <f>_xlfn.IFS(AND(U:U&gt;=3000,U:U&lt;5000),AF:AF*0.5,U:U&gt;=5000,AF:AF*1,U:U&lt;3000,0)</f>
        <v>0</v>
      </c>
      <c r="AH206" s="68">
        <f>_xlfn.IFS(AND(V:V&gt;=3000,V:V&lt;5000),AF:AF*0.5,V:V&gt;=5000,AF:AF*1,V:V&lt;3000,0)</f>
        <v>0</v>
      </c>
      <c r="AI206" s="68" t="str">
        <f>A:A&amp;D:D&amp;G:G&amp;$AF$1&amp;AF:AF&amp;"元，目前预收价值"&amp;U:U&amp;"，"&amp;$AG$1&amp;AG:AG&amp;"元，"&amp;$AH$1&amp;AH:AH&amp;"元"</f>
        <v>淮南本部倪荣跃伙伴冲锋队缴费金额0元，目前预收价值0，预收拟返还0元，承保拟返还0元</v>
      </c>
      <c r="AJ206" s="68">
        <f>SUMIF(保单!R:R,E:E,保单!BE:BE)*IF(AF:AF&gt;1,1,0)</f>
        <v>0</v>
      </c>
      <c r="AK206" s="68">
        <f>SUMIFS(保单!BE:BE,保单!R:R,E:E,保单!BB:BB,"有效")*IF(AF:AF&gt;1,1,0)</f>
        <v>0</v>
      </c>
      <c r="AL206" s="72" t="str">
        <f>A:A&amp;D:D&amp;G:G&amp;"只要在1-10日承保全部保单，即可获得"&amp;$AJ$1&amp;AJ:AJ&amp;"个"</f>
        <v>淮南本部倪荣跃伙伴只要在1-10日承保全部保单，即可获得冲锋队按摩仪0个</v>
      </c>
    </row>
    <row r="207" spans="1:38">
      <c r="A207" s="64" t="s">
        <v>27</v>
      </c>
      <c r="B207" s="64" t="s">
        <v>28</v>
      </c>
      <c r="C207" s="64" t="s">
        <v>29</v>
      </c>
      <c r="D207" s="64" t="s">
        <v>444</v>
      </c>
      <c r="E207" s="64">
        <v>6071927132</v>
      </c>
      <c r="F207" s="64" t="s">
        <v>174</v>
      </c>
      <c r="G207" s="64" t="str">
        <f>IF(OR(F:F="高级经理一级",F:F="业务经理一级"),"主管","伙伴")</f>
        <v>伙伴</v>
      </c>
      <c r="H207" s="65">
        <f>SUMIF(险种!E:E,E:E,险种!R:R)-SUMIFS(险种!R:R,险种!U:U,"终止",险种!E:E,E:E)</f>
        <v>0</v>
      </c>
      <c r="I207" s="65">
        <f>SUMIFS(险种!R:R,险种!U:U,"有效",险种!E:E,E:E)</f>
        <v>0</v>
      </c>
      <c r="J207" s="65">
        <f>ROUND(SUMIF(险种!E:E,E:E,险种!Q:Q)-SUMIFS(险种!Q:Q,险种!U:U,"终止",险种!E:E,E:E),1)</f>
        <v>0</v>
      </c>
      <c r="K207" s="68">
        <f>RANK(J207,J:J)</f>
        <v>22</v>
      </c>
      <c r="L207" s="65">
        <f>ROUND(SUMIFS(险种!Q:Q,险种!U:U,"有效",险种!E:E,E:E),1)</f>
        <v>0</v>
      </c>
      <c r="M207" s="68">
        <f>RANK(L207,L:L,)</f>
        <v>14</v>
      </c>
      <c r="N207" s="68">
        <f>SUMIF(险种!E:E,E:E,险种!W:W)</f>
        <v>0</v>
      </c>
      <c r="O207" s="68">
        <f>IF(N:N&gt;=1,1,0)</f>
        <v>0</v>
      </c>
      <c r="P207" s="65">
        <f>ROUND(SUMIFS(险种!Q:Q,险种!V:V,$P$1,险种!E:E,E:E),1)</f>
        <v>0</v>
      </c>
      <c r="Q207" s="68">
        <f>RANK(P207,$P:$P,0)-1</f>
        <v>5</v>
      </c>
      <c r="R207" s="68" t="str">
        <f>A:A&amp;D:D&amp;G:G&amp;"在"&amp;$P$1&amp;"预收"&amp;P:P&amp;"排名中支第"&amp;Q:Q&amp;"位"</f>
        <v>凤台刘祥伙伴在20210509预收0排名中支第5位</v>
      </c>
      <c r="S207" s="65">
        <f>ROUND(SUMIFS(险种!Q:Q,险种!E:E,E:E,险种!V:V,"&lt;=20210506")-SUMIFS(险种!Q:Q,险种!U:U,"终止",险种!E:E,E:E,险种!V:V,"&lt;=20210506"),1)</f>
        <v>0</v>
      </c>
      <c r="T207" s="65">
        <f>ROUND(SUMIFS(险种!Q:Q,险种!U:U,"有效",险种!E:E,E:E,险种!V:V,"&lt;=20210506"),1)</f>
        <v>0</v>
      </c>
      <c r="U207" s="65">
        <f>ROUND(SUMIFS(险种!Q:Q,险种!E:E,E:E,险种!V:V,"&lt;=20210510")-SUMIFS(险种!Q:Q,险种!U:U,"终止",险种!E:E,E:E,险种!V:V,"&lt;=20210510"),1)</f>
        <v>0</v>
      </c>
      <c r="V207" s="65">
        <f>ROUND(SUMIFS(险种!Q:Q,险种!U:U,"有效",险种!E:E,E:E,险种!V:V,"&lt;=20210510"),1)</f>
        <v>0</v>
      </c>
      <c r="W207" s="65">
        <f t="shared" si="3"/>
        <v>0</v>
      </c>
      <c r="X207" s="68">
        <f>SUMIF(险种!E:E,E:E,险种!Y:Y)</f>
        <v>0</v>
      </c>
      <c r="Y207" s="65">
        <f>MAX(_xlfn.IFS(OR(X:X=1,X:X=2),J:J*0.1,X:X&gt;=3,J:J*0.2,X:X=0,0),IF(J:J&gt;=20000,J:J*0.2,0))</f>
        <v>0</v>
      </c>
      <c r="Z207" s="65" t="str">
        <f>A207&amp;D207&amp;G207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凤台刘祥伙伴5.1-5.10预收价值保费0，首周预收3000P件数0件，预收拟加佣0元。温馨提示，保单需10日（含）前承保，目前还有0价值保费未承保,开单一件即可获得10%加佣</v>
      </c>
      <c r="AA207" s="68">
        <f>SUMIF(险种!E:E,E:E,险种!Z:Z)</f>
        <v>0</v>
      </c>
      <c r="AB207" s="65"/>
      <c r="AC207" s="68">
        <f>SUMIF(险种!E:E,E:E,险种!AA:AA)</f>
        <v>0</v>
      </c>
      <c r="AD207" s="68">
        <f>SUMIFS(险种!AA:AA,险种!U:U,"有效",险种!E:E,E:E)</f>
        <v>0</v>
      </c>
      <c r="AE207" s="68" t="str">
        <f>A207&amp;D207&amp;G207&amp;"目前获得"&amp;$AC$1&amp;AC:AC&amp;"名，获得"&amp;$AD$1&amp;AD:AD&amp;"名"</f>
        <v>凤台刘祥伙伴目前获得龙虾节预收名额0名，获得龙虾节承保名额0名</v>
      </c>
      <c r="AF207" s="68">
        <f>SUMIF(认购返还案!D:D,E:E,认购返还案!E:E)</f>
        <v>0</v>
      </c>
      <c r="AG207" s="68">
        <f>_xlfn.IFS(AND(U:U&gt;=3000,U:U&lt;5000),AF:AF*0.5,U:U&gt;=5000,AF:AF*1,U:U&lt;3000,0)</f>
        <v>0</v>
      </c>
      <c r="AH207" s="68">
        <f>_xlfn.IFS(AND(V:V&gt;=3000,V:V&lt;5000),AF:AF*0.5,V:V&gt;=5000,AF:AF*1,V:V&lt;3000,0)</f>
        <v>0</v>
      </c>
      <c r="AI207" s="68" t="str">
        <f>A:A&amp;D:D&amp;G:G&amp;$AF$1&amp;AF:AF&amp;"元，目前预收价值"&amp;U:U&amp;"，"&amp;$AG$1&amp;AG:AG&amp;"元，"&amp;$AH$1&amp;AH:AH&amp;"元"</f>
        <v>凤台刘祥伙伴冲锋队缴费金额0元，目前预收价值0，预收拟返还0元，承保拟返还0元</v>
      </c>
      <c r="AJ207" s="68">
        <f>SUMIF(保单!R:R,E:E,保单!BE:BE)*IF(AF:AF&gt;1,1,0)</f>
        <v>0</v>
      </c>
      <c r="AK207" s="68">
        <f>SUMIFS(保单!BE:BE,保单!R:R,E:E,保单!BB:BB,"有效")*IF(AF:AF&gt;1,1,0)</f>
        <v>0</v>
      </c>
      <c r="AL207" s="72" t="str">
        <f>A:A&amp;D:D&amp;G:G&amp;"只要在1-10日承保全部保单，即可获得"&amp;$AJ$1&amp;AJ:AJ&amp;"个"</f>
        <v>凤台刘祥伙伴只要在1-10日承保全部保单，即可获得冲锋队按摩仪0个</v>
      </c>
    </row>
    <row r="208" spans="1:38">
      <c r="A208" s="64" t="s">
        <v>27</v>
      </c>
      <c r="B208" s="64" t="s">
        <v>28</v>
      </c>
      <c r="C208" s="64" t="s">
        <v>29</v>
      </c>
      <c r="D208" s="64" t="s">
        <v>445</v>
      </c>
      <c r="E208" s="64">
        <v>6071625262</v>
      </c>
      <c r="F208" s="64" t="s">
        <v>174</v>
      </c>
      <c r="G208" s="64" t="str">
        <f>IF(OR(F:F="高级经理一级",F:F="业务经理一级"),"主管","伙伴")</f>
        <v>伙伴</v>
      </c>
      <c r="H208" s="65">
        <f>SUMIF(险种!E:E,E:E,险种!R:R)-SUMIFS(险种!R:R,险种!U:U,"终止",险种!E:E,E:E)</f>
        <v>0</v>
      </c>
      <c r="I208" s="65">
        <f>SUMIFS(险种!R:R,险种!U:U,"有效",险种!E:E,E:E)</f>
        <v>0</v>
      </c>
      <c r="J208" s="65">
        <f>ROUND(SUMIF(险种!E:E,E:E,险种!Q:Q)-SUMIFS(险种!Q:Q,险种!U:U,"终止",险种!E:E,E:E),1)</f>
        <v>0</v>
      </c>
      <c r="K208" s="68">
        <f>RANK(J208,J:J)</f>
        <v>22</v>
      </c>
      <c r="L208" s="65">
        <f>ROUND(SUMIFS(险种!Q:Q,险种!U:U,"有效",险种!E:E,E:E),1)</f>
        <v>0</v>
      </c>
      <c r="M208" s="68">
        <f>RANK(L208,L:L,)</f>
        <v>14</v>
      </c>
      <c r="N208" s="68">
        <f>SUMIF(险种!E:E,E:E,险种!W:W)</f>
        <v>0</v>
      </c>
      <c r="O208" s="68">
        <f>IF(N:N&gt;=1,1,0)</f>
        <v>0</v>
      </c>
      <c r="P208" s="65">
        <f>ROUND(SUMIFS(险种!Q:Q,险种!V:V,$P$1,险种!E:E,E:E),1)</f>
        <v>0</v>
      </c>
      <c r="Q208" s="68">
        <f>RANK(P208,$P:$P,0)-1</f>
        <v>5</v>
      </c>
      <c r="R208" s="68" t="str">
        <f>A:A&amp;D:D&amp;G:G&amp;"在"&amp;$P$1&amp;"预收"&amp;P:P&amp;"排名中支第"&amp;Q:Q&amp;"位"</f>
        <v>凤台刘洁君伙伴在20210509预收0排名中支第5位</v>
      </c>
      <c r="S208" s="65">
        <f>ROUND(SUMIFS(险种!Q:Q,险种!E:E,E:E,险种!V:V,"&lt;=20210506")-SUMIFS(险种!Q:Q,险种!U:U,"终止",险种!E:E,E:E,险种!V:V,"&lt;=20210506"),1)</f>
        <v>0</v>
      </c>
      <c r="T208" s="65">
        <f>ROUND(SUMIFS(险种!Q:Q,险种!U:U,"有效",险种!E:E,E:E,险种!V:V,"&lt;=20210506"),1)</f>
        <v>0</v>
      </c>
      <c r="U208" s="65">
        <f>ROUND(SUMIFS(险种!Q:Q,险种!E:E,E:E,险种!V:V,"&lt;=20210510")-SUMIFS(险种!Q:Q,险种!U:U,"终止",险种!E:E,E:E,险种!V:V,"&lt;=20210510"),1)</f>
        <v>0</v>
      </c>
      <c r="V208" s="65">
        <f>ROUND(SUMIFS(险种!Q:Q,险种!U:U,"有效",险种!E:E,E:E,险种!V:V,"&lt;=20210510"),1)</f>
        <v>0</v>
      </c>
      <c r="W208" s="65">
        <f t="shared" si="3"/>
        <v>0</v>
      </c>
      <c r="X208" s="68">
        <f>SUMIF(险种!E:E,E:E,险种!Y:Y)</f>
        <v>0</v>
      </c>
      <c r="Y208" s="65">
        <f>MAX(_xlfn.IFS(OR(X:X=1,X:X=2),J:J*0.1,X:X&gt;=3,J:J*0.2,X:X=0,0),IF(J:J&gt;=20000,J:J*0.2,0))</f>
        <v>0</v>
      </c>
      <c r="Z208" s="65" t="str">
        <f>A208&amp;D208&amp;G208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凤台刘洁君伙伴5.1-5.10预收价值保费0，首周预收3000P件数0件，预收拟加佣0元。温馨提示，保单需10日（含）前承保，目前还有0价值保费未承保,开单一件即可获得10%加佣</v>
      </c>
      <c r="AA208" s="68">
        <f>SUMIF(险种!E:E,E:E,险种!Z:Z)</f>
        <v>0</v>
      </c>
      <c r="AB208" s="65"/>
      <c r="AC208" s="68">
        <f>SUMIF(险种!E:E,E:E,险种!AA:AA)</f>
        <v>0</v>
      </c>
      <c r="AD208" s="68">
        <f>SUMIFS(险种!AA:AA,险种!U:U,"有效",险种!E:E,E:E)</f>
        <v>0</v>
      </c>
      <c r="AE208" s="68" t="str">
        <f>A208&amp;D208&amp;G208&amp;"目前获得"&amp;$AC$1&amp;AC:AC&amp;"名，获得"&amp;$AD$1&amp;AD:AD&amp;"名"</f>
        <v>凤台刘洁君伙伴目前获得龙虾节预收名额0名，获得龙虾节承保名额0名</v>
      </c>
      <c r="AF208" s="68">
        <f>SUMIF(认购返还案!D:D,E:E,认购返还案!E:E)</f>
        <v>0</v>
      </c>
      <c r="AG208" s="68">
        <f>_xlfn.IFS(AND(U:U&gt;=3000,U:U&lt;5000),AF:AF*0.5,U:U&gt;=5000,AF:AF*1,U:U&lt;3000,0)</f>
        <v>0</v>
      </c>
      <c r="AH208" s="68">
        <f>_xlfn.IFS(AND(V:V&gt;=3000,V:V&lt;5000),AF:AF*0.5,V:V&gt;=5000,AF:AF*1,V:V&lt;3000,0)</f>
        <v>0</v>
      </c>
      <c r="AI208" s="68" t="str">
        <f>A:A&amp;D:D&amp;G:G&amp;$AF$1&amp;AF:AF&amp;"元，目前预收价值"&amp;U:U&amp;"，"&amp;$AG$1&amp;AG:AG&amp;"元，"&amp;$AH$1&amp;AH:AH&amp;"元"</f>
        <v>凤台刘洁君伙伴冲锋队缴费金额0元，目前预收价值0，预收拟返还0元，承保拟返还0元</v>
      </c>
      <c r="AJ208" s="68">
        <f>SUMIF(保单!R:R,E:E,保单!BE:BE)*IF(AF:AF&gt;1,1,0)</f>
        <v>0</v>
      </c>
      <c r="AK208" s="68">
        <f>SUMIFS(保单!BE:BE,保单!R:R,E:E,保单!BB:BB,"有效")*IF(AF:AF&gt;1,1,0)</f>
        <v>0</v>
      </c>
      <c r="AL208" s="72" t="str">
        <f>A:A&amp;D:D&amp;G:G&amp;"只要在1-10日承保全部保单，即可获得"&amp;$AJ$1&amp;AJ:AJ&amp;"个"</f>
        <v>凤台刘洁君伙伴只要在1-10日承保全部保单，即可获得冲锋队按摩仪0个</v>
      </c>
    </row>
    <row r="209" spans="1:38">
      <c r="A209" s="64" t="s">
        <v>27</v>
      </c>
      <c r="B209" s="64" t="s">
        <v>37</v>
      </c>
      <c r="C209" s="64" t="s">
        <v>226</v>
      </c>
      <c r="D209" s="64" t="s">
        <v>446</v>
      </c>
      <c r="E209" s="64">
        <v>6071074072</v>
      </c>
      <c r="F209" s="64" t="s">
        <v>174</v>
      </c>
      <c r="G209" s="64" t="str">
        <f>IF(OR(F:F="高级经理一级",F:F="业务经理一级"),"主管","伙伴")</f>
        <v>伙伴</v>
      </c>
      <c r="H209" s="65">
        <f>SUMIF(险种!E:E,E:E,险种!R:R)-SUMIFS(险种!R:R,险种!U:U,"终止",险种!E:E,E:E)</f>
        <v>0</v>
      </c>
      <c r="I209" s="65">
        <f>SUMIFS(险种!R:R,险种!U:U,"有效",险种!E:E,E:E)</f>
        <v>0</v>
      </c>
      <c r="J209" s="65">
        <f>ROUND(SUMIF(险种!E:E,E:E,险种!Q:Q)-SUMIFS(险种!Q:Q,险种!U:U,"终止",险种!E:E,E:E),1)</f>
        <v>0</v>
      </c>
      <c r="K209" s="68">
        <f>RANK(J209,J:J)</f>
        <v>22</v>
      </c>
      <c r="L209" s="65">
        <f>ROUND(SUMIFS(险种!Q:Q,险种!U:U,"有效",险种!E:E,E:E),1)</f>
        <v>0</v>
      </c>
      <c r="M209" s="68">
        <f>RANK(L209,L:L,)</f>
        <v>14</v>
      </c>
      <c r="N209" s="68">
        <f>SUMIF(险种!E:E,E:E,险种!W:W)</f>
        <v>0</v>
      </c>
      <c r="O209" s="68">
        <f>IF(N:N&gt;=1,1,0)</f>
        <v>0</v>
      </c>
      <c r="P209" s="65">
        <f>ROUND(SUMIFS(险种!Q:Q,险种!V:V,$P$1,险种!E:E,E:E),1)</f>
        <v>0</v>
      </c>
      <c r="Q209" s="68">
        <f>RANK(P209,$P:$P,0)-1</f>
        <v>5</v>
      </c>
      <c r="R209" s="68" t="str">
        <f>A:A&amp;D:D&amp;G:G&amp;"在"&amp;$P$1&amp;"预收"&amp;P:P&amp;"排名中支第"&amp;Q:Q&amp;"位"</f>
        <v>凤台蔡影伙伴在20210509预收0排名中支第5位</v>
      </c>
      <c r="S209" s="65">
        <f>ROUND(SUMIFS(险种!Q:Q,险种!E:E,E:E,险种!V:V,"&lt;=20210506")-SUMIFS(险种!Q:Q,险种!U:U,"终止",险种!E:E,E:E,险种!V:V,"&lt;=20210506"),1)</f>
        <v>0</v>
      </c>
      <c r="T209" s="65">
        <f>ROUND(SUMIFS(险种!Q:Q,险种!U:U,"有效",险种!E:E,E:E,险种!V:V,"&lt;=20210506"),1)</f>
        <v>0</v>
      </c>
      <c r="U209" s="65">
        <f>ROUND(SUMIFS(险种!Q:Q,险种!E:E,E:E,险种!V:V,"&lt;=20210510")-SUMIFS(险种!Q:Q,险种!U:U,"终止",险种!E:E,E:E,险种!V:V,"&lt;=20210510"),1)</f>
        <v>0</v>
      </c>
      <c r="V209" s="65">
        <f>ROUND(SUMIFS(险种!Q:Q,险种!U:U,"有效",险种!E:E,E:E,险种!V:V,"&lt;=20210510"),1)</f>
        <v>0</v>
      </c>
      <c r="W209" s="65">
        <f t="shared" si="3"/>
        <v>0</v>
      </c>
      <c r="X209" s="68">
        <f>SUMIF(险种!E:E,E:E,险种!Y:Y)</f>
        <v>0</v>
      </c>
      <c r="Y209" s="65">
        <f>MAX(_xlfn.IFS(OR(X:X=1,X:X=2),J:J*0.1,X:X&gt;=3,J:J*0.2,X:X=0,0),IF(J:J&gt;=20000,J:J*0.2,0))</f>
        <v>0</v>
      </c>
      <c r="Z209" s="65" t="str">
        <f>A209&amp;D209&amp;G209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凤台蔡影伙伴5.1-5.10预收价值保费0，首周预收3000P件数0件，预收拟加佣0元。温馨提示，保单需10日（含）前承保，目前还有0价值保费未承保,开单一件即可获得10%加佣</v>
      </c>
      <c r="AA209" s="68">
        <f>SUMIF(险种!E:E,E:E,险种!Z:Z)</f>
        <v>0</v>
      </c>
      <c r="AB209" s="65"/>
      <c r="AC209" s="68">
        <f>SUMIF(险种!E:E,E:E,险种!AA:AA)</f>
        <v>0</v>
      </c>
      <c r="AD209" s="68">
        <f>SUMIFS(险种!AA:AA,险种!U:U,"有效",险种!E:E,E:E)</f>
        <v>0</v>
      </c>
      <c r="AE209" s="68" t="str">
        <f>A209&amp;D209&amp;G209&amp;"目前获得"&amp;$AC$1&amp;AC:AC&amp;"名，获得"&amp;$AD$1&amp;AD:AD&amp;"名"</f>
        <v>凤台蔡影伙伴目前获得龙虾节预收名额0名，获得龙虾节承保名额0名</v>
      </c>
      <c r="AF209" s="68">
        <f>SUMIF(认购返还案!D:D,E:E,认购返还案!E:E)</f>
        <v>0</v>
      </c>
      <c r="AG209" s="68">
        <f>_xlfn.IFS(AND(U:U&gt;=3000,U:U&lt;5000),AF:AF*0.5,U:U&gt;=5000,AF:AF*1,U:U&lt;3000,0)</f>
        <v>0</v>
      </c>
      <c r="AH209" s="68">
        <f>_xlfn.IFS(AND(V:V&gt;=3000,V:V&lt;5000),AF:AF*0.5,V:V&gt;=5000,AF:AF*1,V:V&lt;3000,0)</f>
        <v>0</v>
      </c>
      <c r="AI209" s="68" t="str">
        <f>A:A&amp;D:D&amp;G:G&amp;$AF$1&amp;AF:AF&amp;"元，目前预收价值"&amp;U:U&amp;"，"&amp;$AG$1&amp;AG:AG&amp;"元，"&amp;$AH$1&amp;AH:AH&amp;"元"</f>
        <v>凤台蔡影伙伴冲锋队缴费金额0元，目前预收价值0，预收拟返还0元，承保拟返还0元</v>
      </c>
      <c r="AJ209" s="68">
        <f>SUMIF(保单!R:R,E:E,保单!BE:BE)*IF(AF:AF&gt;1,1,0)</f>
        <v>0</v>
      </c>
      <c r="AK209" s="68">
        <f>SUMIFS(保单!BE:BE,保单!R:R,E:E,保单!BB:BB,"有效")*IF(AF:AF&gt;1,1,0)</f>
        <v>0</v>
      </c>
      <c r="AL209" s="72" t="str">
        <f>A:A&amp;D:D&amp;G:G&amp;"只要在1-10日承保全部保单，即可获得"&amp;$AJ$1&amp;AJ:AJ&amp;"个"</f>
        <v>凤台蔡影伙伴只要在1-10日承保全部保单，即可获得冲锋队按摩仪0个</v>
      </c>
    </row>
    <row r="210" spans="1:38">
      <c r="A210" s="64" t="s">
        <v>42</v>
      </c>
      <c r="B210" s="64" t="s">
        <v>66</v>
      </c>
      <c r="C210" s="64" t="s">
        <v>343</v>
      </c>
      <c r="D210" s="64" t="s">
        <v>447</v>
      </c>
      <c r="E210" s="64">
        <v>6069307232</v>
      </c>
      <c r="F210" s="64" t="s">
        <v>174</v>
      </c>
      <c r="G210" s="64" t="str">
        <f>IF(OR(F:F="高级经理一级",F:F="业务经理一级"),"主管","伙伴")</f>
        <v>伙伴</v>
      </c>
      <c r="H210" s="65">
        <f>SUMIF(险种!E:E,E:E,险种!R:R)-SUMIFS(险种!R:R,险种!U:U,"终止",险种!E:E,E:E)</f>
        <v>0</v>
      </c>
      <c r="I210" s="65">
        <f>SUMIFS(险种!R:R,险种!U:U,"有效",险种!E:E,E:E)</f>
        <v>0</v>
      </c>
      <c r="J210" s="65">
        <f>ROUND(SUMIF(险种!E:E,E:E,险种!Q:Q)-SUMIFS(险种!Q:Q,险种!U:U,"终止",险种!E:E,E:E),1)</f>
        <v>0</v>
      </c>
      <c r="K210" s="68">
        <f>RANK(J210,J:J)</f>
        <v>22</v>
      </c>
      <c r="L210" s="65">
        <f>ROUND(SUMIFS(险种!Q:Q,险种!U:U,"有效",险种!E:E,E:E),1)</f>
        <v>0</v>
      </c>
      <c r="M210" s="68">
        <f>RANK(L210,L:L,)</f>
        <v>14</v>
      </c>
      <c r="N210" s="68">
        <f>SUMIF(险种!E:E,E:E,险种!W:W)</f>
        <v>0</v>
      </c>
      <c r="O210" s="68">
        <f>IF(N:N&gt;=1,1,0)</f>
        <v>0</v>
      </c>
      <c r="P210" s="65">
        <f>ROUND(SUMIFS(险种!Q:Q,险种!V:V,$P$1,险种!E:E,E:E),1)</f>
        <v>0</v>
      </c>
      <c r="Q210" s="68">
        <f>RANK(P210,$P:$P,0)-1</f>
        <v>5</v>
      </c>
      <c r="R210" s="68" t="str">
        <f>A:A&amp;D:D&amp;G:G&amp;"在"&amp;$P$1&amp;"预收"&amp;P:P&amp;"排名中支第"&amp;Q:Q&amp;"位"</f>
        <v>淮南本部陆梅伙伴在20210509预收0排名中支第5位</v>
      </c>
      <c r="S210" s="65">
        <f>ROUND(SUMIFS(险种!Q:Q,险种!E:E,E:E,险种!V:V,"&lt;=20210506")-SUMIFS(险种!Q:Q,险种!U:U,"终止",险种!E:E,E:E,险种!V:V,"&lt;=20210506"),1)</f>
        <v>0</v>
      </c>
      <c r="T210" s="65">
        <f>ROUND(SUMIFS(险种!Q:Q,险种!U:U,"有效",险种!E:E,E:E,险种!V:V,"&lt;=20210506"),1)</f>
        <v>0</v>
      </c>
      <c r="U210" s="65">
        <f>ROUND(SUMIFS(险种!Q:Q,险种!E:E,E:E,险种!V:V,"&lt;=20210510")-SUMIFS(险种!Q:Q,险种!U:U,"终止",险种!E:E,E:E,险种!V:V,"&lt;=20210510"),1)</f>
        <v>0</v>
      </c>
      <c r="V210" s="65">
        <f>ROUND(SUMIFS(险种!Q:Q,险种!U:U,"有效",险种!E:E,E:E,险种!V:V,"&lt;=20210510"),1)</f>
        <v>0</v>
      </c>
      <c r="W210" s="65">
        <f t="shared" si="3"/>
        <v>0</v>
      </c>
      <c r="X210" s="68">
        <f>SUMIF(险种!E:E,E:E,险种!Y:Y)</f>
        <v>0</v>
      </c>
      <c r="Y210" s="65">
        <f>MAX(_xlfn.IFS(OR(X:X=1,X:X=2),J:J*0.1,X:X&gt;=3,J:J*0.2,X:X=0,0),IF(J:J&gt;=20000,J:J*0.2,0))</f>
        <v>0</v>
      </c>
      <c r="Z210" s="65" t="str">
        <f>A210&amp;D210&amp;G210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淮南本部陆梅伙伴5.1-5.10预收价值保费0，首周预收3000P件数0件，预收拟加佣0元。温馨提示，保单需10日（含）前承保，目前还有0价值保费未承保,开单一件即可获得10%加佣</v>
      </c>
      <c r="AA210" s="68">
        <f>SUMIF(险种!E:E,E:E,险种!Z:Z)</f>
        <v>0</v>
      </c>
      <c r="AB210" s="65"/>
      <c r="AC210" s="68">
        <f>SUMIF(险种!E:E,E:E,险种!AA:AA)</f>
        <v>0</v>
      </c>
      <c r="AD210" s="68">
        <f>SUMIFS(险种!AA:AA,险种!U:U,"有效",险种!E:E,E:E)</f>
        <v>0</v>
      </c>
      <c r="AE210" s="68" t="str">
        <f>A210&amp;D210&amp;G210&amp;"目前获得"&amp;$AC$1&amp;AC:AC&amp;"名，获得"&amp;$AD$1&amp;AD:AD&amp;"名"</f>
        <v>淮南本部陆梅伙伴目前获得龙虾节预收名额0名，获得龙虾节承保名额0名</v>
      </c>
      <c r="AF210" s="68">
        <f>SUMIF(认购返还案!D:D,E:E,认购返还案!E:E)</f>
        <v>0</v>
      </c>
      <c r="AG210" s="68">
        <f>_xlfn.IFS(AND(U:U&gt;=3000,U:U&lt;5000),AF:AF*0.5,U:U&gt;=5000,AF:AF*1,U:U&lt;3000,0)</f>
        <v>0</v>
      </c>
      <c r="AH210" s="68">
        <f>_xlfn.IFS(AND(V:V&gt;=3000,V:V&lt;5000),AF:AF*0.5,V:V&gt;=5000,AF:AF*1,V:V&lt;3000,0)</f>
        <v>0</v>
      </c>
      <c r="AI210" s="68" t="str">
        <f>A:A&amp;D:D&amp;G:G&amp;$AF$1&amp;AF:AF&amp;"元，目前预收价值"&amp;U:U&amp;"，"&amp;$AG$1&amp;AG:AG&amp;"元，"&amp;$AH$1&amp;AH:AH&amp;"元"</f>
        <v>淮南本部陆梅伙伴冲锋队缴费金额0元，目前预收价值0，预收拟返还0元，承保拟返还0元</v>
      </c>
      <c r="AJ210" s="68">
        <f>SUMIF(保单!R:R,E:E,保单!BE:BE)*IF(AF:AF&gt;1,1,0)</f>
        <v>0</v>
      </c>
      <c r="AK210" s="68">
        <f>SUMIFS(保单!BE:BE,保单!R:R,E:E,保单!BB:BB,"有效")*IF(AF:AF&gt;1,1,0)</f>
        <v>0</v>
      </c>
      <c r="AL210" s="72" t="str">
        <f>A:A&amp;D:D&amp;G:G&amp;"只要在1-10日承保全部保单，即可获得"&amp;$AJ$1&amp;AJ:AJ&amp;"个"</f>
        <v>淮南本部陆梅伙伴只要在1-10日承保全部保单，即可获得冲锋队按摩仪0个</v>
      </c>
    </row>
    <row r="211" spans="1:38">
      <c r="A211" s="64" t="s">
        <v>27</v>
      </c>
      <c r="B211" s="64" t="s">
        <v>28</v>
      </c>
      <c r="C211" s="64" t="s">
        <v>224</v>
      </c>
      <c r="D211" s="64" t="s">
        <v>448</v>
      </c>
      <c r="E211" s="64">
        <v>6025042622</v>
      </c>
      <c r="F211" s="64" t="s">
        <v>174</v>
      </c>
      <c r="G211" s="64" t="str">
        <f>IF(OR(F:F="高级经理一级",F:F="业务经理一级"),"主管","伙伴")</f>
        <v>伙伴</v>
      </c>
      <c r="H211" s="65">
        <f>SUMIF(险种!E:E,E:E,险种!R:R)-SUMIFS(险种!R:R,险种!U:U,"终止",险种!E:E,E:E)</f>
        <v>0</v>
      </c>
      <c r="I211" s="65">
        <f>SUMIFS(险种!R:R,险种!U:U,"有效",险种!E:E,E:E)</f>
        <v>0</v>
      </c>
      <c r="J211" s="65">
        <f>ROUND(SUMIF(险种!E:E,E:E,险种!Q:Q)-SUMIFS(险种!Q:Q,险种!U:U,"终止",险种!E:E,E:E),1)</f>
        <v>0</v>
      </c>
      <c r="K211" s="68">
        <f>RANK(J211,J:J)</f>
        <v>22</v>
      </c>
      <c r="L211" s="65">
        <f>ROUND(SUMIFS(险种!Q:Q,险种!U:U,"有效",险种!E:E,E:E),1)</f>
        <v>0</v>
      </c>
      <c r="M211" s="68">
        <f>RANK(L211,L:L,)</f>
        <v>14</v>
      </c>
      <c r="N211" s="68">
        <f>SUMIF(险种!E:E,E:E,险种!W:W)</f>
        <v>0</v>
      </c>
      <c r="O211" s="68">
        <f>IF(N:N&gt;=1,1,0)</f>
        <v>0</v>
      </c>
      <c r="P211" s="65">
        <f>ROUND(SUMIFS(险种!Q:Q,险种!V:V,$P$1,险种!E:E,E:E),1)</f>
        <v>0</v>
      </c>
      <c r="Q211" s="68">
        <f>RANK(P211,$P:$P,0)-1</f>
        <v>5</v>
      </c>
      <c r="R211" s="68" t="str">
        <f>A:A&amp;D:D&amp;G:G&amp;"在"&amp;$P$1&amp;"预收"&amp;P:P&amp;"排名中支第"&amp;Q:Q&amp;"位"</f>
        <v>凤台李青青伙伴在20210509预收0排名中支第5位</v>
      </c>
      <c r="S211" s="65">
        <f>ROUND(SUMIFS(险种!Q:Q,险种!E:E,E:E,险种!V:V,"&lt;=20210506")-SUMIFS(险种!Q:Q,险种!U:U,"终止",险种!E:E,E:E,险种!V:V,"&lt;=20210506"),1)</f>
        <v>0</v>
      </c>
      <c r="T211" s="65">
        <f>ROUND(SUMIFS(险种!Q:Q,险种!U:U,"有效",险种!E:E,E:E,险种!V:V,"&lt;=20210506"),1)</f>
        <v>0</v>
      </c>
      <c r="U211" s="65">
        <f>ROUND(SUMIFS(险种!Q:Q,险种!E:E,E:E,险种!V:V,"&lt;=20210510")-SUMIFS(险种!Q:Q,险种!U:U,"终止",险种!E:E,E:E,险种!V:V,"&lt;=20210510"),1)</f>
        <v>0</v>
      </c>
      <c r="V211" s="65">
        <f>ROUND(SUMIFS(险种!Q:Q,险种!U:U,"有效",险种!E:E,E:E,险种!V:V,"&lt;=20210510"),1)</f>
        <v>0</v>
      </c>
      <c r="W211" s="65">
        <f t="shared" si="3"/>
        <v>0</v>
      </c>
      <c r="X211" s="68">
        <f>SUMIF(险种!E:E,E:E,险种!Y:Y)</f>
        <v>0</v>
      </c>
      <c r="Y211" s="65">
        <f>MAX(_xlfn.IFS(OR(X:X=1,X:X=2),J:J*0.1,X:X&gt;=3,J:J*0.2,X:X=0,0),IF(J:J&gt;=20000,J:J*0.2,0))</f>
        <v>0</v>
      </c>
      <c r="Z211" s="65" t="str">
        <f>A211&amp;D211&amp;G211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凤台李青青伙伴5.1-5.10预收价值保费0，首周预收3000P件数0件，预收拟加佣0元。温馨提示，保单需10日（含）前承保，目前还有0价值保费未承保,开单一件即可获得10%加佣</v>
      </c>
      <c r="AA211" s="68">
        <f>SUMIF(险种!E:E,E:E,险种!Z:Z)</f>
        <v>0</v>
      </c>
      <c r="AB211" s="65"/>
      <c r="AC211" s="68">
        <f>SUMIF(险种!E:E,E:E,险种!AA:AA)</f>
        <v>0</v>
      </c>
      <c r="AD211" s="68">
        <f>SUMIFS(险种!AA:AA,险种!U:U,"有效",险种!E:E,E:E)</f>
        <v>0</v>
      </c>
      <c r="AE211" s="68" t="str">
        <f>A211&amp;D211&amp;G211&amp;"目前获得"&amp;$AC$1&amp;AC:AC&amp;"名，获得"&amp;$AD$1&amp;AD:AD&amp;"名"</f>
        <v>凤台李青青伙伴目前获得龙虾节预收名额0名，获得龙虾节承保名额0名</v>
      </c>
      <c r="AF211" s="68">
        <f>SUMIF(认购返还案!D:D,E:E,认购返还案!E:E)</f>
        <v>0</v>
      </c>
      <c r="AG211" s="68">
        <f>_xlfn.IFS(AND(U:U&gt;=3000,U:U&lt;5000),AF:AF*0.5,U:U&gt;=5000,AF:AF*1,U:U&lt;3000,0)</f>
        <v>0</v>
      </c>
      <c r="AH211" s="68">
        <f>_xlfn.IFS(AND(V:V&gt;=3000,V:V&lt;5000),AF:AF*0.5,V:V&gt;=5000,AF:AF*1,V:V&lt;3000,0)</f>
        <v>0</v>
      </c>
      <c r="AI211" s="68" t="str">
        <f>A:A&amp;D:D&amp;G:G&amp;$AF$1&amp;AF:AF&amp;"元，目前预收价值"&amp;U:U&amp;"，"&amp;$AG$1&amp;AG:AG&amp;"元，"&amp;$AH$1&amp;AH:AH&amp;"元"</f>
        <v>凤台李青青伙伴冲锋队缴费金额0元，目前预收价值0，预收拟返还0元，承保拟返还0元</v>
      </c>
      <c r="AJ211" s="68">
        <f>SUMIF(保单!R:R,E:E,保单!BE:BE)*IF(AF:AF&gt;1,1,0)</f>
        <v>0</v>
      </c>
      <c r="AK211" s="68">
        <f>SUMIFS(保单!BE:BE,保单!R:R,E:E,保单!BB:BB,"有效")*IF(AF:AF&gt;1,1,0)</f>
        <v>0</v>
      </c>
      <c r="AL211" s="72" t="str">
        <f>A:A&amp;D:D&amp;G:G&amp;"只要在1-10日承保全部保单，即可获得"&amp;$AJ$1&amp;AJ:AJ&amp;"个"</f>
        <v>凤台李青青伙伴只要在1-10日承保全部保单，即可获得冲锋队按摩仪0个</v>
      </c>
    </row>
    <row r="212" spans="1:38">
      <c r="A212" s="64" t="s">
        <v>27</v>
      </c>
      <c r="B212" s="64" t="s">
        <v>28</v>
      </c>
      <c r="C212" s="64" t="s">
        <v>224</v>
      </c>
      <c r="D212" s="64" t="s">
        <v>225</v>
      </c>
      <c r="E212" s="64">
        <v>6025005442</v>
      </c>
      <c r="F212" s="64" t="s">
        <v>165</v>
      </c>
      <c r="G212" s="64" t="str">
        <f>IF(OR(F:F="高级经理一级",F:F="业务经理一级"),"主管","伙伴")</f>
        <v>主管</v>
      </c>
      <c r="H212" s="65">
        <f>SUMIF(险种!E:E,E:E,险种!R:R)-SUMIFS(险种!R:R,险种!U:U,"终止",险种!E:E,E:E)</f>
        <v>0</v>
      </c>
      <c r="I212" s="65">
        <f>SUMIFS(险种!R:R,险种!U:U,"有效",险种!E:E,E:E)</f>
        <v>0</v>
      </c>
      <c r="J212" s="65">
        <f>ROUND(SUMIF(险种!E:E,E:E,险种!Q:Q)-SUMIFS(险种!Q:Q,险种!U:U,"终止",险种!E:E,E:E),1)</f>
        <v>0</v>
      </c>
      <c r="K212" s="68">
        <f>RANK(J212,J:J)</f>
        <v>22</v>
      </c>
      <c r="L212" s="65">
        <f>ROUND(SUMIFS(险种!Q:Q,险种!U:U,"有效",险种!E:E,E:E),1)</f>
        <v>0</v>
      </c>
      <c r="M212" s="68">
        <f>RANK(L212,L:L,)</f>
        <v>14</v>
      </c>
      <c r="N212" s="68">
        <f>SUMIF(险种!E:E,E:E,险种!W:W)</f>
        <v>0</v>
      </c>
      <c r="O212" s="68">
        <f>IF(N:N&gt;=1,1,0)</f>
        <v>0</v>
      </c>
      <c r="P212" s="65">
        <f>ROUND(SUMIFS(险种!Q:Q,险种!V:V,$P$1,险种!E:E,E:E),1)</f>
        <v>0</v>
      </c>
      <c r="Q212" s="68">
        <f>RANK(P212,$P:$P,0)-1</f>
        <v>5</v>
      </c>
      <c r="R212" s="68" t="str">
        <f>A:A&amp;D:D&amp;G:G&amp;"在"&amp;$P$1&amp;"预收"&amp;P:P&amp;"排名中支第"&amp;Q:Q&amp;"位"</f>
        <v>凤台陈娟主管在20210509预收0排名中支第5位</v>
      </c>
      <c r="S212" s="65">
        <f>ROUND(SUMIFS(险种!Q:Q,险种!E:E,E:E,险种!V:V,"&lt;=20210506")-SUMIFS(险种!Q:Q,险种!U:U,"终止",险种!E:E,E:E,险种!V:V,"&lt;=20210506"),1)</f>
        <v>0</v>
      </c>
      <c r="T212" s="65">
        <f>ROUND(SUMIFS(险种!Q:Q,险种!U:U,"有效",险种!E:E,E:E,险种!V:V,"&lt;=20210506"),1)</f>
        <v>0</v>
      </c>
      <c r="U212" s="65">
        <f>ROUND(SUMIFS(险种!Q:Q,险种!E:E,E:E,险种!V:V,"&lt;=20210510")-SUMIFS(险种!Q:Q,险种!U:U,"终止",险种!E:E,E:E,险种!V:V,"&lt;=20210510"),1)</f>
        <v>0</v>
      </c>
      <c r="V212" s="65">
        <f>ROUND(SUMIFS(险种!Q:Q,险种!U:U,"有效",险种!E:E,E:E,险种!V:V,"&lt;=20210510"),1)</f>
        <v>0</v>
      </c>
      <c r="W212" s="65">
        <f t="shared" si="3"/>
        <v>0</v>
      </c>
      <c r="X212" s="68">
        <f>SUMIF(险种!E:E,E:E,险种!Y:Y)</f>
        <v>0</v>
      </c>
      <c r="Y212" s="65">
        <f>MAX(_xlfn.IFS(OR(X:X=1,X:X=2),J:J*0.1,X:X&gt;=3,J:J*0.2,X:X=0,0),IF(J:J&gt;=20000,J:J*0.2,0))</f>
        <v>0</v>
      </c>
      <c r="Z212" s="65" t="str">
        <f>A212&amp;D212&amp;G212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凤台陈娟主管5.1-5.10预收价值保费0，首周预收3000P件数0件，预收拟加佣0元。温馨提示，保单需10日（含）前承保，目前还有0价值保费未承保,开单一件即可获得10%加佣</v>
      </c>
      <c r="AA212" s="68">
        <f>SUMIF(险种!E:E,E:E,险种!Z:Z)</f>
        <v>0</v>
      </c>
      <c r="AB212" s="65"/>
      <c r="AC212" s="68">
        <f>SUMIF(险种!E:E,E:E,险种!AA:AA)</f>
        <v>0</v>
      </c>
      <c r="AD212" s="68">
        <f>SUMIFS(险种!AA:AA,险种!U:U,"有效",险种!E:E,E:E)</f>
        <v>0</v>
      </c>
      <c r="AE212" s="68" t="str">
        <f>A212&amp;D212&amp;G212&amp;"目前获得"&amp;$AC$1&amp;AC:AC&amp;"名，获得"&amp;$AD$1&amp;AD:AD&amp;"名"</f>
        <v>凤台陈娟主管目前获得龙虾节预收名额0名，获得龙虾节承保名额0名</v>
      </c>
      <c r="AF212" s="68">
        <f>SUMIF(认购返还案!D:D,E:E,认购返还案!E:E)</f>
        <v>200</v>
      </c>
      <c r="AG212" s="68">
        <f>_xlfn.IFS(AND(U:U&gt;=3000,U:U&lt;5000),AF:AF*0.5,U:U&gt;=5000,AF:AF*1,U:U&lt;3000,0)</f>
        <v>0</v>
      </c>
      <c r="AH212" s="68">
        <f>_xlfn.IFS(AND(V:V&gt;=3000,V:V&lt;5000),AF:AF*0.5,V:V&gt;=5000,AF:AF*1,V:V&lt;3000,0)</f>
        <v>0</v>
      </c>
      <c r="AI212" s="68" t="str">
        <f>A:A&amp;D:D&amp;G:G&amp;$AF$1&amp;AF:AF&amp;"元，目前预收价值"&amp;U:U&amp;"，"&amp;$AG$1&amp;AG:AG&amp;"元，"&amp;$AH$1&amp;AH:AH&amp;"元"</f>
        <v>凤台陈娟主管冲锋队缴费金额200元，目前预收价值0，预收拟返还0元，承保拟返还0元</v>
      </c>
      <c r="AJ212" s="68">
        <f>SUMIF(保单!R:R,E:E,保单!BE:BE)*IF(AF:AF&gt;1,1,0)</f>
        <v>0</v>
      </c>
      <c r="AK212" s="68">
        <f>SUMIFS(保单!BE:BE,保单!R:R,E:E,保单!BB:BB,"有效")*IF(AF:AF&gt;1,1,0)</f>
        <v>0</v>
      </c>
      <c r="AL212" s="72" t="str">
        <f>A:A&amp;D:D&amp;G:G&amp;"只要在1-10日承保全部保单，即可获得"&amp;$AJ$1&amp;AJ:AJ&amp;"个"</f>
        <v>凤台陈娟主管只要在1-10日承保全部保单，即可获得冲锋队按摩仪0个</v>
      </c>
    </row>
    <row r="213" spans="1:38">
      <c r="A213" s="64" t="s">
        <v>27</v>
      </c>
      <c r="B213" s="64" t="s">
        <v>28</v>
      </c>
      <c r="C213" s="64" t="s">
        <v>29</v>
      </c>
      <c r="D213" s="64" t="s">
        <v>449</v>
      </c>
      <c r="E213" s="64">
        <v>5965270682</v>
      </c>
      <c r="F213" s="64" t="s">
        <v>174</v>
      </c>
      <c r="G213" s="64" t="str">
        <f>IF(OR(F:F="高级经理一级",F:F="业务经理一级"),"主管","伙伴")</f>
        <v>伙伴</v>
      </c>
      <c r="H213" s="65">
        <f>SUMIF(险种!E:E,E:E,险种!R:R)-SUMIFS(险种!R:R,险种!U:U,"终止",险种!E:E,E:E)</f>
        <v>0</v>
      </c>
      <c r="I213" s="65">
        <f>SUMIFS(险种!R:R,险种!U:U,"有效",险种!E:E,E:E)</f>
        <v>0</v>
      </c>
      <c r="J213" s="65">
        <f>ROUND(SUMIF(险种!E:E,E:E,险种!Q:Q)-SUMIFS(险种!Q:Q,险种!U:U,"终止",险种!E:E,E:E),1)</f>
        <v>0</v>
      </c>
      <c r="K213" s="68">
        <f>RANK(J213,J:J)</f>
        <v>22</v>
      </c>
      <c r="L213" s="65">
        <f>ROUND(SUMIFS(险种!Q:Q,险种!U:U,"有效",险种!E:E,E:E),1)</f>
        <v>0</v>
      </c>
      <c r="M213" s="68">
        <f>RANK(L213,L:L,)</f>
        <v>14</v>
      </c>
      <c r="N213" s="68">
        <f>SUMIF(险种!E:E,E:E,险种!W:W)</f>
        <v>0</v>
      </c>
      <c r="O213" s="68">
        <f>IF(N:N&gt;=1,1,0)</f>
        <v>0</v>
      </c>
      <c r="P213" s="65">
        <f>ROUND(SUMIFS(险种!Q:Q,险种!V:V,$P$1,险种!E:E,E:E),1)</f>
        <v>0</v>
      </c>
      <c r="Q213" s="68">
        <f>RANK(P213,$P:$P,0)-1</f>
        <v>5</v>
      </c>
      <c r="R213" s="68" t="str">
        <f>A:A&amp;D:D&amp;G:G&amp;"在"&amp;$P$1&amp;"预收"&amp;P:P&amp;"排名中支第"&amp;Q:Q&amp;"位"</f>
        <v>凤台聂晓梅伙伴在20210509预收0排名中支第5位</v>
      </c>
      <c r="S213" s="65">
        <f>ROUND(SUMIFS(险种!Q:Q,险种!E:E,E:E,险种!V:V,"&lt;=20210506")-SUMIFS(险种!Q:Q,险种!U:U,"终止",险种!E:E,E:E,险种!V:V,"&lt;=20210506"),1)</f>
        <v>0</v>
      </c>
      <c r="T213" s="65">
        <f>ROUND(SUMIFS(险种!Q:Q,险种!U:U,"有效",险种!E:E,E:E,险种!V:V,"&lt;=20210506"),1)</f>
        <v>0</v>
      </c>
      <c r="U213" s="65">
        <f>ROUND(SUMIFS(险种!Q:Q,险种!E:E,E:E,险种!V:V,"&lt;=20210510")-SUMIFS(险种!Q:Q,险种!U:U,"终止",险种!E:E,E:E,险种!V:V,"&lt;=20210510"),1)</f>
        <v>0</v>
      </c>
      <c r="V213" s="65">
        <f>ROUND(SUMIFS(险种!Q:Q,险种!U:U,"有效",险种!E:E,E:E,险种!V:V,"&lt;=20210510"),1)</f>
        <v>0</v>
      </c>
      <c r="W213" s="65">
        <f t="shared" si="3"/>
        <v>0</v>
      </c>
      <c r="X213" s="68">
        <f>SUMIF(险种!E:E,E:E,险种!Y:Y)</f>
        <v>0</v>
      </c>
      <c r="Y213" s="65">
        <f>MAX(_xlfn.IFS(OR(X:X=1,X:X=2),J:J*0.1,X:X&gt;=3,J:J*0.2,X:X=0,0),IF(J:J&gt;=20000,J:J*0.2,0))</f>
        <v>0</v>
      </c>
      <c r="Z213" s="65" t="str">
        <f>A213&amp;D213&amp;G213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凤台聂晓梅伙伴5.1-5.10预收价值保费0，首周预收3000P件数0件，预收拟加佣0元。温馨提示，保单需10日（含）前承保，目前还有0价值保费未承保,开单一件即可获得10%加佣</v>
      </c>
      <c r="AA213" s="68">
        <f>SUMIF(险种!E:E,E:E,险种!Z:Z)</f>
        <v>0</v>
      </c>
      <c r="AB213" s="65"/>
      <c r="AC213" s="68">
        <f>SUMIF(险种!E:E,E:E,险种!AA:AA)</f>
        <v>0</v>
      </c>
      <c r="AD213" s="68">
        <f>SUMIFS(险种!AA:AA,险种!U:U,"有效",险种!E:E,E:E)</f>
        <v>0</v>
      </c>
      <c r="AE213" s="68" t="str">
        <f>A213&amp;D213&amp;G213&amp;"目前获得"&amp;$AC$1&amp;AC:AC&amp;"名，获得"&amp;$AD$1&amp;AD:AD&amp;"名"</f>
        <v>凤台聂晓梅伙伴目前获得龙虾节预收名额0名，获得龙虾节承保名额0名</v>
      </c>
      <c r="AF213" s="68">
        <f>SUMIF(认购返还案!D:D,E:E,认购返还案!E:E)</f>
        <v>0</v>
      </c>
      <c r="AG213" s="68">
        <f>_xlfn.IFS(AND(U:U&gt;=3000,U:U&lt;5000),AF:AF*0.5,U:U&gt;=5000,AF:AF*1,U:U&lt;3000,0)</f>
        <v>0</v>
      </c>
      <c r="AH213" s="68">
        <f>_xlfn.IFS(AND(V:V&gt;=3000,V:V&lt;5000),AF:AF*0.5,V:V&gt;=5000,AF:AF*1,V:V&lt;3000,0)</f>
        <v>0</v>
      </c>
      <c r="AI213" s="68" t="str">
        <f>A:A&amp;D:D&amp;G:G&amp;$AF$1&amp;AF:AF&amp;"元，目前预收价值"&amp;U:U&amp;"，"&amp;$AG$1&amp;AG:AG&amp;"元，"&amp;$AH$1&amp;AH:AH&amp;"元"</f>
        <v>凤台聂晓梅伙伴冲锋队缴费金额0元，目前预收价值0，预收拟返还0元，承保拟返还0元</v>
      </c>
      <c r="AJ213" s="68">
        <f>SUMIF(保单!R:R,E:E,保单!BE:BE)*IF(AF:AF&gt;1,1,0)</f>
        <v>0</v>
      </c>
      <c r="AK213" s="68">
        <f>SUMIFS(保单!BE:BE,保单!R:R,E:E,保单!BB:BB,"有效")*IF(AF:AF&gt;1,1,0)</f>
        <v>0</v>
      </c>
      <c r="AL213" s="72" t="str">
        <f>A:A&amp;D:D&amp;G:G&amp;"只要在1-10日承保全部保单，即可获得"&amp;$AJ$1&amp;AJ:AJ&amp;"个"</f>
        <v>凤台聂晓梅伙伴只要在1-10日承保全部保单，即可获得冲锋队按摩仪0个</v>
      </c>
    </row>
    <row r="214" spans="1:38">
      <c r="A214" s="64" t="s">
        <v>42</v>
      </c>
      <c r="B214" s="64" t="s">
        <v>62</v>
      </c>
      <c r="C214" s="64" t="s">
        <v>86</v>
      </c>
      <c r="D214" s="64" t="s">
        <v>450</v>
      </c>
      <c r="E214" s="64">
        <v>5883198712</v>
      </c>
      <c r="F214" s="64" t="s">
        <v>174</v>
      </c>
      <c r="G214" s="64" t="str">
        <f>IF(OR(F:F="高级经理一级",F:F="业务经理一级"),"主管","伙伴")</f>
        <v>伙伴</v>
      </c>
      <c r="H214" s="65">
        <f>SUMIF(险种!E:E,E:E,险种!R:R)-SUMIFS(险种!R:R,险种!U:U,"终止",险种!E:E,E:E)</f>
        <v>0</v>
      </c>
      <c r="I214" s="65">
        <f>SUMIFS(险种!R:R,险种!U:U,"有效",险种!E:E,E:E)</f>
        <v>0</v>
      </c>
      <c r="J214" s="65">
        <f>ROUND(SUMIF(险种!E:E,E:E,险种!Q:Q)-SUMIFS(险种!Q:Q,险种!U:U,"终止",险种!E:E,E:E),1)</f>
        <v>0</v>
      </c>
      <c r="K214" s="68">
        <f>RANK(J214,J:J)</f>
        <v>22</v>
      </c>
      <c r="L214" s="65">
        <f>ROUND(SUMIFS(险种!Q:Q,险种!U:U,"有效",险种!E:E,E:E),1)</f>
        <v>0</v>
      </c>
      <c r="M214" s="68">
        <f>RANK(L214,L:L,)</f>
        <v>14</v>
      </c>
      <c r="N214" s="68">
        <f>SUMIF(险种!E:E,E:E,险种!W:W)</f>
        <v>0</v>
      </c>
      <c r="O214" s="68">
        <f>IF(N:N&gt;=1,1,0)</f>
        <v>0</v>
      </c>
      <c r="P214" s="65">
        <f>ROUND(SUMIFS(险种!Q:Q,险种!V:V,$P$1,险种!E:E,E:E),1)</f>
        <v>0</v>
      </c>
      <c r="Q214" s="68">
        <f>RANK(P214,$P:$P,0)-1</f>
        <v>5</v>
      </c>
      <c r="R214" s="68" t="str">
        <f>A:A&amp;D:D&amp;G:G&amp;"在"&amp;$P$1&amp;"预收"&amp;P:P&amp;"排名中支第"&amp;Q:Q&amp;"位"</f>
        <v>淮南本部王宗波伙伴在20210509预收0排名中支第5位</v>
      </c>
      <c r="S214" s="65">
        <f>ROUND(SUMIFS(险种!Q:Q,险种!E:E,E:E,险种!V:V,"&lt;=20210506")-SUMIFS(险种!Q:Q,险种!U:U,"终止",险种!E:E,E:E,险种!V:V,"&lt;=20210506"),1)</f>
        <v>0</v>
      </c>
      <c r="T214" s="65">
        <f>ROUND(SUMIFS(险种!Q:Q,险种!U:U,"有效",险种!E:E,E:E,险种!V:V,"&lt;=20210506"),1)</f>
        <v>0</v>
      </c>
      <c r="U214" s="65">
        <f>ROUND(SUMIFS(险种!Q:Q,险种!E:E,E:E,险种!V:V,"&lt;=20210510")-SUMIFS(险种!Q:Q,险种!U:U,"终止",险种!E:E,E:E,险种!V:V,"&lt;=20210510"),1)</f>
        <v>0</v>
      </c>
      <c r="V214" s="65">
        <f>ROUND(SUMIFS(险种!Q:Q,险种!U:U,"有效",险种!E:E,E:E,险种!V:V,"&lt;=20210510"),1)</f>
        <v>0</v>
      </c>
      <c r="W214" s="65">
        <f t="shared" si="3"/>
        <v>0</v>
      </c>
      <c r="X214" s="68">
        <f>SUMIF(险种!E:E,E:E,险种!Y:Y)</f>
        <v>0</v>
      </c>
      <c r="Y214" s="65">
        <f>MAX(_xlfn.IFS(OR(X:X=1,X:X=2),J:J*0.1,X:X&gt;=3,J:J*0.2,X:X=0,0),IF(J:J&gt;=20000,J:J*0.2,0))</f>
        <v>0</v>
      </c>
      <c r="Z214" s="65" t="str">
        <f>A214&amp;D214&amp;G214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淮南本部王宗波伙伴5.1-5.10预收价值保费0，首周预收3000P件数0件，预收拟加佣0元。温馨提示，保单需10日（含）前承保，目前还有0价值保费未承保,开单一件即可获得10%加佣</v>
      </c>
      <c r="AA214" s="68">
        <f>SUMIF(险种!E:E,E:E,险种!Z:Z)</f>
        <v>0</v>
      </c>
      <c r="AB214" s="65"/>
      <c r="AC214" s="68">
        <f>SUMIF(险种!E:E,E:E,险种!AA:AA)</f>
        <v>0</v>
      </c>
      <c r="AD214" s="68">
        <f>SUMIFS(险种!AA:AA,险种!U:U,"有效",险种!E:E,E:E)</f>
        <v>0</v>
      </c>
      <c r="AE214" s="68" t="str">
        <f>A214&amp;D214&amp;G214&amp;"目前获得"&amp;$AC$1&amp;AC:AC&amp;"名，获得"&amp;$AD$1&amp;AD:AD&amp;"名"</f>
        <v>淮南本部王宗波伙伴目前获得龙虾节预收名额0名，获得龙虾节承保名额0名</v>
      </c>
      <c r="AF214" s="68">
        <f>SUMIF(认购返还案!D:D,E:E,认购返还案!E:E)</f>
        <v>0</v>
      </c>
      <c r="AG214" s="68">
        <f>_xlfn.IFS(AND(U:U&gt;=3000,U:U&lt;5000),AF:AF*0.5,U:U&gt;=5000,AF:AF*1,U:U&lt;3000,0)</f>
        <v>0</v>
      </c>
      <c r="AH214" s="68">
        <f>_xlfn.IFS(AND(V:V&gt;=3000,V:V&lt;5000),AF:AF*0.5,V:V&gt;=5000,AF:AF*1,V:V&lt;3000,0)</f>
        <v>0</v>
      </c>
      <c r="AI214" s="68" t="str">
        <f>A:A&amp;D:D&amp;G:G&amp;$AF$1&amp;AF:AF&amp;"元，目前预收价值"&amp;U:U&amp;"，"&amp;$AG$1&amp;AG:AG&amp;"元，"&amp;$AH$1&amp;AH:AH&amp;"元"</f>
        <v>淮南本部王宗波伙伴冲锋队缴费金额0元，目前预收价值0，预收拟返还0元，承保拟返还0元</v>
      </c>
      <c r="AJ214" s="68">
        <f>SUMIF(保单!R:R,E:E,保单!BE:BE)*IF(AF:AF&gt;1,1,0)</f>
        <v>0</v>
      </c>
      <c r="AK214" s="68">
        <f>SUMIFS(保单!BE:BE,保单!R:R,E:E,保单!BB:BB,"有效")*IF(AF:AF&gt;1,1,0)</f>
        <v>0</v>
      </c>
      <c r="AL214" s="72" t="str">
        <f>A:A&amp;D:D&amp;G:G&amp;"只要在1-10日承保全部保单，即可获得"&amp;$AJ$1&amp;AJ:AJ&amp;"个"</f>
        <v>淮南本部王宗波伙伴只要在1-10日承保全部保单，即可获得冲锋队按摩仪0个</v>
      </c>
    </row>
    <row r="215" spans="1:38">
      <c r="A215" s="64" t="s">
        <v>27</v>
      </c>
      <c r="B215" s="64" t="s">
        <v>94</v>
      </c>
      <c r="C215" s="64" t="s">
        <v>95</v>
      </c>
      <c r="D215" s="64" t="s">
        <v>451</v>
      </c>
      <c r="E215" s="64">
        <v>5860938562</v>
      </c>
      <c r="F215" s="64" t="s">
        <v>174</v>
      </c>
      <c r="G215" s="64" t="str">
        <f>IF(OR(F:F="高级经理一级",F:F="业务经理一级"),"主管","伙伴")</f>
        <v>伙伴</v>
      </c>
      <c r="H215" s="65">
        <f>SUMIF(险种!E:E,E:E,险种!R:R)-SUMIFS(险种!R:R,险种!U:U,"终止",险种!E:E,E:E)</f>
        <v>0</v>
      </c>
      <c r="I215" s="65">
        <f>SUMIFS(险种!R:R,险种!U:U,"有效",险种!E:E,E:E)</f>
        <v>0</v>
      </c>
      <c r="J215" s="65">
        <f>ROUND(SUMIF(险种!E:E,E:E,险种!Q:Q)-SUMIFS(险种!Q:Q,险种!U:U,"终止",险种!E:E,E:E),1)</f>
        <v>0</v>
      </c>
      <c r="K215" s="68">
        <f>RANK(J215,J:J)</f>
        <v>22</v>
      </c>
      <c r="L215" s="65">
        <f>ROUND(SUMIFS(险种!Q:Q,险种!U:U,"有效",险种!E:E,E:E),1)</f>
        <v>0</v>
      </c>
      <c r="M215" s="68">
        <f>RANK(L215,L:L,)</f>
        <v>14</v>
      </c>
      <c r="N215" s="68">
        <f>SUMIF(险种!E:E,E:E,险种!W:W)</f>
        <v>0</v>
      </c>
      <c r="O215" s="68">
        <f>IF(N:N&gt;=1,1,0)</f>
        <v>0</v>
      </c>
      <c r="P215" s="65">
        <f>ROUND(SUMIFS(险种!Q:Q,险种!V:V,$P$1,险种!E:E,E:E),1)</f>
        <v>0</v>
      </c>
      <c r="Q215" s="68">
        <f>RANK(P215,$P:$P,0)-1</f>
        <v>5</v>
      </c>
      <c r="R215" s="68" t="str">
        <f>A:A&amp;D:D&amp;G:G&amp;"在"&amp;$P$1&amp;"预收"&amp;P:P&amp;"排名中支第"&amp;Q:Q&amp;"位"</f>
        <v>凤台梁可敏伙伴在20210509预收0排名中支第5位</v>
      </c>
      <c r="S215" s="65">
        <f>ROUND(SUMIFS(险种!Q:Q,险种!E:E,E:E,险种!V:V,"&lt;=20210506")-SUMIFS(险种!Q:Q,险种!U:U,"终止",险种!E:E,E:E,险种!V:V,"&lt;=20210506"),1)</f>
        <v>0</v>
      </c>
      <c r="T215" s="65">
        <f>ROUND(SUMIFS(险种!Q:Q,险种!U:U,"有效",险种!E:E,E:E,险种!V:V,"&lt;=20210506"),1)</f>
        <v>0</v>
      </c>
      <c r="U215" s="65">
        <f>ROUND(SUMIFS(险种!Q:Q,险种!E:E,E:E,险种!V:V,"&lt;=20210510")-SUMIFS(险种!Q:Q,险种!U:U,"终止",险种!E:E,E:E,险种!V:V,"&lt;=20210510"),1)</f>
        <v>0</v>
      </c>
      <c r="V215" s="65">
        <f>ROUND(SUMIFS(险种!Q:Q,险种!U:U,"有效",险种!E:E,E:E,险种!V:V,"&lt;=20210510"),1)</f>
        <v>0</v>
      </c>
      <c r="W215" s="65">
        <f t="shared" si="3"/>
        <v>0</v>
      </c>
      <c r="X215" s="68">
        <f>SUMIF(险种!E:E,E:E,险种!Y:Y)</f>
        <v>0</v>
      </c>
      <c r="Y215" s="65">
        <f>MAX(_xlfn.IFS(OR(X:X=1,X:X=2),J:J*0.1,X:X&gt;=3,J:J*0.2,X:X=0,0),IF(J:J&gt;=20000,J:J*0.2,0))</f>
        <v>0</v>
      </c>
      <c r="Z215" s="65" t="str">
        <f>A215&amp;D215&amp;G215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凤台梁可敏伙伴5.1-5.10预收价值保费0，首周预收3000P件数0件，预收拟加佣0元。温馨提示，保单需10日（含）前承保，目前还有0价值保费未承保,开单一件即可获得10%加佣</v>
      </c>
      <c r="AA215" s="68">
        <f>SUMIF(险种!E:E,E:E,险种!Z:Z)</f>
        <v>0</v>
      </c>
      <c r="AB215" s="65"/>
      <c r="AC215" s="68">
        <f>SUMIF(险种!E:E,E:E,险种!AA:AA)</f>
        <v>0</v>
      </c>
      <c r="AD215" s="68">
        <f>SUMIFS(险种!AA:AA,险种!U:U,"有效",险种!E:E,E:E)</f>
        <v>0</v>
      </c>
      <c r="AE215" s="68" t="str">
        <f>A215&amp;D215&amp;G215&amp;"目前获得"&amp;$AC$1&amp;AC:AC&amp;"名，获得"&amp;$AD$1&amp;AD:AD&amp;"名"</f>
        <v>凤台梁可敏伙伴目前获得龙虾节预收名额0名，获得龙虾节承保名额0名</v>
      </c>
      <c r="AF215" s="68">
        <f>SUMIF(认购返还案!D:D,E:E,认购返还案!E:E)</f>
        <v>0</v>
      </c>
      <c r="AG215" s="68">
        <f>_xlfn.IFS(AND(U:U&gt;=3000,U:U&lt;5000),AF:AF*0.5,U:U&gt;=5000,AF:AF*1,U:U&lt;3000,0)</f>
        <v>0</v>
      </c>
      <c r="AH215" s="68">
        <f>_xlfn.IFS(AND(V:V&gt;=3000,V:V&lt;5000),AF:AF*0.5,V:V&gt;=5000,AF:AF*1,V:V&lt;3000,0)</f>
        <v>0</v>
      </c>
      <c r="AI215" s="68" t="str">
        <f>A:A&amp;D:D&amp;G:G&amp;$AF$1&amp;AF:AF&amp;"元，目前预收价值"&amp;U:U&amp;"，"&amp;$AG$1&amp;AG:AG&amp;"元，"&amp;$AH$1&amp;AH:AH&amp;"元"</f>
        <v>凤台梁可敏伙伴冲锋队缴费金额0元，目前预收价值0，预收拟返还0元，承保拟返还0元</v>
      </c>
      <c r="AJ215" s="68">
        <f>SUMIF(保单!R:R,E:E,保单!BE:BE)*IF(AF:AF&gt;1,1,0)</f>
        <v>0</v>
      </c>
      <c r="AK215" s="68">
        <f>SUMIFS(保单!BE:BE,保单!R:R,E:E,保单!BB:BB,"有效")*IF(AF:AF&gt;1,1,0)</f>
        <v>0</v>
      </c>
      <c r="AL215" s="72" t="str">
        <f>A:A&amp;D:D&amp;G:G&amp;"只要在1-10日承保全部保单，即可获得"&amp;$AJ$1&amp;AJ:AJ&amp;"个"</f>
        <v>凤台梁可敏伙伴只要在1-10日承保全部保单，即可获得冲锋队按摩仪0个</v>
      </c>
    </row>
    <row r="216" spans="1:38">
      <c r="A216" s="64" t="s">
        <v>27</v>
      </c>
      <c r="B216" s="64" t="s">
        <v>37</v>
      </c>
      <c r="C216" s="64" t="s">
        <v>38</v>
      </c>
      <c r="D216" s="64" t="s">
        <v>452</v>
      </c>
      <c r="E216" s="64">
        <v>5860528822</v>
      </c>
      <c r="F216" s="64" t="s">
        <v>174</v>
      </c>
      <c r="G216" s="64" t="str">
        <f>IF(OR(F:F="高级经理一级",F:F="业务经理一级"),"主管","伙伴")</f>
        <v>伙伴</v>
      </c>
      <c r="H216" s="65">
        <f>SUMIF(险种!E:E,E:E,险种!R:R)-SUMIFS(险种!R:R,险种!U:U,"终止",险种!E:E,E:E)</f>
        <v>0</v>
      </c>
      <c r="I216" s="65">
        <f>SUMIFS(险种!R:R,险种!U:U,"有效",险种!E:E,E:E)</f>
        <v>0</v>
      </c>
      <c r="J216" s="65">
        <f>ROUND(SUMIF(险种!E:E,E:E,险种!Q:Q)-SUMIFS(险种!Q:Q,险种!U:U,"终止",险种!E:E,E:E),1)</f>
        <v>0</v>
      </c>
      <c r="K216" s="68">
        <f>RANK(J216,J:J)</f>
        <v>22</v>
      </c>
      <c r="L216" s="65">
        <f>ROUND(SUMIFS(险种!Q:Q,险种!U:U,"有效",险种!E:E,E:E),1)</f>
        <v>0</v>
      </c>
      <c r="M216" s="68">
        <f>RANK(L216,L:L,)</f>
        <v>14</v>
      </c>
      <c r="N216" s="68">
        <f>SUMIF(险种!E:E,E:E,险种!W:W)</f>
        <v>0</v>
      </c>
      <c r="O216" s="68">
        <f>IF(N:N&gt;=1,1,0)</f>
        <v>0</v>
      </c>
      <c r="P216" s="65">
        <f>ROUND(SUMIFS(险种!Q:Q,险种!V:V,$P$1,险种!E:E,E:E),1)</f>
        <v>0</v>
      </c>
      <c r="Q216" s="68">
        <f>RANK(P216,$P:$P,0)-1</f>
        <v>5</v>
      </c>
      <c r="R216" s="68" t="str">
        <f>A:A&amp;D:D&amp;G:G&amp;"在"&amp;$P$1&amp;"预收"&amp;P:P&amp;"排名中支第"&amp;Q:Q&amp;"位"</f>
        <v>凤台仲静静伙伴在20210509预收0排名中支第5位</v>
      </c>
      <c r="S216" s="65">
        <f>ROUND(SUMIFS(险种!Q:Q,险种!E:E,E:E,险种!V:V,"&lt;=20210506")-SUMIFS(险种!Q:Q,险种!U:U,"终止",险种!E:E,E:E,险种!V:V,"&lt;=20210506"),1)</f>
        <v>0</v>
      </c>
      <c r="T216" s="65">
        <f>ROUND(SUMIFS(险种!Q:Q,险种!U:U,"有效",险种!E:E,E:E,险种!V:V,"&lt;=20210506"),1)</f>
        <v>0</v>
      </c>
      <c r="U216" s="65">
        <f>ROUND(SUMIFS(险种!Q:Q,险种!E:E,E:E,险种!V:V,"&lt;=20210510")-SUMIFS(险种!Q:Q,险种!U:U,"终止",险种!E:E,E:E,险种!V:V,"&lt;=20210510"),1)</f>
        <v>0</v>
      </c>
      <c r="V216" s="65">
        <f>ROUND(SUMIFS(险种!Q:Q,险种!U:U,"有效",险种!E:E,E:E,险种!V:V,"&lt;=20210510"),1)</f>
        <v>0</v>
      </c>
      <c r="W216" s="65">
        <f t="shared" si="3"/>
        <v>0</v>
      </c>
      <c r="X216" s="68">
        <f>SUMIF(险种!E:E,E:E,险种!Y:Y)</f>
        <v>0</v>
      </c>
      <c r="Y216" s="65">
        <f>MAX(_xlfn.IFS(OR(X:X=1,X:X=2),J:J*0.1,X:X&gt;=3,J:J*0.2,X:X=0,0),IF(J:J&gt;=20000,J:J*0.2,0))</f>
        <v>0</v>
      </c>
      <c r="Z216" s="65" t="str">
        <f>A216&amp;D216&amp;G216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凤台仲静静伙伴5.1-5.10预收价值保费0，首周预收3000P件数0件，预收拟加佣0元。温馨提示，保单需10日（含）前承保，目前还有0价值保费未承保,开单一件即可获得10%加佣</v>
      </c>
      <c r="AA216" s="68">
        <f>SUMIF(险种!E:E,E:E,险种!Z:Z)</f>
        <v>0</v>
      </c>
      <c r="AB216" s="65"/>
      <c r="AC216" s="68">
        <f>SUMIF(险种!E:E,E:E,险种!AA:AA)</f>
        <v>0</v>
      </c>
      <c r="AD216" s="68">
        <f>SUMIFS(险种!AA:AA,险种!U:U,"有效",险种!E:E,E:E)</f>
        <v>0</v>
      </c>
      <c r="AE216" s="68" t="str">
        <f>A216&amp;D216&amp;G216&amp;"目前获得"&amp;$AC$1&amp;AC:AC&amp;"名，获得"&amp;$AD$1&amp;AD:AD&amp;"名"</f>
        <v>凤台仲静静伙伴目前获得龙虾节预收名额0名，获得龙虾节承保名额0名</v>
      </c>
      <c r="AF216" s="68">
        <f>SUMIF(认购返还案!D:D,E:E,认购返还案!E:E)</f>
        <v>0</v>
      </c>
      <c r="AG216" s="68">
        <f>_xlfn.IFS(AND(U:U&gt;=3000,U:U&lt;5000),AF:AF*0.5,U:U&gt;=5000,AF:AF*1,U:U&lt;3000,0)</f>
        <v>0</v>
      </c>
      <c r="AH216" s="68">
        <f>_xlfn.IFS(AND(V:V&gt;=3000,V:V&lt;5000),AF:AF*0.5,V:V&gt;=5000,AF:AF*1,V:V&lt;3000,0)</f>
        <v>0</v>
      </c>
      <c r="AI216" s="68" t="str">
        <f>A:A&amp;D:D&amp;G:G&amp;$AF$1&amp;AF:AF&amp;"元，目前预收价值"&amp;U:U&amp;"，"&amp;$AG$1&amp;AG:AG&amp;"元，"&amp;$AH$1&amp;AH:AH&amp;"元"</f>
        <v>凤台仲静静伙伴冲锋队缴费金额0元，目前预收价值0，预收拟返还0元，承保拟返还0元</v>
      </c>
      <c r="AJ216" s="68">
        <f>SUMIF(保单!R:R,E:E,保单!BE:BE)*IF(AF:AF&gt;1,1,0)</f>
        <v>0</v>
      </c>
      <c r="AK216" s="68">
        <f>SUMIFS(保单!BE:BE,保单!R:R,E:E,保单!BB:BB,"有效")*IF(AF:AF&gt;1,1,0)</f>
        <v>0</v>
      </c>
      <c r="AL216" s="72" t="str">
        <f>A:A&amp;D:D&amp;G:G&amp;"只要在1-10日承保全部保单，即可获得"&amp;$AJ$1&amp;AJ:AJ&amp;"个"</f>
        <v>凤台仲静静伙伴只要在1-10日承保全部保单，即可获得冲锋队按摩仪0个</v>
      </c>
    </row>
    <row r="217" spans="1:38">
      <c r="A217" s="64" t="s">
        <v>27</v>
      </c>
      <c r="B217" s="64" t="s">
        <v>100</v>
      </c>
      <c r="C217" s="64" t="s">
        <v>101</v>
      </c>
      <c r="D217" s="64" t="s">
        <v>453</v>
      </c>
      <c r="E217" s="64">
        <v>5829841442</v>
      </c>
      <c r="F217" s="64" t="s">
        <v>174</v>
      </c>
      <c r="G217" s="64" t="str">
        <f>IF(OR(F:F="高级经理一级",F:F="业务经理一级"),"主管","伙伴")</f>
        <v>伙伴</v>
      </c>
      <c r="H217" s="65">
        <f>SUMIF(险种!E:E,E:E,险种!R:R)-SUMIFS(险种!R:R,险种!U:U,"终止",险种!E:E,E:E)</f>
        <v>0</v>
      </c>
      <c r="I217" s="65">
        <f>SUMIFS(险种!R:R,险种!U:U,"有效",险种!E:E,E:E)</f>
        <v>0</v>
      </c>
      <c r="J217" s="65">
        <f>ROUND(SUMIF(险种!E:E,E:E,险种!Q:Q)-SUMIFS(险种!Q:Q,险种!U:U,"终止",险种!E:E,E:E),1)</f>
        <v>0</v>
      </c>
      <c r="K217" s="68">
        <f>RANK(J217,J:J)</f>
        <v>22</v>
      </c>
      <c r="L217" s="65">
        <f>ROUND(SUMIFS(险种!Q:Q,险种!U:U,"有效",险种!E:E,E:E),1)</f>
        <v>0</v>
      </c>
      <c r="M217" s="68">
        <f>RANK(L217,L:L,)</f>
        <v>14</v>
      </c>
      <c r="N217" s="68">
        <f>SUMIF(险种!E:E,E:E,险种!W:W)</f>
        <v>0</v>
      </c>
      <c r="O217" s="68">
        <f>IF(N:N&gt;=1,1,0)</f>
        <v>0</v>
      </c>
      <c r="P217" s="65">
        <f>ROUND(SUMIFS(险种!Q:Q,险种!V:V,$P$1,险种!E:E,E:E),1)</f>
        <v>0</v>
      </c>
      <c r="Q217" s="68">
        <f>RANK(P217,$P:$P,0)-1</f>
        <v>5</v>
      </c>
      <c r="R217" s="68" t="str">
        <f>A:A&amp;D:D&amp;G:G&amp;"在"&amp;$P$1&amp;"预收"&amp;P:P&amp;"排名中支第"&amp;Q:Q&amp;"位"</f>
        <v>凤台缪侠伙伴在20210509预收0排名中支第5位</v>
      </c>
      <c r="S217" s="65">
        <f>ROUND(SUMIFS(险种!Q:Q,险种!E:E,E:E,险种!V:V,"&lt;=20210506")-SUMIFS(险种!Q:Q,险种!U:U,"终止",险种!E:E,E:E,险种!V:V,"&lt;=20210506"),1)</f>
        <v>0</v>
      </c>
      <c r="T217" s="65">
        <f>ROUND(SUMIFS(险种!Q:Q,险种!U:U,"有效",险种!E:E,E:E,险种!V:V,"&lt;=20210506"),1)</f>
        <v>0</v>
      </c>
      <c r="U217" s="65">
        <f>ROUND(SUMIFS(险种!Q:Q,险种!E:E,E:E,险种!V:V,"&lt;=20210510")-SUMIFS(险种!Q:Q,险种!U:U,"终止",险种!E:E,E:E,险种!V:V,"&lt;=20210510"),1)</f>
        <v>0</v>
      </c>
      <c r="V217" s="65">
        <f>ROUND(SUMIFS(险种!Q:Q,险种!U:U,"有效",险种!E:E,E:E,险种!V:V,"&lt;=20210510"),1)</f>
        <v>0</v>
      </c>
      <c r="W217" s="65">
        <f t="shared" si="3"/>
        <v>0</v>
      </c>
      <c r="X217" s="68">
        <f>SUMIF(险种!E:E,E:E,险种!Y:Y)</f>
        <v>0</v>
      </c>
      <c r="Y217" s="65">
        <f>MAX(_xlfn.IFS(OR(X:X=1,X:X=2),J:J*0.1,X:X&gt;=3,J:J*0.2,X:X=0,0),IF(J:J&gt;=20000,J:J*0.2,0))</f>
        <v>0</v>
      </c>
      <c r="Z217" s="65" t="str">
        <f>A217&amp;D217&amp;G217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凤台缪侠伙伴5.1-5.10预收价值保费0，首周预收3000P件数0件，预收拟加佣0元。温馨提示，保单需10日（含）前承保，目前还有0价值保费未承保,开单一件即可获得10%加佣</v>
      </c>
      <c r="AA217" s="68">
        <f>SUMIF(险种!E:E,E:E,险种!Z:Z)</f>
        <v>0</v>
      </c>
      <c r="AB217" s="65"/>
      <c r="AC217" s="68">
        <f>SUMIF(险种!E:E,E:E,险种!AA:AA)</f>
        <v>0</v>
      </c>
      <c r="AD217" s="68">
        <f>SUMIFS(险种!AA:AA,险种!U:U,"有效",险种!E:E,E:E)</f>
        <v>0</v>
      </c>
      <c r="AE217" s="68" t="str">
        <f>A217&amp;D217&amp;G217&amp;"目前获得"&amp;$AC$1&amp;AC:AC&amp;"名，获得"&amp;$AD$1&amp;AD:AD&amp;"名"</f>
        <v>凤台缪侠伙伴目前获得龙虾节预收名额0名，获得龙虾节承保名额0名</v>
      </c>
      <c r="AF217" s="68">
        <f>SUMIF(认购返还案!D:D,E:E,认购返还案!E:E)</f>
        <v>200</v>
      </c>
      <c r="AG217" s="68">
        <f>_xlfn.IFS(AND(U:U&gt;=3000,U:U&lt;5000),AF:AF*0.5,U:U&gt;=5000,AF:AF*1,U:U&lt;3000,0)</f>
        <v>0</v>
      </c>
      <c r="AH217" s="68">
        <f>_xlfn.IFS(AND(V:V&gt;=3000,V:V&lt;5000),AF:AF*0.5,V:V&gt;=5000,AF:AF*1,V:V&lt;3000,0)</f>
        <v>0</v>
      </c>
      <c r="AI217" s="68" t="str">
        <f>A:A&amp;D:D&amp;G:G&amp;$AF$1&amp;AF:AF&amp;"元，目前预收价值"&amp;U:U&amp;"，"&amp;$AG$1&amp;AG:AG&amp;"元，"&amp;$AH$1&amp;AH:AH&amp;"元"</f>
        <v>凤台缪侠伙伴冲锋队缴费金额200元，目前预收价值0，预收拟返还0元，承保拟返还0元</v>
      </c>
      <c r="AJ217" s="68">
        <f>SUMIF(保单!R:R,E:E,保单!BE:BE)*IF(AF:AF&gt;1,1,0)</f>
        <v>0</v>
      </c>
      <c r="AK217" s="68">
        <f>SUMIFS(保单!BE:BE,保单!R:R,E:E,保单!BB:BB,"有效")*IF(AF:AF&gt;1,1,0)</f>
        <v>0</v>
      </c>
      <c r="AL217" s="72" t="str">
        <f>A:A&amp;D:D&amp;G:G&amp;"只要在1-10日承保全部保单，即可获得"&amp;$AJ$1&amp;AJ:AJ&amp;"个"</f>
        <v>凤台缪侠伙伴只要在1-10日承保全部保单，即可获得冲锋队按摩仪0个</v>
      </c>
    </row>
    <row r="218" spans="1:38">
      <c r="A218" s="64" t="s">
        <v>27</v>
      </c>
      <c r="B218" s="64" t="s">
        <v>100</v>
      </c>
      <c r="C218" s="64" t="s">
        <v>101</v>
      </c>
      <c r="D218" s="64" t="s">
        <v>454</v>
      </c>
      <c r="E218" s="64">
        <v>5829706362</v>
      </c>
      <c r="F218" s="64" t="s">
        <v>174</v>
      </c>
      <c r="G218" s="64" t="str">
        <f>IF(OR(F:F="高级经理一级",F:F="业务经理一级"),"主管","伙伴")</f>
        <v>伙伴</v>
      </c>
      <c r="H218" s="65">
        <f>SUMIF(险种!E:E,E:E,险种!R:R)-SUMIFS(险种!R:R,险种!U:U,"终止",险种!E:E,E:E)</f>
        <v>0</v>
      </c>
      <c r="I218" s="65">
        <f>SUMIFS(险种!R:R,险种!U:U,"有效",险种!E:E,E:E)</f>
        <v>0</v>
      </c>
      <c r="J218" s="65">
        <f>ROUND(SUMIF(险种!E:E,E:E,险种!Q:Q)-SUMIFS(险种!Q:Q,险种!U:U,"终止",险种!E:E,E:E),1)</f>
        <v>0</v>
      </c>
      <c r="K218" s="68">
        <f>RANK(J218,J:J)</f>
        <v>22</v>
      </c>
      <c r="L218" s="65">
        <f>ROUND(SUMIFS(险种!Q:Q,险种!U:U,"有效",险种!E:E,E:E),1)</f>
        <v>0</v>
      </c>
      <c r="M218" s="68">
        <f>RANK(L218,L:L,)</f>
        <v>14</v>
      </c>
      <c r="N218" s="68">
        <f>SUMIF(险种!E:E,E:E,险种!W:W)</f>
        <v>0</v>
      </c>
      <c r="O218" s="68">
        <f>IF(N:N&gt;=1,1,0)</f>
        <v>0</v>
      </c>
      <c r="P218" s="65">
        <f>ROUND(SUMIFS(险种!Q:Q,险种!V:V,$P$1,险种!E:E,E:E),1)</f>
        <v>0</v>
      </c>
      <c r="Q218" s="68">
        <f>RANK(P218,$P:$P,0)-1</f>
        <v>5</v>
      </c>
      <c r="R218" s="68" t="str">
        <f>A:A&amp;D:D&amp;G:G&amp;"在"&amp;$P$1&amp;"预收"&amp;P:P&amp;"排名中支第"&amp;Q:Q&amp;"位"</f>
        <v>凤台蒋中云伙伴在20210509预收0排名中支第5位</v>
      </c>
      <c r="S218" s="65">
        <f>ROUND(SUMIFS(险种!Q:Q,险种!E:E,E:E,险种!V:V,"&lt;=20210506")-SUMIFS(险种!Q:Q,险种!U:U,"终止",险种!E:E,E:E,险种!V:V,"&lt;=20210506"),1)</f>
        <v>0</v>
      </c>
      <c r="T218" s="65">
        <f>ROUND(SUMIFS(险种!Q:Q,险种!U:U,"有效",险种!E:E,E:E,险种!V:V,"&lt;=20210506"),1)</f>
        <v>0</v>
      </c>
      <c r="U218" s="65">
        <f>ROUND(SUMIFS(险种!Q:Q,险种!E:E,E:E,险种!V:V,"&lt;=20210510")-SUMIFS(险种!Q:Q,险种!U:U,"终止",险种!E:E,E:E,险种!V:V,"&lt;=20210510"),1)</f>
        <v>0</v>
      </c>
      <c r="V218" s="65">
        <f>ROUND(SUMIFS(险种!Q:Q,险种!U:U,"有效",险种!E:E,E:E,险种!V:V,"&lt;=20210510"),1)</f>
        <v>0</v>
      </c>
      <c r="W218" s="65">
        <f t="shared" si="3"/>
        <v>0</v>
      </c>
      <c r="X218" s="68">
        <f>SUMIF(险种!E:E,E:E,险种!Y:Y)</f>
        <v>0</v>
      </c>
      <c r="Y218" s="65">
        <f>MAX(_xlfn.IFS(OR(X:X=1,X:X=2),J:J*0.1,X:X&gt;=3,J:J*0.2,X:X=0,0),IF(J:J&gt;=20000,J:J*0.2,0))</f>
        <v>0</v>
      </c>
      <c r="Z218" s="65" t="str">
        <f>A218&amp;D218&amp;G218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凤台蒋中云伙伴5.1-5.10预收价值保费0，首周预收3000P件数0件，预收拟加佣0元。温馨提示，保单需10日（含）前承保，目前还有0价值保费未承保,开单一件即可获得10%加佣</v>
      </c>
      <c r="AA218" s="68">
        <f>SUMIF(险种!E:E,E:E,险种!Z:Z)</f>
        <v>0</v>
      </c>
      <c r="AB218" s="65"/>
      <c r="AC218" s="68">
        <f>SUMIF(险种!E:E,E:E,险种!AA:AA)</f>
        <v>0</v>
      </c>
      <c r="AD218" s="68">
        <f>SUMIFS(险种!AA:AA,险种!U:U,"有效",险种!E:E,E:E)</f>
        <v>0</v>
      </c>
      <c r="AE218" s="68" t="str">
        <f>A218&amp;D218&amp;G218&amp;"目前获得"&amp;$AC$1&amp;AC:AC&amp;"名，获得"&amp;$AD$1&amp;AD:AD&amp;"名"</f>
        <v>凤台蒋中云伙伴目前获得龙虾节预收名额0名，获得龙虾节承保名额0名</v>
      </c>
      <c r="AF218" s="68">
        <f>SUMIF(认购返还案!D:D,E:E,认购返还案!E:E)</f>
        <v>0</v>
      </c>
      <c r="AG218" s="68">
        <f>_xlfn.IFS(AND(U:U&gt;=3000,U:U&lt;5000),AF:AF*0.5,U:U&gt;=5000,AF:AF*1,U:U&lt;3000,0)</f>
        <v>0</v>
      </c>
      <c r="AH218" s="68">
        <f>_xlfn.IFS(AND(V:V&gt;=3000,V:V&lt;5000),AF:AF*0.5,V:V&gt;=5000,AF:AF*1,V:V&lt;3000,0)</f>
        <v>0</v>
      </c>
      <c r="AI218" s="68" t="str">
        <f>A:A&amp;D:D&amp;G:G&amp;$AF$1&amp;AF:AF&amp;"元，目前预收价值"&amp;U:U&amp;"，"&amp;$AG$1&amp;AG:AG&amp;"元，"&amp;$AH$1&amp;AH:AH&amp;"元"</f>
        <v>凤台蒋中云伙伴冲锋队缴费金额0元，目前预收价值0，预收拟返还0元，承保拟返还0元</v>
      </c>
      <c r="AJ218" s="68">
        <f>SUMIF(保单!R:R,E:E,保单!BE:BE)*IF(AF:AF&gt;1,1,0)</f>
        <v>0</v>
      </c>
      <c r="AK218" s="68">
        <f>SUMIFS(保单!BE:BE,保单!R:R,E:E,保单!BB:BB,"有效")*IF(AF:AF&gt;1,1,0)</f>
        <v>0</v>
      </c>
      <c r="AL218" s="72" t="str">
        <f>A:A&amp;D:D&amp;G:G&amp;"只要在1-10日承保全部保单，即可获得"&amp;$AJ$1&amp;AJ:AJ&amp;"个"</f>
        <v>凤台蒋中云伙伴只要在1-10日承保全部保单，即可获得冲锋队按摩仪0个</v>
      </c>
    </row>
    <row r="219" spans="1:38">
      <c r="A219" s="64" t="s">
        <v>27</v>
      </c>
      <c r="B219" s="64" t="s">
        <v>28</v>
      </c>
      <c r="C219" s="64" t="s">
        <v>29</v>
      </c>
      <c r="D219" s="64" t="s">
        <v>455</v>
      </c>
      <c r="E219" s="64">
        <v>5829071812</v>
      </c>
      <c r="F219" s="64" t="s">
        <v>174</v>
      </c>
      <c r="G219" s="64" t="str">
        <f>IF(OR(F:F="高级经理一级",F:F="业务经理一级"),"主管","伙伴")</f>
        <v>伙伴</v>
      </c>
      <c r="H219" s="65">
        <f>SUMIF(险种!E:E,E:E,险种!R:R)-SUMIFS(险种!R:R,险种!U:U,"终止",险种!E:E,E:E)</f>
        <v>0</v>
      </c>
      <c r="I219" s="65">
        <f>SUMIFS(险种!R:R,险种!U:U,"有效",险种!E:E,E:E)</f>
        <v>0</v>
      </c>
      <c r="J219" s="65">
        <f>ROUND(SUMIF(险种!E:E,E:E,险种!Q:Q)-SUMIFS(险种!Q:Q,险种!U:U,"终止",险种!E:E,E:E),1)</f>
        <v>0</v>
      </c>
      <c r="K219" s="68">
        <f>RANK(J219,J:J)</f>
        <v>22</v>
      </c>
      <c r="L219" s="65">
        <f>ROUND(SUMIFS(险种!Q:Q,险种!U:U,"有效",险种!E:E,E:E),1)</f>
        <v>0</v>
      </c>
      <c r="M219" s="68">
        <f>RANK(L219,L:L,)</f>
        <v>14</v>
      </c>
      <c r="N219" s="68">
        <f>SUMIF(险种!E:E,E:E,险种!W:W)</f>
        <v>0</v>
      </c>
      <c r="O219" s="68">
        <f>IF(N:N&gt;=1,1,0)</f>
        <v>0</v>
      </c>
      <c r="P219" s="65">
        <f>ROUND(SUMIFS(险种!Q:Q,险种!V:V,$P$1,险种!E:E,E:E),1)</f>
        <v>0</v>
      </c>
      <c r="Q219" s="68">
        <f>RANK(P219,$P:$P,0)-1</f>
        <v>5</v>
      </c>
      <c r="R219" s="68" t="str">
        <f>A:A&amp;D:D&amp;G:G&amp;"在"&amp;$P$1&amp;"预收"&amp;P:P&amp;"排名中支第"&amp;Q:Q&amp;"位"</f>
        <v>凤台童明明伙伴在20210509预收0排名中支第5位</v>
      </c>
      <c r="S219" s="65">
        <f>ROUND(SUMIFS(险种!Q:Q,险种!E:E,E:E,险种!V:V,"&lt;=20210506")-SUMIFS(险种!Q:Q,险种!U:U,"终止",险种!E:E,E:E,险种!V:V,"&lt;=20210506"),1)</f>
        <v>0</v>
      </c>
      <c r="T219" s="65">
        <f>ROUND(SUMIFS(险种!Q:Q,险种!U:U,"有效",险种!E:E,E:E,险种!V:V,"&lt;=20210506"),1)</f>
        <v>0</v>
      </c>
      <c r="U219" s="65">
        <f>ROUND(SUMIFS(险种!Q:Q,险种!E:E,E:E,险种!V:V,"&lt;=20210510")-SUMIFS(险种!Q:Q,险种!U:U,"终止",险种!E:E,E:E,险种!V:V,"&lt;=20210510"),1)</f>
        <v>0</v>
      </c>
      <c r="V219" s="65">
        <f>ROUND(SUMIFS(险种!Q:Q,险种!U:U,"有效",险种!E:E,E:E,险种!V:V,"&lt;=20210510"),1)</f>
        <v>0</v>
      </c>
      <c r="W219" s="65">
        <f t="shared" si="3"/>
        <v>0</v>
      </c>
      <c r="X219" s="68">
        <f>SUMIF(险种!E:E,E:E,险种!Y:Y)</f>
        <v>0</v>
      </c>
      <c r="Y219" s="65">
        <f>MAX(_xlfn.IFS(OR(X:X=1,X:X=2),J:J*0.1,X:X&gt;=3,J:J*0.2,X:X=0,0),IF(J:J&gt;=20000,J:J*0.2,0))</f>
        <v>0</v>
      </c>
      <c r="Z219" s="65" t="str">
        <f>A219&amp;D219&amp;G219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凤台童明明伙伴5.1-5.10预收价值保费0，首周预收3000P件数0件，预收拟加佣0元。温馨提示，保单需10日（含）前承保，目前还有0价值保费未承保,开单一件即可获得10%加佣</v>
      </c>
      <c r="AA219" s="68">
        <f>SUMIF(险种!E:E,E:E,险种!Z:Z)</f>
        <v>0</v>
      </c>
      <c r="AB219" s="65"/>
      <c r="AC219" s="68">
        <f>SUMIF(险种!E:E,E:E,险种!AA:AA)</f>
        <v>0</v>
      </c>
      <c r="AD219" s="68">
        <f>SUMIFS(险种!AA:AA,险种!U:U,"有效",险种!E:E,E:E)</f>
        <v>0</v>
      </c>
      <c r="AE219" s="68" t="str">
        <f>A219&amp;D219&amp;G219&amp;"目前获得"&amp;$AC$1&amp;AC:AC&amp;"名，获得"&amp;$AD$1&amp;AD:AD&amp;"名"</f>
        <v>凤台童明明伙伴目前获得龙虾节预收名额0名，获得龙虾节承保名额0名</v>
      </c>
      <c r="AF219" s="68">
        <f>SUMIF(认购返还案!D:D,E:E,认购返还案!E:E)</f>
        <v>0</v>
      </c>
      <c r="AG219" s="68">
        <f>_xlfn.IFS(AND(U:U&gt;=3000,U:U&lt;5000),AF:AF*0.5,U:U&gt;=5000,AF:AF*1,U:U&lt;3000,0)</f>
        <v>0</v>
      </c>
      <c r="AH219" s="68">
        <f>_xlfn.IFS(AND(V:V&gt;=3000,V:V&lt;5000),AF:AF*0.5,V:V&gt;=5000,AF:AF*1,V:V&lt;3000,0)</f>
        <v>0</v>
      </c>
      <c r="AI219" s="68" t="str">
        <f>A:A&amp;D:D&amp;G:G&amp;$AF$1&amp;AF:AF&amp;"元，目前预收价值"&amp;U:U&amp;"，"&amp;$AG$1&amp;AG:AG&amp;"元，"&amp;$AH$1&amp;AH:AH&amp;"元"</f>
        <v>凤台童明明伙伴冲锋队缴费金额0元，目前预收价值0，预收拟返还0元，承保拟返还0元</v>
      </c>
      <c r="AJ219" s="68">
        <f>SUMIF(保单!R:R,E:E,保单!BE:BE)*IF(AF:AF&gt;1,1,0)</f>
        <v>0</v>
      </c>
      <c r="AK219" s="68">
        <f>SUMIFS(保单!BE:BE,保单!R:R,E:E,保单!BB:BB,"有效")*IF(AF:AF&gt;1,1,0)</f>
        <v>0</v>
      </c>
      <c r="AL219" s="72" t="str">
        <f>A:A&amp;D:D&amp;G:G&amp;"只要在1-10日承保全部保单，即可获得"&amp;$AJ$1&amp;AJ:AJ&amp;"个"</f>
        <v>凤台童明明伙伴只要在1-10日承保全部保单，即可获得冲锋队按摩仪0个</v>
      </c>
    </row>
    <row r="220" spans="1:38">
      <c r="A220" s="64" t="s">
        <v>456</v>
      </c>
      <c r="B220" s="64" t="s">
        <v>457</v>
      </c>
      <c r="C220" s="64" t="s">
        <v>458</v>
      </c>
      <c r="D220" s="64" t="s">
        <v>459</v>
      </c>
      <c r="E220" s="64">
        <v>5819539502</v>
      </c>
      <c r="F220" s="64" t="s">
        <v>174</v>
      </c>
      <c r="G220" s="64" t="str">
        <f>IF(OR(F:F="高级经理一级",F:F="业务经理一级"),"主管","伙伴")</f>
        <v>伙伴</v>
      </c>
      <c r="H220" s="65">
        <f>SUMIF(险种!E:E,E:E,险种!R:R)-SUMIFS(险种!R:R,险种!U:U,"终止",险种!E:E,E:E)</f>
        <v>0</v>
      </c>
      <c r="I220" s="65">
        <f>SUMIFS(险种!R:R,险种!U:U,"有效",险种!E:E,E:E)</f>
        <v>0</v>
      </c>
      <c r="J220" s="65">
        <f>ROUND(SUMIF(险种!E:E,E:E,险种!Q:Q)-SUMIFS(险种!Q:Q,险种!U:U,"终止",险种!E:E,E:E),1)</f>
        <v>0</v>
      </c>
      <c r="K220" s="68">
        <f>RANK(J220,J:J)</f>
        <v>22</v>
      </c>
      <c r="L220" s="65">
        <f>ROUND(SUMIFS(险种!Q:Q,险种!U:U,"有效",险种!E:E,E:E),1)</f>
        <v>0</v>
      </c>
      <c r="M220" s="68">
        <f>RANK(L220,L:L,)</f>
        <v>14</v>
      </c>
      <c r="N220" s="68">
        <f>SUMIF(险种!E:E,E:E,险种!W:W)</f>
        <v>0</v>
      </c>
      <c r="O220" s="68">
        <f>IF(N:N&gt;=1,1,0)</f>
        <v>0</v>
      </c>
      <c r="P220" s="65">
        <f>ROUND(SUMIFS(险种!Q:Q,险种!V:V,$P$1,险种!E:E,E:E),1)</f>
        <v>0</v>
      </c>
      <c r="Q220" s="68">
        <f>RANK(P220,$P:$P,0)-1</f>
        <v>5</v>
      </c>
      <c r="R220" s="68" t="str">
        <f>A:A&amp;D:D&amp;G:G&amp;"在"&amp;$P$1&amp;"预收"&amp;P:P&amp;"排名中支第"&amp;Q:Q&amp;"位"</f>
        <v>潘集朱磊磊伙伴在20210509预收0排名中支第5位</v>
      </c>
      <c r="S220" s="65">
        <f>ROUND(SUMIFS(险种!Q:Q,险种!E:E,E:E,险种!V:V,"&lt;=20210506")-SUMIFS(险种!Q:Q,险种!U:U,"终止",险种!E:E,E:E,险种!V:V,"&lt;=20210506"),1)</f>
        <v>0</v>
      </c>
      <c r="T220" s="65">
        <f>ROUND(SUMIFS(险种!Q:Q,险种!U:U,"有效",险种!E:E,E:E,险种!V:V,"&lt;=20210506"),1)</f>
        <v>0</v>
      </c>
      <c r="U220" s="65">
        <f>ROUND(SUMIFS(险种!Q:Q,险种!E:E,E:E,险种!V:V,"&lt;=20210510")-SUMIFS(险种!Q:Q,险种!U:U,"终止",险种!E:E,E:E,险种!V:V,"&lt;=20210510"),1)</f>
        <v>0</v>
      </c>
      <c r="V220" s="65">
        <f>ROUND(SUMIFS(险种!Q:Q,险种!U:U,"有效",险种!E:E,E:E,险种!V:V,"&lt;=20210510"),1)</f>
        <v>0</v>
      </c>
      <c r="W220" s="65">
        <f t="shared" si="3"/>
        <v>0</v>
      </c>
      <c r="X220" s="68">
        <f>SUMIF(险种!E:E,E:E,险种!Y:Y)</f>
        <v>0</v>
      </c>
      <c r="Y220" s="65">
        <f>MAX(_xlfn.IFS(OR(X:X=1,X:X=2),J:J*0.1,X:X&gt;=3,J:J*0.2,X:X=0,0),IF(J:J&gt;=20000,J:J*0.2,0))</f>
        <v>0</v>
      </c>
      <c r="Z220" s="65" t="str">
        <f>A220&amp;D220&amp;G220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潘集朱磊磊伙伴5.1-5.10预收价值保费0，首周预收3000P件数0件，预收拟加佣0元。温馨提示，保单需10日（含）前承保，目前还有0价值保费未承保,开单一件即可获得10%加佣</v>
      </c>
      <c r="AA220" s="68">
        <f>SUMIF(险种!E:E,E:E,险种!Z:Z)</f>
        <v>0</v>
      </c>
      <c r="AB220" s="65"/>
      <c r="AC220" s="68">
        <f>SUMIF(险种!E:E,E:E,险种!AA:AA)</f>
        <v>0</v>
      </c>
      <c r="AD220" s="68">
        <f>SUMIFS(险种!AA:AA,险种!U:U,"有效",险种!E:E,E:E)</f>
        <v>0</v>
      </c>
      <c r="AE220" s="68" t="str">
        <f>A220&amp;D220&amp;G220&amp;"目前获得"&amp;$AC$1&amp;AC:AC&amp;"名，获得"&amp;$AD$1&amp;AD:AD&amp;"名"</f>
        <v>潘集朱磊磊伙伴目前获得龙虾节预收名额0名，获得龙虾节承保名额0名</v>
      </c>
      <c r="AF220" s="68">
        <f>SUMIF(认购返还案!D:D,E:E,认购返还案!E:E)</f>
        <v>0</v>
      </c>
      <c r="AG220" s="68">
        <f>_xlfn.IFS(AND(U:U&gt;=3000,U:U&lt;5000),AF:AF*0.5,U:U&gt;=5000,AF:AF*1,U:U&lt;3000,0)</f>
        <v>0</v>
      </c>
      <c r="AH220" s="68">
        <f>_xlfn.IFS(AND(V:V&gt;=3000,V:V&lt;5000),AF:AF*0.5,V:V&gt;=5000,AF:AF*1,V:V&lt;3000,0)</f>
        <v>0</v>
      </c>
      <c r="AI220" s="68" t="str">
        <f>A:A&amp;D:D&amp;G:G&amp;$AF$1&amp;AF:AF&amp;"元，目前预收价值"&amp;U:U&amp;"，"&amp;$AG$1&amp;AG:AG&amp;"元，"&amp;$AH$1&amp;AH:AH&amp;"元"</f>
        <v>潘集朱磊磊伙伴冲锋队缴费金额0元，目前预收价值0，预收拟返还0元，承保拟返还0元</v>
      </c>
      <c r="AJ220" s="68">
        <f>SUMIF(保单!R:R,E:E,保单!BE:BE)*IF(AF:AF&gt;1,1,0)</f>
        <v>0</v>
      </c>
      <c r="AK220" s="68">
        <f>SUMIFS(保单!BE:BE,保单!R:R,E:E,保单!BB:BB,"有效")*IF(AF:AF&gt;1,1,0)</f>
        <v>0</v>
      </c>
      <c r="AL220" s="72" t="str">
        <f>A:A&amp;D:D&amp;G:G&amp;"只要在1-10日承保全部保单，即可获得"&amp;$AJ$1&amp;AJ:AJ&amp;"个"</f>
        <v>潘集朱磊磊伙伴只要在1-10日承保全部保单，即可获得冲锋队按摩仪0个</v>
      </c>
    </row>
    <row r="221" spans="1:38">
      <c r="A221" s="64" t="s">
        <v>456</v>
      </c>
      <c r="B221" s="64" t="s">
        <v>457</v>
      </c>
      <c r="C221" s="64" t="s">
        <v>458</v>
      </c>
      <c r="D221" s="64" t="s">
        <v>460</v>
      </c>
      <c r="E221" s="64">
        <v>5819404422</v>
      </c>
      <c r="F221" s="64" t="s">
        <v>174</v>
      </c>
      <c r="G221" s="64" t="str">
        <f>IF(OR(F:F="高级经理一级",F:F="业务经理一级"),"主管","伙伴")</f>
        <v>伙伴</v>
      </c>
      <c r="H221" s="65">
        <f>SUMIF(险种!E:E,E:E,险种!R:R)-SUMIFS(险种!R:R,险种!U:U,"终止",险种!E:E,E:E)</f>
        <v>0</v>
      </c>
      <c r="I221" s="65">
        <f>SUMIFS(险种!R:R,险种!U:U,"有效",险种!E:E,E:E)</f>
        <v>0</v>
      </c>
      <c r="J221" s="65">
        <f>ROUND(SUMIF(险种!E:E,E:E,险种!Q:Q)-SUMIFS(险种!Q:Q,险种!U:U,"终止",险种!E:E,E:E),1)</f>
        <v>0</v>
      </c>
      <c r="K221" s="68">
        <f>RANK(J221,J:J)</f>
        <v>22</v>
      </c>
      <c r="L221" s="65">
        <f>ROUND(SUMIFS(险种!Q:Q,险种!U:U,"有效",险种!E:E,E:E),1)</f>
        <v>0</v>
      </c>
      <c r="M221" s="68">
        <f>RANK(L221,L:L,)</f>
        <v>14</v>
      </c>
      <c r="N221" s="68">
        <f>SUMIF(险种!E:E,E:E,险种!W:W)</f>
        <v>0</v>
      </c>
      <c r="O221" s="68">
        <f>IF(N:N&gt;=1,1,0)</f>
        <v>0</v>
      </c>
      <c r="P221" s="65">
        <f>ROUND(SUMIFS(险种!Q:Q,险种!V:V,$P$1,险种!E:E,E:E),1)</f>
        <v>0</v>
      </c>
      <c r="Q221" s="68">
        <f>RANK(P221,$P:$P,0)-1</f>
        <v>5</v>
      </c>
      <c r="R221" s="68" t="str">
        <f>A:A&amp;D:D&amp;G:G&amp;"在"&amp;$P$1&amp;"预收"&amp;P:P&amp;"排名中支第"&amp;Q:Q&amp;"位"</f>
        <v>潘集杨军伙伴在20210509预收0排名中支第5位</v>
      </c>
      <c r="S221" s="65">
        <f>ROUND(SUMIFS(险种!Q:Q,险种!E:E,E:E,险种!V:V,"&lt;=20210506")-SUMIFS(险种!Q:Q,险种!U:U,"终止",险种!E:E,E:E,险种!V:V,"&lt;=20210506"),1)</f>
        <v>0</v>
      </c>
      <c r="T221" s="65">
        <f>ROUND(SUMIFS(险种!Q:Q,险种!U:U,"有效",险种!E:E,E:E,险种!V:V,"&lt;=20210506"),1)</f>
        <v>0</v>
      </c>
      <c r="U221" s="65">
        <f>ROUND(SUMIFS(险种!Q:Q,险种!E:E,E:E,险种!V:V,"&lt;=20210510")-SUMIFS(险种!Q:Q,险种!U:U,"终止",险种!E:E,E:E,险种!V:V,"&lt;=20210510"),1)</f>
        <v>0</v>
      </c>
      <c r="V221" s="65">
        <f>ROUND(SUMIFS(险种!Q:Q,险种!U:U,"有效",险种!E:E,E:E,险种!V:V,"&lt;=20210510"),1)</f>
        <v>0</v>
      </c>
      <c r="W221" s="65">
        <f t="shared" si="3"/>
        <v>0</v>
      </c>
      <c r="X221" s="68">
        <f>SUMIF(险种!E:E,E:E,险种!Y:Y)</f>
        <v>0</v>
      </c>
      <c r="Y221" s="65">
        <f>MAX(_xlfn.IFS(OR(X:X=1,X:X=2),J:J*0.1,X:X&gt;=3,J:J*0.2,X:X=0,0),IF(J:J&gt;=20000,J:J*0.2,0))</f>
        <v>0</v>
      </c>
      <c r="Z221" s="65" t="str">
        <f>A221&amp;D221&amp;G221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潘集杨军伙伴5.1-5.10预收价值保费0，首周预收3000P件数0件，预收拟加佣0元。温馨提示，保单需10日（含）前承保，目前还有0价值保费未承保,开单一件即可获得10%加佣</v>
      </c>
      <c r="AA221" s="68">
        <f>SUMIF(险种!E:E,E:E,险种!Z:Z)</f>
        <v>0</v>
      </c>
      <c r="AB221" s="65"/>
      <c r="AC221" s="68">
        <f>SUMIF(险种!E:E,E:E,险种!AA:AA)</f>
        <v>0</v>
      </c>
      <c r="AD221" s="68">
        <f>SUMIFS(险种!AA:AA,险种!U:U,"有效",险种!E:E,E:E)</f>
        <v>0</v>
      </c>
      <c r="AE221" s="68" t="str">
        <f>A221&amp;D221&amp;G221&amp;"目前获得"&amp;$AC$1&amp;AC:AC&amp;"名，获得"&amp;$AD$1&amp;AD:AD&amp;"名"</f>
        <v>潘集杨军伙伴目前获得龙虾节预收名额0名，获得龙虾节承保名额0名</v>
      </c>
      <c r="AF221" s="68">
        <f>SUMIF(认购返还案!D:D,E:E,认购返还案!E:E)</f>
        <v>0</v>
      </c>
      <c r="AG221" s="68">
        <f>_xlfn.IFS(AND(U:U&gt;=3000,U:U&lt;5000),AF:AF*0.5,U:U&gt;=5000,AF:AF*1,U:U&lt;3000,0)</f>
        <v>0</v>
      </c>
      <c r="AH221" s="68">
        <f>_xlfn.IFS(AND(V:V&gt;=3000,V:V&lt;5000),AF:AF*0.5,V:V&gt;=5000,AF:AF*1,V:V&lt;3000,0)</f>
        <v>0</v>
      </c>
      <c r="AI221" s="68" t="str">
        <f>A:A&amp;D:D&amp;G:G&amp;$AF$1&amp;AF:AF&amp;"元，目前预收价值"&amp;U:U&amp;"，"&amp;$AG$1&amp;AG:AG&amp;"元，"&amp;$AH$1&amp;AH:AH&amp;"元"</f>
        <v>潘集杨军伙伴冲锋队缴费金额0元，目前预收价值0，预收拟返还0元，承保拟返还0元</v>
      </c>
      <c r="AJ221" s="68">
        <f>SUMIF(保单!R:R,E:E,保单!BE:BE)*IF(AF:AF&gt;1,1,0)</f>
        <v>0</v>
      </c>
      <c r="AK221" s="68">
        <f>SUMIFS(保单!BE:BE,保单!R:R,E:E,保单!BB:BB,"有效")*IF(AF:AF&gt;1,1,0)</f>
        <v>0</v>
      </c>
      <c r="AL221" s="72" t="str">
        <f>A:A&amp;D:D&amp;G:G&amp;"只要在1-10日承保全部保单，即可获得"&amp;$AJ$1&amp;AJ:AJ&amp;"个"</f>
        <v>潘集杨军伙伴只要在1-10日承保全部保单，即可获得冲锋队按摩仪0个</v>
      </c>
    </row>
    <row r="222" spans="1:38">
      <c r="A222" s="64" t="s">
        <v>42</v>
      </c>
      <c r="B222" s="64" t="s">
        <v>66</v>
      </c>
      <c r="C222" s="64" t="s">
        <v>343</v>
      </c>
      <c r="D222" s="64" t="s">
        <v>461</v>
      </c>
      <c r="E222" s="64">
        <v>5796032892</v>
      </c>
      <c r="F222" s="64" t="s">
        <v>174</v>
      </c>
      <c r="G222" s="64" t="str">
        <f>IF(OR(F:F="高级经理一级",F:F="业务经理一级"),"主管","伙伴")</f>
        <v>伙伴</v>
      </c>
      <c r="H222" s="65">
        <f>SUMIF(险种!E:E,E:E,险种!R:R)-SUMIFS(险种!R:R,险种!U:U,"终止",险种!E:E,E:E)</f>
        <v>0</v>
      </c>
      <c r="I222" s="65">
        <f>SUMIFS(险种!R:R,险种!U:U,"有效",险种!E:E,E:E)</f>
        <v>0</v>
      </c>
      <c r="J222" s="65">
        <f>ROUND(SUMIF(险种!E:E,E:E,险种!Q:Q)-SUMIFS(险种!Q:Q,险种!U:U,"终止",险种!E:E,E:E),1)</f>
        <v>0</v>
      </c>
      <c r="K222" s="68">
        <f>RANK(J222,J:J)</f>
        <v>22</v>
      </c>
      <c r="L222" s="65">
        <f>ROUND(SUMIFS(险种!Q:Q,险种!U:U,"有效",险种!E:E,E:E),1)</f>
        <v>0</v>
      </c>
      <c r="M222" s="68">
        <f>RANK(L222,L:L,)</f>
        <v>14</v>
      </c>
      <c r="N222" s="68">
        <f>SUMIF(险种!E:E,E:E,险种!W:W)</f>
        <v>0</v>
      </c>
      <c r="O222" s="68">
        <f>IF(N:N&gt;=1,1,0)</f>
        <v>0</v>
      </c>
      <c r="P222" s="65">
        <f>ROUND(SUMIFS(险种!Q:Q,险种!V:V,$P$1,险种!E:E,E:E),1)</f>
        <v>0</v>
      </c>
      <c r="Q222" s="68">
        <f>RANK(P222,$P:$P,0)-1</f>
        <v>5</v>
      </c>
      <c r="R222" s="68" t="str">
        <f>A:A&amp;D:D&amp;G:G&amp;"在"&amp;$P$1&amp;"预收"&amp;P:P&amp;"排名中支第"&amp;Q:Q&amp;"位"</f>
        <v>淮南本部李晓珍伙伴在20210509预收0排名中支第5位</v>
      </c>
      <c r="S222" s="65">
        <f>ROUND(SUMIFS(险种!Q:Q,险种!E:E,E:E,险种!V:V,"&lt;=20210506")-SUMIFS(险种!Q:Q,险种!U:U,"终止",险种!E:E,E:E,险种!V:V,"&lt;=20210506"),1)</f>
        <v>0</v>
      </c>
      <c r="T222" s="65">
        <f>ROUND(SUMIFS(险种!Q:Q,险种!U:U,"有效",险种!E:E,E:E,险种!V:V,"&lt;=20210506"),1)</f>
        <v>0</v>
      </c>
      <c r="U222" s="65">
        <f>ROUND(SUMIFS(险种!Q:Q,险种!E:E,E:E,险种!V:V,"&lt;=20210510")-SUMIFS(险种!Q:Q,险种!U:U,"终止",险种!E:E,E:E,险种!V:V,"&lt;=20210510"),1)</f>
        <v>0</v>
      </c>
      <c r="V222" s="65">
        <f>ROUND(SUMIFS(险种!Q:Q,险种!U:U,"有效",险种!E:E,E:E,险种!V:V,"&lt;=20210510"),1)</f>
        <v>0</v>
      </c>
      <c r="W222" s="65">
        <f t="shared" si="3"/>
        <v>0</v>
      </c>
      <c r="X222" s="68">
        <f>SUMIF(险种!E:E,E:E,险种!Y:Y)</f>
        <v>0</v>
      </c>
      <c r="Y222" s="65">
        <f>MAX(_xlfn.IFS(OR(X:X=1,X:X=2),J:J*0.1,X:X&gt;=3,J:J*0.2,X:X=0,0),IF(J:J&gt;=20000,J:J*0.2,0))</f>
        <v>0</v>
      </c>
      <c r="Z222" s="65" t="str">
        <f>A222&amp;D222&amp;G222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淮南本部李晓珍伙伴5.1-5.10预收价值保费0，首周预收3000P件数0件，预收拟加佣0元。温馨提示，保单需10日（含）前承保，目前还有0价值保费未承保,开单一件即可获得10%加佣</v>
      </c>
      <c r="AA222" s="68">
        <f>SUMIF(险种!E:E,E:E,险种!Z:Z)</f>
        <v>0</v>
      </c>
      <c r="AB222" s="65"/>
      <c r="AC222" s="68">
        <f>SUMIF(险种!E:E,E:E,险种!AA:AA)</f>
        <v>0</v>
      </c>
      <c r="AD222" s="68">
        <f>SUMIFS(险种!AA:AA,险种!U:U,"有效",险种!E:E,E:E)</f>
        <v>0</v>
      </c>
      <c r="AE222" s="68" t="str">
        <f>A222&amp;D222&amp;G222&amp;"目前获得"&amp;$AC$1&amp;AC:AC&amp;"名，获得"&amp;$AD$1&amp;AD:AD&amp;"名"</f>
        <v>淮南本部李晓珍伙伴目前获得龙虾节预收名额0名，获得龙虾节承保名额0名</v>
      </c>
      <c r="AF222" s="68">
        <f>SUMIF(认购返还案!D:D,E:E,认购返还案!E:E)</f>
        <v>0</v>
      </c>
      <c r="AG222" s="68">
        <f>_xlfn.IFS(AND(U:U&gt;=3000,U:U&lt;5000),AF:AF*0.5,U:U&gt;=5000,AF:AF*1,U:U&lt;3000,0)</f>
        <v>0</v>
      </c>
      <c r="AH222" s="68">
        <f>_xlfn.IFS(AND(V:V&gt;=3000,V:V&lt;5000),AF:AF*0.5,V:V&gt;=5000,AF:AF*1,V:V&lt;3000,0)</f>
        <v>0</v>
      </c>
      <c r="AI222" s="68" t="str">
        <f>A:A&amp;D:D&amp;G:G&amp;$AF$1&amp;AF:AF&amp;"元，目前预收价值"&amp;U:U&amp;"，"&amp;$AG$1&amp;AG:AG&amp;"元，"&amp;$AH$1&amp;AH:AH&amp;"元"</f>
        <v>淮南本部李晓珍伙伴冲锋队缴费金额0元，目前预收价值0，预收拟返还0元，承保拟返还0元</v>
      </c>
      <c r="AJ222" s="68">
        <f>SUMIF(保单!R:R,E:E,保单!BE:BE)*IF(AF:AF&gt;1,1,0)</f>
        <v>0</v>
      </c>
      <c r="AK222" s="68">
        <f>SUMIFS(保单!BE:BE,保单!R:R,E:E,保单!BB:BB,"有效")*IF(AF:AF&gt;1,1,0)</f>
        <v>0</v>
      </c>
      <c r="AL222" s="72" t="str">
        <f>A:A&amp;D:D&amp;G:G&amp;"只要在1-10日承保全部保单，即可获得"&amp;$AJ$1&amp;AJ:AJ&amp;"个"</f>
        <v>淮南本部李晓珍伙伴只要在1-10日承保全部保单，即可获得冲锋队按摩仪0个</v>
      </c>
    </row>
    <row r="223" spans="1:38">
      <c r="A223" s="64" t="s">
        <v>42</v>
      </c>
      <c r="B223" s="64" t="s">
        <v>66</v>
      </c>
      <c r="C223" s="64" t="s">
        <v>343</v>
      </c>
      <c r="D223" s="64" t="s">
        <v>462</v>
      </c>
      <c r="E223" s="64">
        <v>5795082832</v>
      </c>
      <c r="F223" s="64" t="s">
        <v>174</v>
      </c>
      <c r="G223" s="64" t="str">
        <f>IF(OR(F:F="高级经理一级",F:F="业务经理一级"),"主管","伙伴")</f>
        <v>伙伴</v>
      </c>
      <c r="H223" s="65">
        <f>SUMIF(险种!E:E,E:E,险种!R:R)-SUMIFS(险种!R:R,险种!U:U,"终止",险种!E:E,E:E)</f>
        <v>0</v>
      </c>
      <c r="I223" s="65">
        <f>SUMIFS(险种!R:R,险种!U:U,"有效",险种!E:E,E:E)</f>
        <v>0</v>
      </c>
      <c r="J223" s="65">
        <f>ROUND(SUMIF(险种!E:E,E:E,险种!Q:Q)-SUMIFS(险种!Q:Q,险种!U:U,"终止",险种!E:E,E:E),1)</f>
        <v>0</v>
      </c>
      <c r="K223" s="68">
        <f>RANK(J223,J:J)</f>
        <v>22</v>
      </c>
      <c r="L223" s="65">
        <f>ROUND(SUMIFS(险种!Q:Q,险种!U:U,"有效",险种!E:E,E:E),1)</f>
        <v>0</v>
      </c>
      <c r="M223" s="68">
        <f>RANK(L223,L:L,)</f>
        <v>14</v>
      </c>
      <c r="N223" s="68">
        <f>SUMIF(险种!E:E,E:E,险种!W:W)</f>
        <v>0</v>
      </c>
      <c r="O223" s="68">
        <f>IF(N:N&gt;=1,1,0)</f>
        <v>0</v>
      </c>
      <c r="P223" s="65">
        <f>ROUND(SUMIFS(险种!Q:Q,险种!V:V,$P$1,险种!E:E,E:E),1)</f>
        <v>0</v>
      </c>
      <c r="Q223" s="68">
        <f>RANK(P223,$P:$P,0)-1</f>
        <v>5</v>
      </c>
      <c r="R223" s="68" t="str">
        <f>A:A&amp;D:D&amp;G:G&amp;"在"&amp;$P$1&amp;"预收"&amp;P:P&amp;"排名中支第"&amp;Q:Q&amp;"位"</f>
        <v>淮南本部孙敏伙伴在20210509预收0排名中支第5位</v>
      </c>
      <c r="S223" s="65">
        <f>ROUND(SUMIFS(险种!Q:Q,险种!E:E,E:E,险种!V:V,"&lt;=20210506")-SUMIFS(险种!Q:Q,险种!U:U,"终止",险种!E:E,E:E,险种!V:V,"&lt;=20210506"),1)</f>
        <v>0</v>
      </c>
      <c r="T223" s="65">
        <f>ROUND(SUMIFS(险种!Q:Q,险种!U:U,"有效",险种!E:E,E:E,险种!V:V,"&lt;=20210506"),1)</f>
        <v>0</v>
      </c>
      <c r="U223" s="65">
        <f>ROUND(SUMIFS(险种!Q:Q,险种!E:E,E:E,险种!V:V,"&lt;=20210510")-SUMIFS(险种!Q:Q,险种!U:U,"终止",险种!E:E,E:E,险种!V:V,"&lt;=20210510"),1)</f>
        <v>0</v>
      </c>
      <c r="V223" s="65">
        <f>ROUND(SUMIFS(险种!Q:Q,险种!U:U,"有效",险种!E:E,E:E,险种!V:V,"&lt;=20210510"),1)</f>
        <v>0</v>
      </c>
      <c r="W223" s="65">
        <f t="shared" si="3"/>
        <v>0</v>
      </c>
      <c r="X223" s="68">
        <f>SUMIF(险种!E:E,E:E,险种!Y:Y)</f>
        <v>0</v>
      </c>
      <c r="Y223" s="65">
        <f>MAX(_xlfn.IFS(OR(X:X=1,X:X=2),J:J*0.1,X:X&gt;=3,J:J*0.2,X:X=0,0),IF(J:J&gt;=20000,J:J*0.2,0))</f>
        <v>0</v>
      </c>
      <c r="Z223" s="65" t="str">
        <f>A223&amp;D223&amp;G223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淮南本部孙敏伙伴5.1-5.10预收价值保费0，首周预收3000P件数0件，预收拟加佣0元。温馨提示，保单需10日（含）前承保，目前还有0价值保费未承保,开单一件即可获得10%加佣</v>
      </c>
      <c r="AA223" s="68">
        <f>SUMIF(险种!E:E,E:E,险种!Z:Z)</f>
        <v>0</v>
      </c>
      <c r="AB223" s="65"/>
      <c r="AC223" s="68">
        <f>SUMIF(险种!E:E,E:E,险种!AA:AA)</f>
        <v>0</v>
      </c>
      <c r="AD223" s="68">
        <f>SUMIFS(险种!AA:AA,险种!U:U,"有效",险种!E:E,E:E)</f>
        <v>0</v>
      </c>
      <c r="AE223" s="68" t="str">
        <f>A223&amp;D223&amp;G223&amp;"目前获得"&amp;$AC$1&amp;AC:AC&amp;"名，获得"&amp;$AD$1&amp;AD:AD&amp;"名"</f>
        <v>淮南本部孙敏伙伴目前获得龙虾节预收名额0名，获得龙虾节承保名额0名</v>
      </c>
      <c r="AF223" s="68">
        <f>SUMIF(认购返还案!D:D,E:E,认购返还案!E:E)</f>
        <v>0</v>
      </c>
      <c r="AG223" s="68">
        <f>_xlfn.IFS(AND(U:U&gt;=3000,U:U&lt;5000),AF:AF*0.5,U:U&gt;=5000,AF:AF*1,U:U&lt;3000,0)</f>
        <v>0</v>
      </c>
      <c r="AH223" s="68">
        <f>_xlfn.IFS(AND(V:V&gt;=3000,V:V&lt;5000),AF:AF*0.5,V:V&gt;=5000,AF:AF*1,V:V&lt;3000,0)</f>
        <v>0</v>
      </c>
      <c r="AI223" s="68" t="str">
        <f>A:A&amp;D:D&amp;G:G&amp;$AF$1&amp;AF:AF&amp;"元，目前预收价值"&amp;U:U&amp;"，"&amp;$AG$1&amp;AG:AG&amp;"元，"&amp;$AH$1&amp;AH:AH&amp;"元"</f>
        <v>淮南本部孙敏伙伴冲锋队缴费金额0元，目前预收价值0，预收拟返还0元，承保拟返还0元</v>
      </c>
      <c r="AJ223" s="68">
        <f>SUMIF(保单!R:R,E:E,保单!BE:BE)*IF(AF:AF&gt;1,1,0)</f>
        <v>0</v>
      </c>
      <c r="AK223" s="68">
        <f>SUMIFS(保单!BE:BE,保单!R:R,E:E,保单!BB:BB,"有效")*IF(AF:AF&gt;1,1,0)</f>
        <v>0</v>
      </c>
      <c r="AL223" s="72" t="str">
        <f>A:A&amp;D:D&amp;G:G&amp;"只要在1-10日承保全部保单，即可获得"&amp;$AJ$1&amp;AJ:AJ&amp;"个"</f>
        <v>淮南本部孙敏伙伴只要在1-10日承保全部保单，即可获得冲锋队按摩仪0个</v>
      </c>
    </row>
    <row r="224" spans="1:38">
      <c r="A224" s="64" t="s">
        <v>27</v>
      </c>
      <c r="B224" s="64" t="s">
        <v>37</v>
      </c>
      <c r="C224" s="64" t="s">
        <v>226</v>
      </c>
      <c r="D224" s="64" t="s">
        <v>463</v>
      </c>
      <c r="E224" s="64">
        <v>5795030212</v>
      </c>
      <c r="F224" s="64" t="s">
        <v>174</v>
      </c>
      <c r="G224" s="64" t="str">
        <f>IF(OR(F:F="高级经理一级",F:F="业务经理一级"),"主管","伙伴")</f>
        <v>伙伴</v>
      </c>
      <c r="H224" s="65">
        <f>SUMIF(险种!E:E,E:E,险种!R:R)-SUMIFS(险种!R:R,险种!U:U,"终止",险种!E:E,E:E)</f>
        <v>0</v>
      </c>
      <c r="I224" s="65">
        <f>SUMIFS(险种!R:R,险种!U:U,"有效",险种!E:E,E:E)</f>
        <v>0</v>
      </c>
      <c r="J224" s="65">
        <f>ROUND(SUMIF(险种!E:E,E:E,险种!Q:Q)-SUMIFS(险种!Q:Q,险种!U:U,"终止",险种!E:E,E:E),1)</f>
        <v>0</v>
      </c>
      <c r="K224" s="68">
        <f>RANK(J224,J:J)</f>
        <v>22</v>
      </c>
      <c r="L224" s="65">
        <f>ROUND(SUMIFS(险种!Q:Q,险种!U:U,"有效",险种!E:E,E:E),1)</f>
        <v>0</v>
      </c>
      <c r="M224" s="68">
        <f>RANK(L224,L:L,)</f>
        <v>14</v>
      </c>
      <c r="N224" s="68">
        <f>SUMIF(险种!E:E,E:E,险种!W:W)</f>
        <v>0</v>
      </c>
      <c r="O224" s="68">
        <f>IF(N:N&gt;=1,1,0)</f>
        <v>0</v>
      </c>
      <c r="P224" s="65">
        <f>ROUND(SUMIFS(险种!Q:Q,险种!V:V,$P$1,险种!E:E,E:E),1)</f>
        <v>0</v>
      </c>
      <c r="Q224" s="68">
        <f>RANK(P224,$P:$P,0)-1</f>
        <v>5</v>
      </c>
      <c r="R224" s="68" t="str">
        <f>A:A&amp;D:D&amp;G:G&amp;"在"&amp;$P$1&amp;"预收"&amp;P:P&amp;"排名中支第"&amp;Q:Q&amp;"位"</f>
        <v>凤台吴迎雪伙伴在20210509预收0排名中支第5位</v>
      </c>
      <c r="S224" s="65">
        <f>ROUND(SUMIFS(险种!Q:Q,险种!E:E,E:E,险种!V:V,"&lt;=20210506")-SUMIFS(险种!Q:Q,险种!U:U,"终止",险种!E:E,E:E,险种!V:V,"&lt;=20210506"),1)</f>
        <v>0</v>
      </c>
      <c r="T224" s="65">
        <f>ROUND(SUMIFS(险种!Q:Q,险种!U:U,"有效",险种!E:E,E:E,险种!V:V,"&lt;=20210506"),1)</f>
        <v>0</v>
      </c>
      <c r="U224" s="65">
        <f>ROUND(SUMIFS(险种!Q:Q,险种!E:E,E:E,险种!V:V,"&lt;=20210510")-SUMIFS(险种!Q:Q,险种!U:U,"终止",险种!E:E,E:E,险种!V:V,"&lt;=20210510"),1)</f>
        <v>0</v>
      </c>
      <c r="V224" s="65">
        <f>ROUND(SUMIFS(险种!Q:Q,险种!U:U,"有效",险种!E:E,E:E,险种!V:V,"&lt;=20210510"),1)</f>
        <v>0</v>
      </c>
      <c r="W224" s="65">
        <f t="shared" si="3"/>
        <v>0</v>
      </c>
      <c r="X224" s="68">
        <f>SUMIF(险种!E:E,E:E,险种!Y:Y)</f>
        <v>0</v>
      </c>
      <c r="Y224" s="65">
        <f>MAX(_xlfn.IFS(OR(X:X=1,X:X=2),J:J*0.1,X:X&gt;=3,J:J*0.2,X:X=0,0),IF(J:J&gt;=20000,J:J*0.2,0))</f>
        <v>0</v>
      </c>
      <c r="Z224" s="65" t="str">
        <f>A224&amp;D224&amp;G224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凤台吴迎雪伙伴5.1-5.10预收价值保费0，首周预收3000P件数0件，预收拟加佣0元。温馨提示，保单需10日（含）前承保，目前还有0价值保费未承保,开单一件即可获得10%加佣</v>
      </c>
      <c r="AA224" s="68">
        <f>SUMIF(险种!E:E,E:E,险种!Z:Z)</f>
        <v>0</v>
      </c>
      <c r="AB224" s="65"/>
      <c r="AC224" s="68">
        <f>SUMIF(险种!E:E,E:E,险种!AA:AA)</f>
        <v>0</v>
      </c>
      <c r="AD224" s="68">
        <f>SUMIFS(险种!AA:AA,险种!U:U,"有效",险种!E:E,E:E)</f>
        <v>0</v>
      </c>
      <c r="AE224" s="68" t="str">
        <f>A224&amp;D224&amp;G224&amp;"目前获得"&amp;$AC$1&amp;AC:AC&amp;"名，获得"&amp;$AD$1&amp;AD:AD&amp;"名"</f>
        <v>凤台吴迎雪伙伴目前获得龙虾节预收名额0名，获得龙虾节承保名额0名</v>
      </c>
      <c r="AF224" s="68">
        <f>SUMIF(认购返还案!D:D,E:E,认购返还案!E:E)</f>
        <v>0</v>
      </c>
      <c r="AG224" s="68">
        <f>_xlfn.IFS(AND(U:U&gt;=3000,U:U&lt;5000),AF:AF*0.5,U:U&gt;=5000,AF:AF*1,U:U&lt;3000,0)</f>
        <v>0</v>
      </c>
      <c r="AH224" s="68">
        <f>_xlfn.IFS(AND(V:V&gt;=3000,V:V&lt;5000),AF:AF*0.5,V:V&gt;=5000,AF:AF*1,V:V&lt;3000,0)</f>
        <v>0</v>
      </c>
      <c r="AI224" s="68" t="str">
        <f>A:A&amp;D:D&amp;G:G&amp;$AF$1&amp;AF:AF&amp;"元，目前预收价值"&amp;U:U&amp;"，"&amp;$AG$1&amp;AG:AG&amp;"元，"&amp;$AH$1&amp;AH:AH&amp;"元"</f>
        <v>凤台吴迎雪伙伴冲锋队缴费金额0元，目前预收价值0，预收拟返还0元，承保拟返还0元</v>
      </c>
      <c r="AJ224" s="68">
        <f>SUMIF(保单!R:R,E:E,保单!BE:BE)*IF(AF:AF&gt;1,1,0)</f>
        <v>0</v>
      </c>
      <c r="AK224" s="68">
        <f>SUMIFS(保单!BE:BE,保单!R:R,E:E,保单!BB:BB,"有效")*IF(AF:AF&gt;1,1,0)</f>
        <v>0</v>
      </c>
      <c r="AL224" s="72" t="str">
        <f>A:A&amp;D:D&amp;G:G&amp;"只要在1-10日承保全部保单，即可获得"&amp;$AJ$1&amp;AJ:AJ&amp;"个"</f>
        <v>凤台吴迎雪伙伴只要在1-10日承保全部保单，即可获得冲锋队按摩仪0个</v>
      </c>
    </row>
    <row r="225" spans="1:38">
      <c r="A225" s="64" t="s">
        <v>42</v>
      </c>
      <c r="B225" s="64" t="s">
        <v>43</v>
      </c>
      <c r="C225" s="64" t="s">
        <v>70</v>
      </c>
      <c r="D225" s="64" t="s">
        <v>464</v>
      </c>
      <c r="E225" s="64">
        <v>5793477312</v>
      </c>
      <c r="F225" s="64" t="s">
        <v>158</v>
      </c>
      <c r="G225" s="64" t="str">
        <f>IF(OR(F:F="高级经理一级",F:F="业务经理一级"),"主管","伙伴")</f>
        <v>伙伴</v>
      </c>
      <c r="H225" s="65">
        <f>SUMIF(险种!E:E,E:E,险种!R:R)-SUMIFS(险种!R:R,险种!U:U,"终止",险种!E:E,E:E)</f>
        <v>0</v>
      </c>
      <c r="I225" s="65">
        <f>SUMIFS(险种!R:R,险种!U:U,"有效",险种!E:E,E:E)</f>
        <v>0</v>
      </c>
      <c r="J225" s="65">
        <f>ROUND(SUMIF(险种!E:E,E:E,险种!Q:Q)-SUMIFS(险种!Q:Q,险种!U:U,"终止",险种!E:E,E:E),1)</f>
        <v>0</v>
      </c>
      <c r="K225" s="68">
        <f>RANK(J225,J:J)</f>
        <v>22</v>
      </c>
      <c r="L225" s="65">
        <f>ROUND(SUMIFS(险种!Q:Q,险种!U:U,"有效",险种!E:E,E:E),1)</f>
        <v>0</v>
      </c>
      <c r="M225" s="68">
        <f>RANK(L225,L:L,)</f>
        <v>14</v>
      </c>
      <c r="N225" s="68">
        <f>SUMIF(险种!E:E,E:E,险种!W:W)</f>
        <v>0</v>
      </c>
      <c r="O225" s="68">
        <f>IF(N:N&gt;=1,1,0)</f>
        <v>0</v>
      </c>
      <c r="P225" s="65">
        <f>ROUND(SUMIFS(险种!Q:Q,险种!V:V,$P$1,险种!E:E,E:E),1)</f>
        <v>0</v>
      </c>
      <c r="Q225" s="68">
        <f>RANK(P225,$P:$P,0)-1</f>
        <v>5</v>
      </c>
      <c r="R225" s="68" t="str">
        <f>A:A&amp;D:D&amp;G:G&amp;"在"&amp;$P$1&amp;"预收"&amp;P:P&amp;"排名中支第"&amp;Q:Q&amp;"位"</f>
        <v>淮南本部方国兵伙伴在20210509预收0排名中支第5位</v>
      </c>
      <c r="S225" s="65">
        <f>ROUND(SUMIFS(险种!Q:Q,险种!E:E,E:E,险种!V:V,"&lt;=20210506")-SUMIFS(险种!Q:Q,险种!U:U,"终止",险种!E:E,E:E,险种!V:V,"&lt;=20210506"),1)</f>
        <v>0</v>
      </c>
      <c r="T225" s="65">
        <f>ROUND(SUMIFS(险种!Q:Q,险种!U:U,"有效",险种!E:E,E:E,险种!V:V,"&lt;=20210506"),1)</f>
        <v>0</v>
      </c>
      <c r="U225" s="65">
        <f>ROUND(SUMIFS(险种!Q:Q,险种!E:E,E:E,险种!V:V,"&lt;=20210510")-SUMIFS(险种!Q:Q,险种!U:U,"终止",险种!E:E,E:E,险种!V:V,"&lt;=20210510"),1)</f>
        <v>0</v>
      </c>
      <c r="V225" s="65">
        <f>ROUND(SUMIFS(险种!Q:Q,险种!U:U,"有效",险种!E:E,E:E,险种!V:V,"&lt;=20210510"),1)</f>
        <v>0</v>
      </c>
      <c r="W225" s="65">
        <f t="shared" si="3"/>
        <v>0</v>
      </c>
      <c r="X225" s="68">
        <f>SUMIF(险种!E:E,E:E,险种!Y:Y)</f>
        <v>0</v>
      </c>
      <c r="Y225" s="65">
        <f>MAX(_xlfn.IFS(OR(X:X=1,X:X=2),J:J*0.1,X:X&gt;=3,J:J*0.2,X:X=0,0),IF(J:J&gt;=20000,J:J*0.2,0))</f>
        <v>0</v>
      </c>
      <c r="Z225" s="65" t="str">
        <f>A225&amp;D225&amp;G225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淮南本部方国兵伙伴5.1-5.10预收价值保费0，首周预收3000P件数0件，预收拟加佣0元。温馨提示，保单需10日（含）前承保，目前还有0价值保费未承保,开单一件即可获得10%加佣</v>
      </c>
      <c r="AA225" s="68">
        <f>SUMIF(险种!E:E,E:E,险种!Z:Z)</f>
        <v>0</v>
      </c>
      <c r="AB225" s="65"/>
      <c r="AC225" s="68">
        <f>SUMIF(险种!E:E,E:E,险种!AA:AA)</f>
        <v>0</v>
      </c>
      <c r="AD225" s="68">
        <f>SUMIFS(险种!AA:AA,险种!U:U,"有效",险种!E:E,E:E)</f>
        <v>0</v>
      </c>
      <c r="AE225" s="68" t="str">
        <f>A225&amp;D225&amp;G225&amp;"目前获得"&amp;$AC$1&amp;AC:AC&amp;"名，获得"&amp;$AD$1&amp;AD:AD&amp;"名"</f>
        <v>淮南本部方国兵伙伴目前获得龙虾节预收名额0名，获得龙虾节承保名额0名</v>
      </c>
      <c r="AF225" s="68">
        <f>SUMIF(认购返还案!D:D,E:E,认购返还案!E:E)</f>
        <v>0</v>
      </c>
      <c r="AG225" s="68">
        <f>_xlfn.IFS(AND(U:U&gt;=3000,U:U&lt;5000),AF:AF*0.5,U:U&gt;=5000,AF:AF*1,U:U&lt;3000,0)</f>
        <v>0</v>
      </c>
      <c r="AH225" s="68">
        <f>_xlfn.IFS(AND(V:V&gt;=3000,V:V&lt;5000),AF:AF*0.5,V:V&gt;=5000,AF:AF*1,V:V&lt;3000,0)</f>
        <v>0</v>
      </c>
      <c r="AI225" s="68" t="str">
        <f>A:A&amp;D:D&amp;G:G&amp;$AF$1&amp;AF:AF&amp;"元，目前预收价值"&amp;U:U&amp;"，"&amp;$AG$1&amp;AG:AG&amp;"元，"&amp;$AH$1&amp;AH:AH&amp;"元"</f>
        <v>淮南本部方国兵伙伴冲锋队缴费金额0元，目前预收价值0，预收拟返还0元，承保拟返还0元</v>
      </c>
      <c r="AJ225" s="68">
        <f>SUMIF(保单!R:R,E:E,保单!BE:BE)*IF(AF:AF&gt;1,1,0)</f>
        <v>0</v>
      </c>
      <c r="AK225" s="68">
        <f>SUMIFS(保单!BE:BE,保单!R:R,E:E,保单!BB:BB,"有效")*IF(AF:AF&gt;1,1,0)</f>
        <v>0</v>
      </c>
      <c r="AL225" s="72" t="str">
        <f>A:A&amp;D:D&amp;G:G&amp;"只要在1-10日承保全部保单，即可获得"&amp;$AJ$1&amp;AJ:AJ&amp;"个"</f>
        <v>淮南本部方国兵伙伴只要在1-10日承保全部保单，即可获得冲锋队按摩仪0个</v>
      </c>
    </row>
    <row r="226" spans="1:38">
      <c r="A226" s="64" t="s">
        <v>48</v>
      </c>
      <c r="B226" s="64" t="s">
        <v>49</v>
      </c>
      <c r="C226" s="64" t="s">
        <v>50</v>
      </c>
      <c r="D226" s="64" t="s">
        <v>465</v>
      </c>
      <c r="E226" s="64">
        <v>5793398452</v>
      </c>
      <c r="F226" s="64" t="s">
        <v>168</v>
      </c>
      <c r="G226" s="64" t="str">
        <f>IF(OR(F:F="高级经理一级",F:F="业务经理一级"),"主管","伙伴")</f>
        <v>伙伴</v>
      </c>
      <c r="H226" s="65">
        <f>SUMIF(险种!E:E,E:E,险种!R:R)-SUMIFS(险种!R:R,险种!U:U,"终止",险种!E:E,E:E)</f>
        <v>0</v>
      </c>
      <c r="I226" s="65">
        <f>SUMIFS(险种!R:R,险种!U:U,"有效",险种!E:E,E:E)</f>
        <v>0</v>
      </c>
      <c r="J226" s="65">
        <f>ROUND(SUMIF(险种!E:E,E:E,险种!Q:Q)-SUMIFS(险种!Q:Q,险种!U:U,"终止",险种!E:E,E:E),1)</f>
        <v>0</v>
      </c>
      <c r="K226" s="68">
        <f>RANK(J226,J:J)</f>
        <v>22</v>
      </c>
      <c r="L226" s="65">
        <f>ROUND(SUMIFS(险种!Q:Q,险种!U:U,"有效",险种!E:E,E:E),1)</f>
        <v>0</v>
      </c>
      <c r="M226" s="68">
        <f>RANK(L226,L:L,)</f>
        <v>14</v>
      </c>
      <c r="N226" s="68">
        <f>SUMIF(险种!E:E,E:E,险种!W:W)</f>
        <v>0</v>
      </c>
      <c r="O226" s="68">
        <f>IF(N:N&gt;=1,1,0)</f>
        <v>0</v>
      </c>
      <c r="P226" s="65">
        <f>ROUND(SUMIFS(险种!Q:Q,险种!V:V,$P$1,险种!E:E,E:E),1)</f>
        <v>0</v>
      </c>
      <c r="Q226" s="68">
        <f>RANK(P226,$P:$P,0)-1</f>
        <v>5</v>
      </c>
      <c r="R226" s="68" t="str">
        <f>A:A&amp;D:D&amp;G:G&amp;"在"&amp;$P$1&amp;"预收"&amp;P:P&amp;"排名中支第"&amp;Q:Q&amp;"位"</f>
        <v>谢家集施燕群伙伴在20210509预收0排名中支第5位</v>
      </c>
      <c r="S226" s="65">
        <f>ROUND(SUMIFS(险种!Q:Q,险种!E:E,E:E,险种!V:V,"&lt;=20210506")-SUMIFS(险种!Q:Q,险种!U:U,"终止",险种!E:E,E:E,险种!V:V,"&lt;=20210506"),1)</f>
        <v>0</v>
      </c>
      <c r="T226" s="65">
        <f>ROUND(SUMIFS(险种!Q:Q,险种!U:U,"有效",险种!E:E,E:E,险种!V:V,"&lt;=20210506"),1)</f>
        <v>0</v>
      </c>
      <c r="U226" s="65">
        <f>ROUND(SUMIFS(险种!Q:Q,险种!E:E,E:E,险种!V:V,"&lt;=20210510")-SUMIFS(险种!Q:Q,险种!U:U,"终止",险种!E:E,E:E,险种!V:V,"&lt;=20210510"),1)</f>
        <v>0</v>
      </c>
      <c r="V226" s="65">
        <f>ROUND(SUMIFS(险种!Q:Q,险种!U:U,"有效",险种!E:E,E:E,险种!V:V,"&lt;=20210510"),1)</f>
        <v>0</v>
      </c>
      <c r="W226" s="65">
        <f t="shared" si="3"/>
        <v>0</v>
      </c>
      <c r="X226" s="68">
        <f>SUMIF(险种!E:E,E:E,险种!Y:Y)</f>
        <v>0</v>
      </c>
      <c r="Y226" s="65">
        <f>MAX(_xlfn.IFS(OR(X:X=1,X:X=2),J:J*0.1,X:X&gt;=3,J:J*0.2,X:X=0,0),IF(J:J&gt;=20000,J:J*0.2,0))</f>
        <v>0</v>
      </c>
      <c r="Z226" s="65" t="str">
        <f>A226&amp;D226&amp;G226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谢家集施燕群伙伴5.1-5.10预收价值保费0，首周预收3000P件数0件，预收拟加佣0元。温馨提示，保单需10日（含）前承保，目前还有0价值保费未承保,开单一件即可获得10%加佣</v>
      </c>
      <c r="AA226" s="68">
        <f>SUMIF(险种!E:E,E:E,险种!Z:Z)</f>
        <v>0</v>
      </c>
      <c r="AB226" s="65"/>
      <c r="AC226" s="68">
        <f>SUMIF(险种!E:E,E:E,险种!AA:AA)</f>
        <v>0</v>
      </c>
      <c r="AD226" s="68">
        <f>SUMIFS(险种!AA:AA,险种!U:U,"有效",险种!E:E,E:E)</f>
        <v>0</v>
      </c>
      <c r="AE226" s="68" t="str">
        <f>A226&amp;D226&amp;G226&amp;"目前获得"&amp;$AC$1&amp;AC:AC&amp;"名，获得"&amp;$AD$1&amp;AD:AD&amp;"名"</f>
        <v>谢家集施燕群伙伴目前获得龙虾节预收名额0名，获得龙虾节承保名额0名</v>
      </c>
      <c r="AF226" s="68">
        <f>SUMIF(认购返还案!D:D,E:E,认购返还案!E:E)</f>
        <v>200</v>
      </c>
      <c r="AG226" s="68">
        <f>_xlfn.IFS(AND(U:U&gt;=3000,U:U&lt;5000),AF:AF*0.5,U:U&gt;=5000,AF:AF*1,U:U&lt;3000,0)</f>
        <v>0</v>
      </c>
      <c r="AH226" s="68">
        <f>_xlfn.IFS(AND(V:V&gt;=3000,V:V&lt;5000),AF:AF*0.5,V:V&gt;=5000,AF:AF*1,V:V&lt;3000,0)</f>
        <v>0</v>
      </c>
      <c r="AI226" s="68" t="str">
        <f>A:A&amp;D:D&amp;G:G&amp;$AF$1&amp;AF:AF&amp;"元，目前预收价值"&amp;U:U&amp;"，"&amp;$AG$1&amp;AG:AG&amp;"元，"&amp;$AH$1&amp;AH:AH&amp;"元"</f>
        <v>谢家集施燕群伙伴冲锋队缴费金额200元，目前预收价值0，预收拟返还0元，承保拟返还0元</v>
      </c>
      <c r="AJ226" s="68">
        <f>SUMIF(保单!R:R,E:E,保单!BE:BE)*IF(AF:AF&gt;1,1,0)</f>
        <v>0</v>
      </c>
      <c r="AK226" s="68">
        <f>SUMIFS(保单!BE:BE,保单!R:R,E:E,保单!BB:BB,"有效")*IF(AF:AF&gt;1,1,0)</f>
        <v>0</v>
      </c>
      <c r="AL226" s="72" t="str">
        <f>A:A&amp;D:D&amp;G:G&amp;"只要在1-10日承保全部保单，即可获得"&amp;$AJ$1&amp;AJ:AJ&amp;"个"</f>
        <v>谢家集施燕群伙伴只要在1-10日承保全部保单，即可获得冲锋队按摩仪0个</v>
      </c>
    </row>
    <row r="227" spans="1:38">
      <c r="A227" s="64" t="s">
        <v>456</v>
      </c>
      <c r="B227" s="64" t="s">
        <v>457</v>
      </c>
      <c r="C227" s="64" t="s">
        <v>458</v>
      </c>
      <c r="D227" s="64" t="s">
        <v>466</v>
      </c>
      <c r="E227" s="64">
        <v>5786682812</v>
      </c>
      <c r="F227" s="64" t="s">
        <v>174</v>
      </c>
      <c r="G227" s="64" t="str">
        <f>IF(OR(F:F="高级经理一级",F:F="业务经理一级"),"主管","伙伴")</f>
        <v>伙伴</v>
      </c>
      <c r="H227" s="65">
        <f>SUMIF(险种!E:E,E:E,险种!R:R)-SUMIFS(险种!R:R,险种!U:U,"终止",险种!E:E,E:E)</f>
        <v>0</v>
      </c>
      <c r="I227" s="65">
        <f>SUMIFS(险种!R:R,险种!U:U,"有效",险种!E:E,E:E)</f>
        <v>0</v>
      </c>
      <c r="J227" s="65">
        <f>ROUND(SUMIF(险种!E:E,E:E,险种!Q:Q)-SUMIFS(险种!Q:Q,险种!U:U,"终止",险种!E:E,E:E),1)</f>
        <v>0</v>
      </c>
      <c r="K227" s="68">
        <f>RANK(J227,J:J)</f>
        <v>22</v>
      </c>
      <c r="L227" s="65">
        <f>ROUND(SUMIFS(险种!Q:Q,险种!U:U,"有效",险种!E:E,E:E),1)</f>
        <v>0</v>
      </c>
      <c r="M227" s="68">
        <f>RANK(L227,L:L,)</f>
        <v>14</v>
      </c>
      <c r="N227" s="68">
        <f>SUMIF(险种!E:E,E:E,险种!W:W)</f>
        <v>0</v>
      </c>
      <c r="O227" s="68">
        <f>IF(N:N&gt;=1,1,0)</f>
        <v>0</v>
      </c>
      <c r="P227" s="65">
        <f>ROUND(SUMIFS(险种!Q:Q,险种!V:V,$P$1,险种!E:E,E:E),1)</f>
        <v>0</v>
      </c>
      <c r="Q227" s="68">
        <f>RANK(P227,$P:$P,0)-1</f>
        <v>5</v>
      </c>
      <c r="R227" s="68" t="str">
        <f>A:A&amp;D:D&amp;G:G&amp;"在"&amp;$P$1&amp;"预收"&amp;P:P&amp;"排名中支第"&amp;Q:Q&amp;"位"</f>
        <v>潘集苏磊伙伴在20210509预收0排名中支第5位</v>
      </c>
      <c r="S227" s="65">
        <f>ROUND(SUMIFS(险种!Q:Q,险种!E:E,E:E,险种!V:V,"&lt;=20210506")-SUMIFS(险种!Q:Q,险种!U:U,"终止",险种!E:E,E:E,险种!V:V,"&lt;=20210506"),1)</f>
        <v>0</v>
      </c>
      <c r="T227" s="65">
        <f>ROUND(SUMIFS(险种!Q:Q,险种!U:U,"有效",险种!E:E,E:E,险种!V:V,"&lt;=20210506"),1)</f>
        <v>0</v>
      </c>
      <c r="U227" s="65">
        <f>ROUND(SUMIFS(险种!Q:Q,险种!E:E,E:E,险种!V:V,"&lt;=20210510")-SUMIFS(险种!Q:Q,险种!U:U,"终止",险种!E:E,E:E,险种!V:V,"&lt;=20210510"),1)</f>
        <v>0</v>
      </c>
      <c r="V227" s="65">
        <f>ROUND(SUMIFS(险种!Q:Q,险种!U:U,"有效",险种!E:E,E:E,险种!V:V,"&lt;=20210510"),1)</f>
        <v>0</v>
      </c>
      <c r="W227" s="65">
        <f t="shared" si="3"/>
        <v>0</v>
      </c>
      <c r="X227" s="68">
        <f>SUMIF(险种!E:E,E:E,险种!Y:Y)</f>
        <v>0</v>
      </c>
      <c r="Y227" s="65">
        <f>MAX(_xlfn.IFS(OR(X:X=1,X:X=2),J:J*0.1,X:X&gt;=3,J:J*0.2,X:X=0,0),IF(J:J&gt;=20000,J:J*0.2,0))</f>
        <v>0</v>
      </c>
      <c r="Z227" s="65" t="str">
        <f>A227&amp;D227&amp;G227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潘集苏磊伙伴5.1-5.10预收价值保费0，首周预收3000P件数0件，预收拟加佣0元。温馨提示，保单需10日（含）前承保，目前还有0价值保费未承保,开单一件即可获得10%加佣</v>
      </c>
      <c r="AA227" s="68">
        <f>SUMIF(险种!E:E,E:E,险种!Z:Z)</f>
        <v>0</v>
      </c>
      <c r="AB227" s="65"/>
      <c r="AC227" s="68">
        <f>SUMIF(险种!E:E,E:E,险种!AA:AA)</f>
        <v>0</v>
      </c>
      <c r="AD227" s="68">
        <f>SUMIFS(险种!AA:AA,险种!U:U,"有效",险种!E:E,E:E)</f>
        <v>0</v>
      </c>
      <c r="AE227" s="68" t="str">
        <f>A227&amp;D227&amp;G227&amp;"目前获得"&amp;$AC$1&amp;AC:AC&amp;"名，获得"&amp;$AD$1&amp;AD:AD&amp;"名"</f>
        <v>潘集苏磊伙伴目前获得龙虾节预收名额0名，获得龙虾节承保名额0名</v>
      </c>
      <c r="AF227" s="68">
        <f>SUMIF(认购返还案!D:D,E:E,认购返还案!E:E)</f>
        <v>0</v>
      </c>
      <c r="AG227" s="68">
        <f>_xlfn.IFS(AND(U:U&gt;=3000,U:U&lt;5000),AF:AF*0.5,U:U&gt;=5000,AF:AF*1,U:U&lt;3000,0)</f>
        <v>0</v>
      </c>
      <c r="AH227" s="68">
        <f>_xlfn.IFS(AND(V:V&gt;=3000,V:V&lt;5000),AF:AF*0.5,V:V&gt;=5000,AF:AF*1,V:V&lt;3000,0)</f>
        <v>0</v>
      </c>
      <c r="AI227" s="68" t="str">
        <f>A:A&amp;D:D&amp;G:G&amp;$AF$1&amp;AF:AF&amp;"元，目前预收价值"&amp;U:U&amp;"，"&amp;$AG$1&amp;AG:AG&amp;"元，"&amp;$AH$1&amp;AH:AH&amp;"元"</f>
        <v>潘集苏磊伙伴冲锋队缴费金额0元，目前预收价值0，预收拟返还0元，承保拟返还0元</v>
      </c>
      <c r="AJ227" s="68">
        <f>SUMIF(保单!R:R,E:E,保单!BE:BE)*IF(AF:AF&gt;1,1,0)</f>
        <v>0</v>
      </c>
      <c r="AK227" s="68">
        <f>SUMIFS(保单!BE:BE,保单!R:R,E:E,保单!BB:BB,"有效")*IF(AF:AF&gt;1,1,0)</f>
        <v>0</v>
      </c>
      <c r="AL227" s="72" t="str">
        <f>A:A&amp;D:D&amp;G:G&amp;"只要在1-10日承保全部保单，即可获得"&amp;$AJ$1&amp;AJ:AJ&amp;"个"</f>
        <v>潘集苏磊伙伴只要在1-10日承保全部保单，即可获得冲锋队按摩仪0个</v>
      </c>
    </row>
    <row r="228" spans="1:38">
      <c r="A228" s="64" t="s">
        <v>42</v>
      </c>
      <c r="B228" s="64" t="s">
        <v>66</v>
      </c>
      <c r="C228" s="64" t="s">
        <v>343</v>
      </c>
      <c r="D228" s="64" t="s">
        <v>467</v>
      </c>
      <c r="E228" s="64">
        <v>5770418522</v>
      </c>
      <c r="F228" s="64" t="s">
        <v>174</v>
      </c>
      <c r="G228" s="64" t="str">
        <f>IF(OR(F:F="高级经理一级",F:F="业务经理一级"),"主管","伙伴")</f>
        <v>伙伴</v>
      </c>
      <c r="H228" s="65">
        <f>SUMIF(险种!E:E,E:E,险种!R:R)-SUMIFS(险种!R:R,险种!U:U,"终止",险种!E:E,E:E)</f>
        <v>0</v>
      </c>
      <c r="I228" s="65">
        <f>SUMIFS(险种!R:R,险种!U:U,"有效",险种!E:E,E:E)</f>
        <v>0</v>
      </c>
      <c r="J228" s="65">
        <f>ROUND(SUMIF(险种!E:E,E:E,险种!Q:Q)-SUMIFS(险种!Q:Q,险种!U:U,"终止",险种!E:E,E:E),1)</f>
        <v>0</v>
      </c>
      <c r="K228" s="68">
        <f>RANK(J228,J:J)</f>
        <v>22</v>
      </c>
      <c r="L228" s="65">
        <f>ROUND(SUMIFS(险种!Q:Q,险种!U:U,"有效",险种!E:E,E:E),1)</f>
        <v>0</v>
      </c>
      <c r="M228" s="68">
        <f>RANK(L228,L:L,)</f>
        <v>14</v>
      </c>
      <c r="N228" s="68">
        <f>SUMIF(险种!E:E,E:E,险种!W:W)</f>
        <v>0</v>
      </c>
      <c r="O228" s="68">
        <f>IF(N:N&gt;=1,1,0)</f>
        <v>0</v>
      </c>
      <c r="P228" s="65">
        <f>ROUND(SUMIFS(险种!Q:Q,险种!V:V,$P$1,险种!E:E,E:E),1)</f>
        <v>0</v>
      </c>
      <c r="Q228" s="68">
        <f>RANK(P228,$P:$P,0)-1</f>
        <v>5</v>
      </c>
      <c r="R228" s="68" t="str">
        <f>A:A&amp;D:D&amp;G:G&amp;"在"&amp;$P$1&amp;"预收"&amp;P:P&amp;"排名中支第"&amp;Q:Q&amp;"位"</f>
        <v>淮南本部张磊伙伴在20210509预收0排名中支第5位</v>
      </c>
      <c r="S228" s="65">
        <f>ROUND(SUMIFS(险种!Q:Q,险种!E:E,E:E,险种!V:V,"&lt;=20210506")-SUMIFS(险种!Q:Q,险种!U:U,"终止",险种!E:E,E:E,险种!V:V,"&lt;=20210506"),1)</f>
        <v>0</v>
      </c>
      <c r="T228" s="65">
        <f>ROUND(SUMIFS(险种!Q:Q,险种!U:U,"有效",险种!E:E,E:E,险种!V:V,"&lt;=20210506"),1)</f>
        <v>0</v>
      </c>
      <c r="U228" s="65">
        <f>ROUND(SUMIFS(险种!Q:Q,险种!E:E,E:E,险种!V:V,"&lt;=20210510")-SUMIFS(险种!Q:Q,险种!U:U,"终止",险种!E:E,E:E,险种!V:V,"&lt;=20210510"),1)</f>
        <v>0</v>
      </c>
      <c r="V228" s="65">
        <f>ROUND(SUMIFS(险种!Q:Q,险种!U:U,"有效",险种!E:E,E:E,险种!V:V,"&lt;=20210510"),1)</f>
        <v>0</v>
      </c>
      <c r="W228" s="65">
        <f t="shared" si="3"/>
        <v>0</v>
      </c>
      <c r="X228" s="68">
        <f>SUMIF(险种!E:E,E:E,险种!Y:Y)</f>
        <v>0</v>
      </c>
      <c r="Y228" s="65">
        <f>MAX(_xlfn.IFS(OR(X:X=1,X:X=2),J:J*0.1,X:X&gt;=3,J:J*0.2,X:X=0,0),IF(J:J&gt;=20000,J:J*0.2,0))</f>
        <v>0</v>
      </c>
      <c r="Z228" s="65" t="str">
        <f>A228&amp;D228&amp;G228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淮南本部张磊伙伴5.1-5.10预收价值保费0，首周预收3000P件数0件，预收拟加佣0元。温馨提示，保单需10日（含）前承保，目前还有0价值保费未承保,开单一件即可获得10%加佣</v>
      </c>
      <c r="AA228" s="68">
        <f>SUMIF(险种!E:E,E:E,险种!Z:Z)</f>
        <v>0</v>
      </c>
      <c r="AB228" s="65"/>
      <c r="AC228" s="68">
        <f>SUMIF(险种!E:E,E:E,险种!AA:AA)</f>
        <v>0</v>
      </c>
      <c r="AD228" s="68">
        <f>SUMIFS(险种!AA:AA,险种!U:U,"有效",险种!E:E,E:E)</f>
        <v>0</v>
      </c>
      <c r="AE228" s="68" t="str">
        <f>A228&amp;D228&amp;G228&amp;"目前获得"&amp;$AC$1&amp;AC:AC&amp;"名，获得"&amp;$AD$1&amp;AD:AD&amp;"名"</f>
        <v>淮南本部张磊伙伴目前获得龙虾节预收名额0名，获得龙虾节承保名额0名</v>
      </c>
      <c r="AF228" s="68">
        <f>SUMIF(认购返还案!D:D,E:E,认购返还案!E:E)</f>
        <v>0</v>
      </c>
      <c r="AG228" s="68">
        <f>_xlfn.IFS(AND(U:U&gt;=3000,U:U&lt;5000),AF:AF*0.5,U:U&gt;=5000,AF:AF*1,U:U&lt;3000,0)</f>
        <v>0</v>
      </c>
      <c r="AH228" s="68">
        <f>_xlfn.IFS(AND(V:V&gt;=3000,V:V&lt;5000),AF:AF*0.5,V:V&gt;=5000,AF:AF*1,V:V&lt;3000,0)</f>
        <v>0</v>
      </c>
      <c r="AI228" s="68" t="str">
        <f>A:A&amp;D:D&amp;G:G&amp;$AF$1&amp;AF:AF&amp;"元，目前预收价值"&amp;U:U&amp;"，"&amp;$AG$1&amp;AG:AG&amp;"元，"&amp;$AH$1&amp;AH:AH&amp;"元"</f>
        <v>淮南本部张磊伙伴冲锋队缴费金额0元，目前预收价值0，预收拟返还0元，承保拟返还0元</v>
      </c>
      <c r="AJ228" s="68">
        <f>SUMIF(保单!R:R,E:E,保单!BE:BE)*IF(AF:AF&gt;1,1,0)</f>
        <v>0</v>
      </c>
      <c r="AK228" s="68">
        <f>SUMIFS(保单!BE:BE,保单!R:R,E:E,保单!BB:BB,"有效")*IF(AF:AF&gt;1,1,0)</f>
        <v>0</v>
      </c>
      <c r="AL228" s="72" t="str">
        <f>A:A&amp;D:D&amp;G:G&amp;"只要在1-10日承保全部保单，即可获得"&amp;$AJ$1&amp;AJ:AJ&amp;"个"</f>
        <v>淮南本部张磊伙伴只要在1-10日承保全部保单，即可获得冲锋队按摩仪0个</v>
      </c>
    </row>
    <row r="229" spans="1:38">
      <c r="A229" s="64" t="s">
        <v>27</v>
      </c>
      <c r="B229" s="64" t="s">
        <v>37</v>
      </c>
      <c r="C229" s="64" t="s">
        <v>38</v>
      </c>
      <c r="D229" s="64" t="s">
        <v>468</v>
      </c>
      <c r="E229" s="64">
        <v>5735066072</v>
      </c>
      <c r="F229" s="64" t="s">
        <v>158</v>
      </c>
      <c r="G229" s="64" t="str">
        <f>IF(OR(F:F="高级经理一级",F:F="业务经理一级"),"主管","伙伴")</f>
        <v>伙伴</v>
      </c>
      <c r="H229" s="65">
        <f>SUMIF(险种!E:E,E:E,险种!R:R)-SUMIFS(险种!R:R,险种!U:U,"终止",险种!E:E,E:E)</f>
        <v>0</v>
      </c>
      <c r="I229" s="65">
        <f>SUMIFS(险种!R:R,险种!U:U,"有效",险种!E:E,E:E)</f>
        <v>0</v>
      </c>
      <c r="J229" s="65">
        <f>ROUND(SUMIF(险种!E:E,E:E,险种!Q:Q)-SUMIFS(险种!Q:Q,险种!U:U,"终止",险种!E:E,E:E),1)</f>
        <v>0</v>
      </c>
      <c r="K229" s="68">
        <f>RANK(J229,J:J)</f>
        <v>22</v>
      </c>
      <c r="L229" s="65">
        <f>ROUND(SUMIFS(险种!Q:Q,险种!U:U,"有效",险种!E:E,E:E),1)</f>
        <v>0</v>
      </c>
      <c r="M229" s="68">
        <f>RANK(L229,L:L,)</f>
        <v>14</v>
      </c>
      <c r="N229" s="68">
        <f>SUMIF(险种!E:E,E:E,险种!W:W)</f>
        <v>0</v>
      </c>
      <c r="O229" s="68">
        <f>IF(N:N&gt;=1,1,0)</f>
        <v>0</v>
      </c>
      <c r="P229" s="65">
        <f>ROUND(SUMIFS(险种!Q:Q,险种!V:V,$P$1,险种!E:E,E:E),1)</f>
        <v>0</v>
      </c>
      <c r="Q229" s="68">
        <f>RANK(P229,$P:$P,0)-1</f>
        <v>5</v>
      </c>
      <c r="R229" s="68" t="str">
        <f>A:A&amp;D:D&amp;G:G&amp;"在"&amp;$P$1&amp;"预收"&amp;P:P&amp;"排名中支第"&amp;Q:Q&amp;"位"</f>
        <v>凤台孙雪萍伙伴在20210509预收0排名中支第5位</v>
      </c>
      <c r="S229" s="65">
        <f>ROUND(SUMIFS(险种!Q:Q,险种!E:E,E:E,险种!V:V,"&lt;=20210506")-SUMIFS(险种!Q:Q,险种!U:U,"终止",险种!E:E,E:E,险种!V:V,"&lt;=20210506"),1)</f>
        <v>0</v>
      </c>
      <c r="T229" s="65">
        <f>ROUND(SUMIFS(险种!Q:Q,险种!U:U,"有效",险种!E:E,E:E,险种!V:V,"&lt;=20210506"),1)</f>
        <v>0</v>
      </c>
      <c r="U229" s="65">
        <f>ROUND(SUMIFS(险种!Q:Q,险种!E:E,E:E,险种!V:V,"&lt;=20210510")-SUMIFS(险种!Q:Q,险种!U:U,"终止",险种!E:E,E:E,险种!V:V,"&lt;=20210510"),1)</f>
        <v>0</v>
      </c>
      <c r="V229" s="65">
        <f>ROUND(SUMIFS(险种!Q:Q,险种!U:U,"有效",险种!E:E,E:E,险种!V:V,"&lt;=20210510"),1)</f>
        <v>0</v>
      </c>
      <c r="W229" s="65">
        <f t="shared" si="3"/>
        <v>0</v>
      </c>
      <c r="X229" s="68">
        <f>SUMIF(险种!E:E,E:E,险种!Y:Y)</f>
        <v>0</v>
      </c>
      <c r="Y229" s="65">
        <f>MAX(_xlfn.IFS(OR(X:X=1,X:X=2),J:J*0.1,X:X&gt;=3,J:J*0.2,X:X=0,0),IF(J:J&gt;=20000,J:J*0.2,0))</f>
        <v>0</v>
      </c>
      <c r="Z229" s="65" t="str">
        <f>A229&amp;D229&amp;G229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凤台孙雪萍伙伴5.1-5.10预收价值保费0，首周预收3000P件数0件，预收拟加佣0元。温馨提示，保单需10日（含）前承保，目前还有0价值保费未承保,开单一件即可获得10%加佣</v>
      </c>
      <c r="AA229" s="68">
        <f>SUMIF(险种!E:E,E:E,险种!Z:Z)</f>
        <v>0</v>
      </c>
      <c r="AB229" s="65"/>
      <c r="AC229" s="68">
        <f>SUMIF(险种!E:E,E:E,险种!AA:AA)</f>
        <v>0</v>
      </c>
      <c r="AD229" s="68">
        <f>SUMIFS(险种!AA:AA,险种!U:U,"有效",险种!E:E,E:E)</f>
        <v>0</v>
      </c>
      <c r="AE229" s="68" t="str">
        <f>A229&amp;D229&amp;G229&amp;"目前获得"&amp;$AC$1&amp;AC:AC&amp;"名，获得"&amp;$AD$1&amp;AD:AD&amp;"名"</f>
        <v>凤台孙雪萍伙伴目前获得龙虾节预收名额0名，获得龙虾节承保名额0名</v>
      </c>
      <c r="AF229" s="68">
        <f>SUMIF(认购返还案!D:D,E:E,认购返还案!E:E)</f>
        <v>0</v>
      </c>
      <c r="AG229" s="68">
        <f>_xlfn.IFS(AND(U:U&gt;=3000,U:U&lt;5000),AF:AF*0.5,U:U&gt;=5000,AF:AF*1,U:U&lt;3000,0)</f>
        <v>0</v>
      </c>
      <c r="AH229" s="68">
        <f>_xlfn.IFS(AND(V:V&gt;=3000,V:V&lt;5000),AF:AF*0.5,V:V&gt;=5000,AF:AF*1,V:V&lt;3000,0)</f>
        <v>0</v>
      </c>
      <c r="AI229" s="68" t="str">
        <f>A:A&amp;D:D&amp;G:G&amp;$AF$1&amp;AF:AF&amp;"元，目前预收价值"&amp;U:U&amp;"，"&amp;$AG$1&amp;AG:AG&amp;"元，"&amp;$AH$1&amp;AH:AH&amp;"元"</f>
        <v>凤台孙雪萍伙伴冲锋队缴费金额0元，目前预收价值0，预收拟返还0元，承保拟返还0元</v>
      </c>
      <c r="AJ229" s="68">
        <f>SUMIF(保单!R:R,E:E,保单!BE:BE)*IF(AF:AF&gt;1,1,0)</f>
        <v>0</v>
      </c>
      <c r="AK229" s="68">
        <f>SUMIFS(保单!BE:BE,保单!R:R,E:E,保单!BB:BB,"有效")*IF(AF:AF&gt;1,1,0)</f>
        <v>0</v>
      </c>
      <c r="AL229" s="72" t="str">
        <f>A:A&amp;D:D&amp;G:G&amp;"只要在1-10日承保全部保单，即可获得"&amp;$AJ$1&amp;AJ:AJ&amp;"个"</f>
        <v>凤台孙雪萍伙伴只要在1-10日承保全部保单，即可获得冲锋队按摩仪0个</v>
      </c>
    </row>
    <row r="230" spans="1:38">
      <c r="A230" s="64" t="s">
        <v>48</v>
      </c>
      <c r="B230" s="64" t="s">
        <v>49</v>
      </c>
      <c r="C230" s="64" t="s">
        <v>82</v>
      </c>
      <c r="D230" s="64" t="s">
        <v>286</v>
      </c>
      <c r="E230" s="64">
        <v>5733766092</v>
      </c>
      <c r="F230" s="64" t="s">
        <v>174</v>
      </c>
      <c r="G230" s="64" t="str">
        <f>IF(OR(F:F="高级经理一级",F:F="业务经理一级"),"主管","伙伴")</f>
        <v>伙伴</v>
      </c>
      <c r="H230" s="65">
        <f>SUMIF(险种!E:E,E:E,险种!R:R)-SUMIFS(险种!R:R,险种!U:U,"终止",险种!E:E,E:E)</f>
        <v>0</v>
      </c>
      <c r="I230" s="65">
        <f>SUMIFS(险种!R:R,险种!U:U,"有效",险种!E:E,E:E)</f>
        <v>0</v>
      </c>
      <c r="J230" s="65">
        <f>ROUND(SUMIF(险种!E:E,E:E,险种!Q:Q)-SUMIFS(险种!Q:Q,险种!U:U,"终止",险种!E:E,E:E),1)</f>
        <v>0</v>
      </c>
      <c r="K230" s="68">
        <f>RANK(J230,J:J)</f>
        <v>22</v>
      </c>
      <c r="L230" s="65">
        <f>ROUND(SUMIFS(险种!Q:Q,险种!U:U,"有效",险种!E:E,E:E),1)</f>
        <v>0</v>
      </c>
      <c r="M230" s="68">
        <f>RANK(L230,L:L,)</f>
        <v>14</v>
      </c>
      <c r="N230" s="68">
        <f>SUMIF(险种!E:E,E:E,险种!W:W)</f>
        <v>0</v>
      </c>
      <c r="O230" s="68">
        <f>IF(N:N&gt;=1,1,0)</f>
        <v>0</v>
      </c>
      <c r="P230" s="65">
        <f>ROUND(SUMIFS(险种!Q:Q,险种!V:V,$P$1,险种!E:E,E:E),1)</f>
        <v>0</v>
      </c>
      <c r="Q230" s="68">
        <f>RANK(P230,$P:$P,0)-1</f>
        <v>5</v>
      </c>
      <c r="R230" s="68" t="str">
        <f>A:A&amp;D:D&amp;G:G&amp;"在"&amp;$P$1&amp;"预收"&amp;P:P&amp;"排名中支第"&amp;Q:Q&amp;"位"</f>
        <v>谢家集刘艳伙伴在20210509预收0排名中支第5位</v>
      </c>
      <c r="S230" s="65">
        <f>ROUND(SUMIFS(险种!Q:Q,险种!E:E,E:E,险种!V:V,"&lt;=20210506")-SUMIFS(险种!Q:Q,险种!U:U,"终止",险种!E:E,E:E,险种!V:V,"&lt;=20210506"),1)</f>
        <v>0</v>
      </c>
      <c r="T230" s="65">
        <f>ROUND(SUMIFS(险种!Q:Q,险种!U:U,"有效",险种!E:E,E:E,险种!V:V,"&lt;=20210506"),1)</f>
        <v>0</v>
      </c>
      <c r="U230" s="65">
        <f>ROUND(SUMIFS(险种!Q:Q,险种!E:E,E:E,险种!V:V,"&lt;=20210510")-SUMIFS(险种!Q:Q,险种!U:U,"终止",险种!E:E,E:E,险种!V:V,"&lt;=20210510"),1)</f>
        <v>0</v>
      </c>
      <c r="V230" s="65">
        <f>ROUND(SUMIFS(险种!Q:Q,险种!U:U,"有效",险种!E:E,E:E,险种!V:V,"&lt;=20210510"),1)</f>
        <v>0</v>
      </c>
      <c r="W230" s="65">
        <f t="shared" si="3"/>
        <v>0</v>
      </c>
      <c r="X230" s="68">
        <f>SUMIF(险种!E:E,E:E,险种!Y:Y)</f>
        <v>0</v>
      </c>
      <c r="Y230" s="65">
        <f>MAX(_xlfn.IFS(OR(X:X=1,X:X=2),J:J*0.1,X:X&gt;=3,J:J*0.2,X:X=0,0),IF(J:J&gt;=20000,J:J*0.2,0))</f>
        <v>0</v>
      </c>
      <c r="Z230" s="65" t="str">
        <f>A230&amp;D230&amp;G230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谢家集刘艳伙伴5.1-5.10预收价值保费0，首周预收3000P件数0件，预收拟加佣0元。温馨提示，保单需10日（含）前承保，目前还有0价值保费未承保,开单一件即可获得10%加佣</v>
      </c>
      <c r="AA230" s="68">
        <f>SUMIF(险种!E:E,E:E,险种!Z:Z)</f>
        <v>0</v>
      </c>
      <c r="AB230" s="65"/>
      <c r="AC230" s="68">
        <f>SUMIF(险种!E:E,E:E,险种!AA:AA)</f>
        <v>0</v>
      </c>
      <c r="AD230" s="68">
        <f>SUMIFS(险种!AA:AA,险种!U:U,"有效",险种!E:E,E:E)</f>
        <v>0</v>
      </c>
      <c r="AE230" s="68" t="str">
        <f>A230&amp;D230&amp;G230&amp;"目前获得"&amp;$AC$1&amp;AC:AC&amp;"名，获得"&amp;$AD$1&amp;AD:AD&amp;"名"</f>
        <v>谢家集刘艳伙伴目前获得龙虾节预收名额0名，获得龙虾节承保名额0名</v>
      </c>
      <c r="AF230" s="68">
        <f>SUMIF(认购返还案!D:D,E:E,认购返还案!E:E)</f>
        <v>0</v>
      </c>
      <c r="AG230" s="68">
        <f>_xlfn.IFS(AND(U:U&gt;=3000,U:U&lt;5000),AF:AF*0.5,U:U&gt;=5000,AF:AF*1,U:U&lt;3000,0)</f>
        <v>0</v>
      </c>
      <c r="AH230" s="68">
        <f>_xlfn.IFS(AND(V:V&gt;=3000,V:V&lt;5000),AF:AF*0.5,V:V&gt;=5000,AF:AF*1,V:V&lt;3000,0)</f>
        <v>0</v>
      </c>
      <c r="AI230" s="68" t="str">
        <f>A:A&amp;D:D&amp;G:G&amp;$AF$1&amp;AF:AF&amp;"元，目前预收价值"&amp;U:U&amp;"，"&amp;$AG$1&amp;AG:AG&amp;"元，"&amp;$AH$1&amp;AH:AH&amp;"元"</f>
        <v>谢家集刘艳伙伴冲锋队缴费金额0元，目前预收价值0，预收拟返还0元，承保拟返还0元</v>
      </c>
      <c r="AJ230" s="68">
        <f>SUMIF(保单!R:R,E:E,保单!BE:BE)*IF(AF:AF&gt;1,1,0)</f>
        <v>0</v>
      </c>
      <c r="AK230" s="68">
        <f>SUMIFS(保单!BE:BE,保单!R:R,E:E,保单!BB:BB,"有效")*IF(AF:AF&gt;1,1,0)</f>
        <v>0</v>
      </c>
      <c r="AL230" s="72" t="str">
        <f>A:A&amp;D:D&amp;G:G&amp;"只要在1-10日承保全部保单，即可获得"&amp;$AJ$1&amp;AJ:AJ&amp;"个"</f>
        <v>谢家集刘艳伙伴只要在1-10日承保全部保单，即可获得冲锋队按摩仪0个</v>
      </c>
    </row>
    <row r="231" spans="1:38">
      <c r="A231" s="64" t="s">
        <v>42</v>
      </c>
      <c r="B231" s="64" t="s">
        <v>66</v>
      </c>
      <c r="C231" s="64" t="s">
        <v>67</v>
      </c>
      <c r="D231" s="64" t="s">
        <v>469</v>
      </c>
      <c r="E231" s="64">
        <v>5722364542</v>
      </c>
      <c r="F231" s="64" t="s">
        <v>174</v>
      </c>
      <c r="G231" s="64" t="str">
        <f>IF(OR(F:F="高级经理一级",F:F="业务经理一级"),"主管","伙伴")</f>
        <v>伙伴</v>
      </c>
      <c r="H231" s="65">
        <f>SUMIF(险种!E:E,E:E,险种!R:R)-SUMIFS(险种!R:R,险种!U:U,"终止",险种!E:E,E:E)</f>
        <v>0</v>
      </c>
      <c r="I231" s="65">
        <f>SUMIFS(险种!R:R,险种!U:U,"有效",险种!E:E,E:E)</f>
        <v>0</v>
      </c>
      <c r="J231" s="65">
        <f>ROUND(SUMIF(险种!E:E,E:E,险种!Q:Q)-SUMIFS(险种!Q:Q,险种!U:U,"终止",险种!E:E,E:E),1)</f>
        <v>0</v>
      </c>
      <c r="K231" s="68">
        <f>RANK(J231,J:J)</f>
        <v>22</v>
      </c>
      <c r="L231" s="65">
        <f>ROUND(SUMIFS(险种!Q:Q,险种!U:U,"有效",险种!E:E,E:E),1)</f>
        <v>0</v>
      </c>
      <c r="M231" s="68">
        <f>RANK(L231,L:L,)</f>
        <v>14</v>
      </c>
      <c r="N231" s="68">
        <f>SUMIF(险种!E:E,E:E,险种!W:W)</f>
        <v>0</v>
      </c>
      <c r="O231" s="68">
        <f>IF(N:N&gt;=1,1,0)</f>
        <v>0</v>
      </c>
      <c r="P231" s="65">
        <f>ROUND(SUMIFS(险种!Q:Q,险种!V:V,$P$1,险种!E:E,E:E),1)</f>
        <v>0</v>
      </c>
      <c r="Q231" s="68">
        <f>RANK(P231,$P:$P,0)-1</f>
        <v>5</v>
      </c>
      <c r="R231" s="68" t="str">
        <f>A:A&amp;D:D&amp;G:G&amp;"在"&amp;$P$1&amp;"预收"&amp;P:P&amp;"排名中支第"&amp;Q:Q&amp;"位"</f>
        <v>淮南本部李晓寒伙伴在20210509预收0排名中支第5位</v>
      </c>
      <c r="S231" s="65">
        <f>ROUND(SUMIFS(险种!Q:Q,险种!E:E,E:E,险种!V:V,"&lt;=20210506")-SUMIFS(险种!Q:Q,险种!U:U,"终止",险种!E:E,E:E,险种!V:V,"&lt;=20210506"),1)</f>
        <v>0</v>
      </c>
      <c r="T231" s="65">
        <f>ROUND(SUMIFS(险种!Q:Q,险种!U:U,"有效",险种!E:E,E:E,险种!V:V,"&lt;=20210506"),1)</f>
        <v>0</v>
      </c>
      <c r="U231" s="65">
        <f>ROUND(SUMIFS(险种!Q:Q,险种!E:E,E:E,险种!V:V,"&lt;=20210510")-SUMIFS(险种!Q:Q,险种!U:U,"终止",险种!E:E,E:E,险种!V:V,"&lt;=20210510"),1)</f>
        <v>0</v>
      </c>
      <c r="V231" s="65">
        <f>ROUND(SUMIFS(险种!Q:Q,险种!U:U,"有效",险种!E:E,E:E,险种!V:V,"&lt;=20210510"),1)</f>
        <v>0</v>
      </c>
      <c r="W231" s="65">
        <f t="shared" si="3"/>
        <v>0</v>
      </c>
      <c r="X231" s="68">
        <f>SUMIF(险种!E:E,E:E,险种!Y:Y)</f>
        <v>0</v>
      </c>
      <c r="Y231" s="65">
        <f>MAX(_xlfn.IFS(OR(X:X=1,X:X=2),J:J*0.1,X:X&gt;=3,J:J*0.2,X:X=0,0),IF(J:J&gt;=20000,J:J*0.2,0))</f>
        <v>0</v>
      </c>
      <c r="Z231" s="65" t="str">
        <f>A231&amp;D231&amp;G231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淮南本部李晓寒伙伴5.1-5.10预收价值保费0，首周预收3000P件数0件，预收拟加佣0元。温馨提示，保单需10日（含）前承保，目前还有0价值保费未承保,开单一件即可获得10%加佣</v>
      </c>
      <c r="AA231" s="68">
        <f>SUMIF(险种!E:E,E:E,险种!Z:Z)</f>
        <v>0</v>
      </c>
      <c r="AB231" s="65"/>
      <c r="AC231" s="68">
        <f>SUMIF(险种!E:E,E:E,险种!AA:AA)</f>
        <v>0</v>
      </c>
      <c r="AD231" s="68">
        <f>SUMIFS(险种!AA:AA,险种!U:U,"有效",险种!E:E,E:E)</f>
        <v>0</v>
      </c>
      <c r="AE231" s="68" t="str">
        <f>A231&amp;D231&amp;G231&amp;"目前获得"&amp;$AC$1&amp;AC:AC&amp;"名，获得"&amp;$AD$1&amp;AD:AD&amp;"名"</f>
        <v>淮南本部李晓寒伙伴目前获得龙虾节预收名额0名，获得龙虾节承保名额0名</v>
      </c>
      <c r="AF231" s="68">
        <f>SUMIF(认购返还案!D:D,E:E,认购返还案!E:E)</f>
        <v>0</v>
      </c>
      <c r="AG231" s="68">
        <f>_xlfn.IFS(AND(U:U&gt;=3000,U:U&lt;5000),AF:AF*0.5,U:U&gt;=5000,AF:AF*1,U:U&lt;3000,0)</f>
        <v>0</v>
      </c>
      <c r="AH231" s="68">
        <f>_xlfn.IFS(AND(V:V&gt;=3000,V:V&lt;5000),AF:AF*0.5,V:V&gt;=5000,AF:AF*1,V:V&lt;3000,0)</f>
        <v>0</v>
      </c>
      <c r="AI231" s="68" t="str">
        <f>A:A&amp;D:D&amp;G:G&amp;$AF$1&amp;AF:AF&amp;"元，目前预收价值"&amp;U:U&amp;"，"&amp;$AG$1&amp;AG:AG&amp;"元，"&amp;$AH$1&amp;AH:AH&amp;"元"</f>
        <v>淮南本部李晓寒伙伴冲锋队缴费金额0元，目前预收价值0，预收拟返还0元，承保拟返还0元</v>
      </c>
      <c r="AJ231" s="68">
        <f>SUMIF(保单!R:R,E:E,保单!BE:BE)*IF(AF:AF&gt;1,1,0)</f>
        <v>0</v>
      </c>
      <c r="AK231" s="68">
        <f>SUMIFS(保单!BE:BE,保单!R:R,E:E,保单!BB:BB,"有效")*IF(AF:AF&gt;1,1,0)</f>
        <v>0</v>
      </c>
      <c r="AL231" s="72" t="str">
        <f>A:A&amp;D:D&amp;G:G&amp;"只要在1-10日承保全部保单，即可获得"&amp;$AJ$1&amp;AJ:AJ&amp;"个"</f>
        <v>淮南本部李晓寒伙伴只要在1-10日承保全部保单，即可获得冲锋队按摩仪0个</v>
      </c>
    </row>
    <row r="232" spans="1:38">
      <c r="A232" s="64" t="s">
        <v>42</v>
      </c>
      <c r="B232" s="64" t="s">
        <v>62</v>
      </c>
      <c r="C232" s="64" t="s">
        <v>92</v>
      </c>
      <c r="D232" s="64" t="s">
        <v>222</v>
      </c>
      <c r="E232" s="64">
        <v>5722340032</v>
      </c>
      <c r="F232" s="64" t="s">
        <v>165</v>
      </c>
      <c r="G232" s="64" t="str">
        <f>IF(OR(F:F="高级经理一级",F:F="业务经理一级"),"主管","伙伴")</f>
        <v>主管</v>
      </c>
      <c r="H232" s="65">
        <f>SUMIF(险种!E:E,E:E,险种!R:R)-SUMIFS(险种!R:R,险种!U:U,"终止",险种!E:E,E:E)</f>
        <v>0</v>
      </c>
      <c r="I232" s="65">
        <f>SUMIFS(险种!R:R,险种!U:U,"有效",险种!E:E,E:E)</f>
        <v>0</v>
      </c>
      <c r="J232" s="65">
        <f>ROUND(SUMIF(险种!E:E,E:E,险种!Q:Q)-SUMIFS(险种!Q:Q,险种!U:U,"终止",险种!E:E,E:E),1)</f>
        <v>0</v>
      </c>
      <c r="K232" s="68">
        <f>RANK(J232,J:J)</f>
        <v>22</v>
      </c>
      <c r="L232" s="65">
        <f>ROUND(SUMIFS(险种!Q:Q,险种!U:U,"有效",险种!E:E,E:E),1)</f>
        <v>0</v>
      </c>
      <c r="M232" s="68">
        <f>RANK(L232,L:L,)</f>
        <v>14</v>
      </c>
      <c r="N232" s="68">
        <f>SUMIF(险种!E:E,E:E,险种!W:W)</f>
        <v>0</v>
      </c>
      <c r="O232" s="68">
        <f>IF(N:N&gt;=1,1,0)</f>
        <v>0</v>
      </c>
      <c r="P232" s="65">
        <f>ROUND(SUMIFS(险种!Q:Q,险种!V:V,$P$1,险种!E:E,E:E),1)</f>
        <v>0</v>
      </c>
      <c r="Q232" s="68">
        <f>RANK(P232,$P:$P,0)-1</f>
        <v>5</v>
      </c>
      <c r="R232" s="68" t="str">
        <f>A:A&amp;D:D&amp;G:G&amp;"在"&amp;$P$1&amp;"预收"&amp;P:P&amp;"排名中支第"&amp;Q:Q&amp;"位"</f>
        <v>淮南本部童会主管在20210509预收0排名中支第5位</v>
      </c>
      <c r="S232" s="65">
        <f>ROUND(SUMIFS(险种!Q:Q,险种!E:E,E:E,险种!V:V,"&lt;=20210506")-SUMIFS(险种!Q:Q,险种!U:U,"终止",险种!E:E,E:E,险种!V:V,"&lt;=20210506"),1)</f>
        <v>0</v>
      </c>
      <c r="T232" s="65">
        <f>ROUND(SUMIFS(险种!Q:Q,险种!U:U,"有效",险种!E:E,E:E,险种!V:V,"&lt;=20210506"),1)</f>
        <v>0</v>
      </c>
      <c r="U232" s="65">
        <f>ROUND(SUMIFS(险种!Q:Q,险种!E:E,E:E,险种!V:V,"&lt;=20210510")-SUMIFS(险种!Q:Q,险种!U:U,"终止",险种!E:E,E:E,险种!V:V,"&lt;=20210510"),1)</f>
        <v>0</v>
      </c>
      <c r="V232" s="65">
        <f>ROUND(SUMIFS(险种!Q:Q,险种!U:U,"有效",险种!E:E,E:E,险种!V:V,"&lt;=20210510"),1)</f>
        <v>0</v>
      </c>
      <c r="W232" s="65">
        <f t="shared" si="3"/>
        <v>0</v>
      </c>
      <c r="X232" s="68">
        <f>SUMIF(险种!E:E,E:E,险种!Y:Y)</f>
        <v>0</v>
      </c>
      <c r="Y232" s="65">
        <f>MAX(_xlfn.IFS(OR(X:X=1,X:X=2),J:J*0.1,X:X&gt;=3,J:J*0.2,X:X=0,0),IF(J:J&gt;=20000,J:J*0.2,0))</f>
        <v>0</v>
      </c>
      <c r="Z232" s="65" t="str">
        <f>A232&amp;D232&amp;G232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淮南本部童会主管5.1-5.10预收价值保费0，首周预收3000P件数0件，预收拟加佣0元。温馨提示，保单需10日（含）前承保，目前还有0价值保费未承保,开单一件即可获得10%加佣</v>
      </c>
      <c r="AA232" s="68">
        <f>SUMIF(险种!E:E,E:E,险种!Z:Z)</f>
        <v>0</v>
      </c>
      <c r="AB232" s="65"/>
      <c r="AC232" s="68">
        <f>SUMIF(险种!E:E,E:E,险种!AA:AA)</f>
        <v>0</v>
      </c>
      <c r="AD232" s="68">
        <f>SUMIFS(险种!AA:AA,险种!U:U,"有效",险种!E:E,E:E)</f>
        <v>0</v>
      </c>
      <c r="AE232" s="68" t="str">
        <f>A232&amp;D232&amp;G232&amp;"目前获得"&amp;$AC$1&amp;AC:AC&amp;"名，获得"&amp;$AD$1&amp;AD:AD&amp;"名"</f>
        <v>淮南本部童会主管目前获得龙虾节预收名额0名，获得龙虾节承保名额0名</v>
      </c>
      <c r="AF232" s="68">
        <f>SUMIF(认购返还案!D:D,E:E,认购返还案!E:E)</f>
        <v>200</v>
      </c>
      <c r="AG232" s="68">
        <f>_xlfn.IFS(AND(U:U&gt;=3000,U:U&lt;5000),AF:AF*0.5,U:U&gt;=5000,AF:AF*1,U:U&lt;3000,0)</f>
        <v>0</v>
      </c>
      <c r="AH232" s="68">
        <f>_xlfn.IFS(AND(V:V&gt;=3000,V:V&lt;5000),AF:AF*0.5,V:V&gt;=5000,AF:AF*1,V:V&lt;3000,0)</f>
        <v>0</v>
      </c>
      <c r="AI232" s="68" t="str">
        <f>A:A&amp;D:D&amp;G:G&amp;$AF$1&amp;AF:AF&amp;"元，目前预收价值"&amp;U:U&amp;"，"&amp;$AG$1&amp;AG:AG&amp;"元，"&amp;$AH$1&amp;AH:AH&amp;"元"</f>
        <v>淮南本部童会主管冲锋队缴费金额200元，目前预收价值0，预收拟返还0元，承保拟返还0元</v>
      </c>
      <c r="AJ232" s="68">
        <f>SUMIF(保单!R:R,E:E,保单!BE:BE)*IF(AF:AF&gt;1,1,0)</f>
        <v>0</v>
      </c>
      <c r="AK232" s="68">
        <f>SUMIFS(保单!BE:BE,保单!R:R,E:E,保单!BB:BB,"有效")*IF(AF:AF&gt;1,1,0)</f>
        <v>0</v>
      </c>
      <c r="AL232" s="72" t="str">
        <f>A:A&amp;D:D&amp;G:G&amp;"只要在1-10日承保全部保单，即可获得"&amp;$AJ$1&amp;AJ:AJ&amp;"个"</f>
        <v>淮南本部童会主管只要在1-10日承保全部保单，即可获得冲锋队按摩仪0个</v>
      </c>
    </row>
    <row r="233" spans="1:38">
      <c r="A233" s="64" t="s">
        <v>456</v>
      </c>
      <c r="B233" s="64" t="s">
        <v>457</v>
      </c>
      <c r="C233" s="64" t="s">
        <v>458</v>
      </c>
      <c r="D233" s="64" t="s">
        <v>470</v>
      </c>
      <c r="E233" s="64">
        <v>5721728122</v>
      </c>
      <c r="F233" s="64" t="s">
        <v>174</v>
      </c>
      <c r="G233" s="64" t="str">
        <f>IF(OR(F:F="高级经理一级",F:F="业务经理一级"),"主管","伙伴")</f>
        <v>伙伴</v>
      </c>
      <c r="H233" s="65">
        <f>SUMIF(险种!E:E,E:E,险种!R:R)-SUMIFS(险种!R:R,险种!U:U,"终止",险种!E:E,E:E)</f>
        <v>0</v>
      </c>
      <c r="I233" s="65">
        <f>SUMIFS(险种!R:R,险种!U:U,"有效",险种!E:E,E:E)</f>
        <v>0</v>
      </c>
      <c r="J233" s="65">
        <f>ROUND(SUMIF(险种!E:E,E:E,险种!Q:Q)-SUMIFS(险种!Q:Q,险种!U:U,"终止",险种!E:E,E:E),1)</f>
        <v>0</v>
      </c>
      <c r="K233" s="68">
        <f>RANK(J233,J:J)</f>
        <v>22</v>
      </c>
      <c r="L233" s="65">
        <f>ROUND(SUMIFS(险种!Q:Q,险种!U:U,"有效",险种!E:E,E:E),1)</f>
        <v>0</v>
      </c>
      <c r="M233" s="68">
        <f>RANK(L233,L:L,)</f>
        <v>14</v>
      </c>
      <c r="N233" s="68">
        <f>SUMIF(险种!E:E,E:E,险种!W:W)</f>
        <v>0</v>
      </c>
      <c r="O233" s="68">
        <f>IF(N:N&gt;=1,1,0)</f>
        <v>0</v>
      </c>
      <c r="P233" s="65">
        <f>ROUND(SUMIFS(险种!Q:Q,险种!V:V,$P$1,险种!E:E,E:E),1)</f>
        <v>0</v>
      </c>
      <c r="Q233" s="68">
        <f>RANK(P233,$P:$P,0)-1</f>
        <v>5</v>
      </c>
      <c r="R233" s="68" t="str">
        <f>A:A&amp;D:D&amp;G:G&amp;"在"&amp;$P$1&amp;"预收"&amp;P:P&amp;"排名中支第"&amp;Q:Q&amp;"位"</f>
        <v>潘集付双勤伙伴在20210509预收0排名中支第5位</v>
      </c>
      <c r="S233" s="65">
        <f>ROUND(SUMIFS(险种!Q:Q,险种!E:E,E:E,险种!V:V,"&lt;=20210506")-SUMIFS(险种!Q:Q,险种!U:U,"终止",险种!E:E,E:E,险种!V:V,"&lt;=20210506"),1)</f>
        <v>0</v>
      </c>
      <c r="T233" s="65">
        <f>ROUND(SUMIFS(险种!Q:Q,险种!U:U,"有效",险种!E:E,E:E,险种!V:V,"&lt;=20210506"),1)</f>
        <v>0</v>
      </c>
      <c r="U233" s="65">
        <f>ROUND(SUMIFS(险种!Q:Q,险种!E:E,E:E,险种!V:V,"&lt;=20210510")-SUMIFS(险种!Q:Q,险种!U:U,"终止",险种!E:E,E:E,险种!V:V,"&lt;=20210510"),1)</f>
        <v>0</v>
      </c>
      <c r="V233" s="65">
        <f>ROUND(SUMIFS(险种!Q:Q,险种!U:U,"有效",险种!E:E,E:E,险种!V:V,"&lt;=20210510"),1)</f>
        <v>0</v>
      </c>
      <c r="W233" s="65">
        <f t="shared" si="3"/>
        <v>0</v>
      </c>
      <c r="X233" s="68">
        <f>SUMIF(险种!E:E,E:E,险种!Y:Y)</f>
        <v>0</v>
      </c>
      <c r="Y233" s="65">
        <f>MAX(_xlfn.IFS(OR(X:X=1,X:X=2),J:J*0.1,X:X&gt;=3,J:J*0.2,X:X=0,0),IF(J:J&gt;=20000,J:J*0.2,0))</f>
        <v>0</v>
      </c>
      <c r="Z233" s="65" t="str">
        <f>A233&amp;D233&amp;G233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潘集付双勤伙伴5.1-5.10预收价值保费0，首周预收3000P件数0件，预收拟加佣0元。温馨提示，保单需10日（含）前承保，目前还有0价值保费未承保,开单一件即可获得10%加佣</v>
      </c>
      <c r="AA233" s="68">
        <f>SUMIF(险种!E:E,E:E,险种!Z:Z)</f>
        <v>0</v>
      </c>
      <c r="AB233" s="65"/>
      <c r="AC233" s="68">
        <f>SUMIF(险种!E:E,E:E,险种!AA:AA)</f>
        <v>0</v>
      </c>
      <c r="AD233" s="68">
        <f>SUMIFS(险种!AA:AA,险种!U:U,"有效",险种!E:E,E:E)</f>
        <v>0</v>
      </c>
      <c r="AE233" s="68" t="str">
        <f>A233&amp;D233&amp;G233&amp;"目前获得"&amp;$AC$1&amp;AC:AC&amp;"名，获得"&amp;$AD$1&amp;AD:AD&amp;"名"</f>
        <v>潘集付双勤伙伴目前获得龙虾节预收名额0名，获得龙虾节承保名额0名</v>
      </c>
      <c r="AF233" s="68">
        <f>SUMIF(认购返还案!D:D,E:E,认购返还案!E:E)</f>
        <v>0</v>
      </c>
      <c r="AG233" s="68">
        <f>_xlfn.IFS(AND(U:U&gt;=3000,U:U&lt;5000),AF:AF*0.5,U:U&gt;=5000,AF:AF*1,U:U&lt;3000,0)</f>
        <v>0</v>
      </c>
      <c r="AH233" s="68">
        <f>_xlfn.IFS(AND(V:V&gt;=3000,V:V&lt;5000),AF:AF*0.5,V:V&gt;=5000,AF:AF*1,V:V&lt;3000,0)</f>
        <v>0</v>
      </c>
      <c r="AI233" s="68" t="str">
        <f>A:A&amp;D:D&amp;G:G&amp;$AF$1&amp;AF:AF&amp;"元，目前预收价值"&amp;U:U&amp;"，"&amp;$AG$1&amp;AG:AG&amp;"元，"&amp;$AH$1&amp;AH:AH&amp;"元"</f>
        <v>潘集付双勤伙伴冲锋队缴费金额0元，目前预收价值0，预收拟返还0元，承保拟返还0元</v>
      </c>
      <c r="AJ233" s="68">
        <f>SUMIF(保单!R:R,E:E,保单!BE:BE)*IF(AF:AF&gt;1,1,0)</f>
        <v>0</v>
      </c>
      <c r="AK233" s="68">
        <f>SUMIFS(保单!BE:BE,保单!R:R,E:E,保单!BB:BB,"有效")*IF(AF:AF&gt;1,1,0)</f>
        <v>0</v>
      </c>
      <c r="AL233" s="72" t="str">
        <f>A:A&amp;D:D&amp;G:G&amp;"只要在1-10日承保全部保单，即可获得"&amp;$AJ$1&amp;AJ:AJ&amp;"个"</f>
        <v>潘集付双勤伙伴只要在1-10日承保全部保单，即可获得冲锋队按摩仪0个</v>
      </c>
    </row>
    <row r="234" spans="1:38">
      <c r="A234" s="64" t="s">
        <v>42</v>
      </c>
      <c r="B234" s="64" t="s">
        <v>66</v>
      </c>
      <c r="C234" s="64" t="s">
        <v>343</v>
      </c>
      <c r="D234" s="64" t="s">
        <v>471</v>
      </c>
      <c r="E234" s="64">
        <v>5705299812</v>
      </c>
      <c r="F234" s="64" t="s">
        <v>174</v>
      </c>
      <c r="G234" s="64" t="str">
        <f>IF(OR(F:F="高级经理一级",F:F="业务经理一级"),"主管","伙伴")</f>
        <v>伙伴</v>
      </c>
      <c r="H234" s="65">
        <f>SUMIF(险种!E:E,E:E,险种!R:R)-SUMIFS(险种!R:R,险种!U:U,"终止",险种!E:E,E:E)</f>
        <v>0</v>
      </c>
      <c r="I234" s="65">
        <f>SUMIFS(险种!R:R,险种!U:U,"有效",险种!E:E,E:E)</f>
        <v>0</v>
      </c>
      <c r="J234" s="65">
        <f>ROUND(SUMIF(险种!E:E,E:E,险种!Q:Q)-SUMIFS(险种!Q:Q,险种!U:U,"终止",险种!E:E,E:E),1)</f>
        <v>0</v>
      </c>
      <c r="K234" s="68">
        <f>RANK(J234,J:J)</f>
        <v>22</v>
      </c>
      <c r="L234" s="65">
        <f>ROUND(SUMIFS(险种!Q:Q,险种!U:U,"有效",险种!E:E,E:E),1)</f>
        <v>0</v>
      </c>
      <c r="M234" s="68">
        <f>RANK(L234,L:L,)</f>
        <v>14</v>
      </c>
      <c r="N234" s="68">
        <f>SUMIF(险种!E:E,E:E,险种!W:W)</f>
        <v>0</v>
      </c>
      <c r="O234" s="68">
        <f>IF(N:N&gt;=1,1,0)</f>
        <v>0</v>
      </c>
      <c r="P234" s="65">
        <f>ROUND(SUMIFS(险种!Q:Q,险种!V:V,$P$1,险种!E:E,E:E),1)</f>
        <v>0</v>
      </c>
      <c r="Q234" s="68">
        <f>RANK(P234,$P:$P,0)-1</f>
        <v>5</v>
      </c>
      <c r="R234" s="68" t="str">
        <f>A:A&amp;D:D&amp;G:G&amp;"在"&amp;$P$1&amp;"预收"&amp;P:P&amp;"排名中支第"&amp;Q:Q&amp;"位"</f>
        <v>淮南本部王旭旭伙伴在20210509预收0排名中支第5位</v>
      </c>
      <c r="S234" s="65">
        <f>ROUND(SUMIFS(险种!Q:Q,险种!E:E,E:E,险种!V:V,"&lt;=20210506")-SUMIFS(险种!Q:Q,险种!U:U,"终止",险种!E:E,E:E,险种!V:V,"&lt;=20210506"),1)</f>
        <v>0</v>
      </c>
      <c r="T234" s="65">
        <f>ROUND(SUMIFS(险种!Q:Q,险种!U:U,"有效",险种!E:E,E:E,险种!V:V,"&lt;=20210506"),1)</f>
        <v>0</v>
      </c>
      <c r="U234" s="65">
        <f>ROUND(SUMIFS(险种!Q:Q,险种!E:E,E:E,险种!V:V,"&lt;=20210510")-SUMIFS(险种!Q:Q,险种!U:U,"终止",险种!E:E,E:E,险种!V:V,"&lt;=20210510"),1)</f>
        <v>0</v>
      </c>
      <c r="V234" s="65">
        <f>ROUND(SUMIFS(险种!Q:Q,险种!U:U,"有效",险种!E:E,E:E,险种!V:V,"&lt;=20210510"),1)</f>
        <v>0</v>
      </c>
      <c r="W234" s="65">
        <f t="shared" si="3"/>
        <v>0</v>
      </c>
      <c r="X234" s="68">
        <f>SUMIF(险种!E:E,E:E,险种!Y:Y)</f>
        <v>0</v>
      </c>
      <c r="Y234" s="65">
        <f>MAX(_xlfn.IFS(OR(X:X=1,X:X=2),J:J*0.1,X:X&gt;=3,J:J*0.2,X:X=0,0),IF(J:J&gt;=20000,J:J*0.2,0))</f>
        <v>0</v>
      </c>
      <c r="Z234" s="65" t="str">
        <f>A234&amp;D234&amp;G234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淮南本部王旭旭伙伴5.1-5.10预收价值保费0，首周预收3000P件数0件，预收拟加佣0元。温馨提示，保单需10日（含）前承保，目前还有0价值保费未承保,开单一件即可获得10%加佣</v>
      </c>
      <c r="AA234" s="68">
        <f>SUMIF(险种!E:E,E:E,险种!Z:Z)</f>
        <v>0</v>
      </c>
      <c r="AB234" s="65"/>
      <c r="AC234" s="68">
        <f>SUMIF(险种!E:E,E:E,险种!AA:AA)</f>
        <v>0</v>
      </c>
      <c r="AD234" s="68">
        <f>SUMIFS(险种!AA:AA,险种!U:U,"有效",险种!E:E,E:E)</f>
        <v>0</v>
      </c>
      <c r="AE234" s="68" t="str">
        <f>A234&amp;D234&amp;G234&amp;"目前获得"&amp;$AC$1&amp;AC:AC&amp;"名，获得"&amp;$AD$1&amp;AD:AD&amp;"名"</f>
        <v>淮南本部王旭旭伙伴目前获得龙虾节预收名额0名，获得龙虾节承保名额0名</v>
      </c>
      <c r="AF234" s="68">
        <f>SUMIF(认购返还案!D:D,E:E,认购返还案!E:E)</f>
        <v>0</v>
      </c>
      <c r="AG234" s="68">
        <f>_xlfn.IFS(AND(U:U&gt;=3000,U:U&lt;5000),AF:AF*0.5,U:U&gt;=5000,AF:AF*1,U:U&lt;3000,0)</f>
        <v>0</v>
      </c>
      <c r="AH234" s="68">
        <f>_xlfn.IFS(AND(V:V&gt;=3000,V:V&lt;5000),AF:AF*0.5,V:V&gt;=5000,AF:AF*1,V:V&lt;3000,0)</f>
        <v>0</v>
      </c>
      <c r="AI234" s="68" t="str">
        <f>A:A&amp;D:D&amp;G:G&amp;$AF$1&amp;AF:AF&amp;"元，目前预收价值"&amp;U:U&amp;"，"&amp;$AG$1&amp;AG:AG&amp;"元，"&amp;$AH$1&amp;AH:AH&amp;"元"</f>
        <v>淮南本部王旭旭伙伴冲锋队缴费金额0元，目前预收价值0，预收拟返还0元，承保拟返还0元</v>
      </c>
      <c r="AJ234" s="68">
        <f>SUMIF(保单!R:R,E:E,保单!BE:BE)*IF(AF:AF&gt;1,1,0)</f>
        <v>0</v>
      </c>
      <c r="AK234" s="68">
        <f>SUMIFS(保单!BE:BE,保单!R:R,E:E,保单!BB:BB,"有效")*IF(AF:AF&gt;1,1,0)</f>
        <v>0</v>
      </c>
      <c r="AL234" s="72" t="str">
        <f>A:A&amp;D:D&amp;G:G&amp;"只要在1-10日承保全部保单，即可获得"&amp;$AJ$1&amp;AJ:AJ&amp;"个"</f>
        <v>淮南本部王旭旭伙伴只要在1-10日承保全部保单，即可获得冲锋队按摩仪0个</v>
      </c>
    </row>
    <row r="235" spans="1:38">
      <c r="A235" s="64" t="s">
        <v>27</v>
      </c>
      <c r="B235" s="64" t="s">
        <v>37</v>
      </c>
      <c r="C235" s="64" t="s">
        <v>38</v>
      </c>
      <c r="D235" s="64" t="s">
        <v>472</v>
      </c>
      <c r="E235" s="64">
        <v>5704433112</v>
      </c>
      <c r="F235" s="64" t="s">
        <v>174</v>
      </c>
      <c r="G235" s="64" t="str">
        <f>IF(OR(F:F="高级经理一级",F:F="业务经理一级"),"主管","伙伴")</f>
        <v>伙伴</v>
      </c>
      <c r="H235" s="65">
        <f>SUMIF(险种!E:E,E:E,险种!R:R)-SUMIFS(险种!R:R,险种!U:U,"终止",险种!E:E,E:E)</f>
        <v>0</v>
      </c>
      <c r="I235" s="65">
        <f>SUMIFS(险种!R:R,险种!U:U,"有效",险种!E:E,E:E)</f>
        <v>0</v>
      </c>
      <c r="J235" s="65">
        <f>ROUND(SUMIF(险种!E:E,E:E,险种!Q:Q)-SUMIFS(险种!Q:Q,险种!U:U,"终止",险种!E:E,E:E),1)</f>
        <v>0</v>
      </c>
      <c r="K235" s="68">
        <f>RANK(J235,J:J)</f>
        <v>22</v>
      </c>
      <c r="L235" s="65">
        <f>ROUND(SUMIFS(险种!Q:Q,险种!U:U,"有效",险种!E:E,E:E),1)</f>
        <v>0</v>
      </c>
      <c r="M235" s="68">
        <f>RANK(L235,L:L,)</f>
        <v>14</v>
      </c>
      <c r="N235" s="68">
        <f>SUMIF(险种!E:E,E:E,险种!W:W)</f>
        <v>0</v>
      </c>
      <c r="O235" s="68">
        <f>IF(N:N&gt;=1,1,0)</f>
        <v>0</v>
      </c>
      <c r="P235" s="65">
        <f>ROUND(SUMIFS(险种!Q:Q,险种!V:V,$P$1,险种!E:E,E:E),1)</f>
        <v>0</v>
      </c>
      <c r="Q235" s="68">
        <f>RANK(P235,$P:$P,0)-1</f>
        <v>5</v>
      </c>
      <c r="R235" s="68" t="str">
        <f>A:A&amp;D:D&amp;G:G&amp;"在"&amp;$P$1&amp;"预收"&amp;P:P&amp;"排名中支第"&amp;Q:Q&amp;"位"</f>
        <v>凤台胡婷伙伴在20210509预收0排名中支第5位</v>
      </c>
      <c r="S235" s="65">
        <f>ROUND(SUMIFS(险种!Q:Q,险种!E:E,E:E,险种!V:V,"&lt;=20210506")-SUMIFS(险种!Q:Q,险种!U:U,"终止",险种!E:E,E:E,险种!V:V,"&lt;=20210506"),1)</f>
        <v>0</v>
      </c>
      <c r="T235" s="65">
        <f>ROUND(SUMIFS(险种!Q:Q,险种!U:U,"有效",险种!E:E,E:E,险种!V:V,"&lt;=20210506"),1)</f>
        <v>0</v>
      </c>
      <c r="U235" s="65">
        <f>ROUND(SUMIFS(险种!Q:Q,险种!E:E,E:E,险种!V:V,"&lt;=20210510")-SUMIFS(险种!Q:Q,险种!U:U,"终止",险种!E:E,E:E,险种!V:V,"&lt;=20210510"),1)</f>
        <v>0</v>
      </c>
      <c r="V235" s="65">
        <f>ROUND(SUMIFS(险种!Q:Q,险种!U:U,"有效",险种!E:E,E:E,险种!V:V,"&lt;=20210510"),1)</f>
        <v>0</v>
      </c>
      <c r="W235" s="65">
        <f t="shared" si="3"/>
        <v>0</v>
      </c>
      <c r="X235" s="68">
        <f>SUMIF(险种!E:E,E:E,险种!Y:Y)</f>
        <v>0</v>
      </c>
      <c r="Y235" s="65">
        <f>MAX(_xlfn.IFS(OR(X:X=1,X:X=2),J:J*0.1,X:X&gt;=3,J:J*0.2,X:X=0,0),IF(J:J&gt;=20000,J:J*0.2,0))</f>
        <v>0</v>
      </c>
      <c r="Z235" s="65" t="str">
        <f>A235&amp;D235&amp;G235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凤台胡婷伙伴5.1-5.10预收价值保费0，首周预收3000P件数0件，预收拟加佣0元。温馨提示，保单需10日（含）前承保，目前还有0价值保费未承保,开单一件即可获得10%加佣</v>
      </c>
      <c r="AA235" s="68">
        <f>SUMIF(险种!E:E,E:E,险种!Z:Z)</f>
        <v>0</v>
      </c>
      <c r="AB235" s="65"/>
      <c r="AC235" s="68">
        <f>SUMIF(险种!E:E,E:E,险种!AA:AA)</f>
        <v>0</v>
      </c>
      <c r="AD235" s="68">
        <f>SUMIFS(险种!AA:AA,险种!U:U,"有效",险种!E:E,E:E)</f>
        <v>0</v>
      </c>
      <c r="AE235" s="68" t="str">
        <f>A235&amp;D235&amp;G235&amp;"目前获得"&amp;$AC$1&amp;AC:AC&amp;"名，获得"&amp;$AD$1&amp;AD:AD&amp;"名"</f>
        <v>凤台胡婷伙伴目前获得龙虾节预收名额0名，获得龙虾节承保名额0名</v>
      </c>
      <c r="AF235" s="68">
        <f>SUMIF(认购返还案!D:D,E:E,认购返还案!E:E)</f>
        <v>0</v>
      </c>
      <c r="AG235" s="68">
        <f>_xlfn.IFS(AND(U:U&gt;=3000,U:U&lt;5000),AF:AF*0.5,U:U&gt;=5000,AF:AF*1,U:U&lt;3000,0)</f>
        <v>0</v>
      </c>
      <c r="AH235" s="68">
        <f>_xlfn.IFS(AND(V:V&gt;=3000,V:V&lt;5000),AF:AF*0.5,V:V&gt;=5000,AF:AF*1,V:V&lt;3000,0)</f>
        <v>0</v>
      </c>
      <c r="AI235" s="68" t="str">
        <f>A:A&amp;D:D&amp;G:G&amp;$AF$1&amp;AF:AF&amp;"元，目前预收价值"&amp;U:U&amp;"，"&amp;$AG$1&amp;AG:AG&amp;"元，"&amp;$AH$1&amp;AH:AH&amp;"元"</f>
        <v>凤台胡婷伙伴冲锋队缴费金额0元，目前预收价值0，预收拟返还0元，承保拟返还0元</v>
      </c>
      <c r="AJ235" s="68">
        <f>SUMIF(保单!R:R,E:E,保单!BE:BE)*IF(AF:AF&gt;1,1,0)</f>
        <v>0</v>
      </c>
      <c r="AK235" s="68">
        <f>SUMIFS(保单!BE:BE,保单!R:R,E:E,保单!BB:BB,"有效")*IF(AF:AF&gt;1,1,0)</f>
        <v>0</v>
      </c>
      <c r="AL235" s="72" t="str">
        <f>A:A&amp;D:D&amp;G:G&amp;"只要在1-10日承保全部保单，即可获得"&amp;$AJ$1&amp;AJ:AJ&amp;"个"</f>
        <v>凤台胡婷伙伴只要在1-10日承保全部保单，即可获得冲锋队按摩仪0个</v>
      </c>
    </row>
    <row r="236" spans="1:38">
      <c r="A236" s="64" t="s">
        <v>27</v>
      </c>
      <c r="B236" s="64" t="s">
        <v>37</v>
      </c>
      <c r="C236" s="64" t="s">
        <v>38</v>
      </c>
      <c r="D236" s="64" t="s">
        <v>473</v>
      </c>
      <c r="E236" s="64">
        <v>5704127642</v>
      </c>
      <c r="F236" s="64" t="s">
        <v>174</v>
      </c>
      <c r="G236" s="64" t="str">
        <f>IF(OR(F:F="高级经理一级",F:F="业务经理一级"),"主管","伙伴")</f>
        <v>伙伴</v>
      </c>
      <c r="H236" s="65">
        <f>SUMIF(险种!E:E,E:E,险种!R:R)-SUMIFS(险种!R:R,险种!U:U,"终止",险种!E:E,E:E)</f>
        <v>0</v>
      </c>
      <c r="I236" s="65">
        <f>SUMIFS(险种!R:R,险种!U:U,"有效",险种!E:E,E:E)</f>
        <v>0</v>
      </c>
      <c r="J236" s="65">
        <f>ROUND(SUMIF(险种!E:E,E:E,险种!Q:Q)-SUMIFS(险种!Q:Q,险种!U:U,"终止",险种!E:E,E:E),1)</f>
        <v>0</v>
      </c>
      <c r="K236" s="68">
        <f>RANK(J236,J:J)</f>
        <v>22</v>
      </c>
      <c r="L236" s="65">
        <f>ROUND(SUMIFS(险种!Q:Q,险种!U:U,"有效",险种!E:E,E:E),1)</f>
        <v>0</v>
      </c>
      <c r="M236" s="68">
        <f>RANK(L236,L:L,)</f>
        <v>14</v>
      </c>
      <c r="N236" s="68">
        <f>SUMIF(险种!E:E,E:E,险种!W:W)</f>
        <v>0</v>
      </c>
      <c r="O236" s="68">
        <f>IF(N:N&gt;=1,1,0)</f>
        <v>0</v>
      </c>
      <c r="P236" s="65">
        <f>ROUND(SUMIFS(险种!Q:Q,险种!V:V,$P$1,险种!E:E,E:E),1)</f>
        <v>0</v>
      </c>
      <c r="Q236" s="68">
        <f>RANK(P236,$P:$P,0)-1</f>
        <v>5</v>
      </c>
      <c r="R236" s="68" t="str">
        <f>A:A&amp;D:D&amp;G:G&amp;"在"&amp;$P$1&amp;"预收"&amp;P:P&amp;"排名中支第"&amp;Q:Q&amp;"位"</f>
        <v>凤台石秀钰伙伴在20210509预收0排名中支第5位</v>
      </c>
      <c r="S236" s="65">
        <f>ROUND(SUMIFS(险种!Q:Q,险种!E:E,E:E,险种!V:V,"&lt;=20210506")-SUMIFS(险种!Q:Q,险种!U:U,"终止",险种!E:E,E:E,险种!V:V,"&lt;=20210506"),1)</f>
        <v>0</v>
      </c>
      <c r="T236" s="65">
        <f>ROUND(SUMIFS(险种!Q:Q,险种!U:U,"有效",险种!E:E,E:E,险种!V:V,"&lt;=20210506"),1)</f>
        <v>0</v>
      </c>
      <c r="U236" s="65">
        <f>ROUND(SUMIFS(险种!Q:Q,险种!E:E,E:E,险种!V:V,"&lt;=20210510")-SUMIFS(险种!Q:Q,险种!U:U,"终止",险种!E:E,E:E,险种!V:V,"&lt;=20210510"),1)</f>
        <v>0</v>
      </c>
      <c r="V236" s="65">
        <f>ROUND(SUMIFS(险种!Q:Q,险种!U:U,"有效",险种!E:E,E:E,险种!V:V,"&lt;=20210510"),1)</f>
        <v>0</v>
      </c>
      <c r="W236" s="65">
        <f t="shared" si="3"/>
        <v>0</v>
      </c>
      <c r="X236" s="68">
        <f>SUMIF(险种!E:E,E:E,险种!Y:Y)</f>
        <v>0</v>
      </c>
      <c r="Y236" s="65">
        <f>MAX(_xlfn.IFS(OR(X:X=1,X:X=2),J:J*0.1,X:X&gt;=3,J:J*0.2,X:X=0,0),IF(J:J&gt;=20000,J:J*0.2,0))</f>
        <v>0</v>
      </c>
      <c r="Z236" s="65" t="str">
        <f>A236&amp;D236&amp;G236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凤台石秀钰伙伴5.1-5.10预收价值保费0，首周预收3000P件数0件，预收拟加佣0元。温馨提示，保单需10日（含）前承保，目前还有0价值保费未承保,开单一件即可获得10%加佣</v>
      </c>
      <c r="AA236" s="68">
        <f>SUMIF(险种!E:E,E:E,险种!Z:Z)</f>
        <v>0</v>
      </c>
      <c r="AB236" s="65"/>
      <c r="AC236" s="68">
        <f>SUMIF(险种!E:E,E:E,险种!AA:AA)</f>
        <v>0</v>
      </c>
      <c r="AD236" s="68">
        <f>SUMIFS(险种!AA:AA,险种!U:U,"有效",险种!E:E,E:E)</f>
        <v>0</v>
      </c>
      <c r="AE236" s="68" t="str">
        <f>A236&amp;D236&amp;G236&amp;"目前获得"&amp;$AC$1&amp;AC:AC&amp;"名，获得"&amp;$AD$1&amp;AD:AD&amp;"名"</f>
        <v>凤台石秀钰伙伴目前获得龙虾节预收名额0名，获得龙虾节承保名额0名</v>
      </c>
      <c r="AF236" s="68">
        <f>SUMIF(认购返还案!D:D,E:E,认购返还案!E:E)</f>
        <v>0</v>
      </c>
      <c r="AG236" s="68">
        <f>_xlfn.IFS(AND(U:U&gt;=3000,U:U&lt;5000),AF:AF*0.5,U:U&gt;=5000,AF:AF*1,U:U&lt;3000,0)</f>
        <v>0</v>
      </c>
      <c r="AH236" s="68">
        <f>_xlfn.IFS(AND(V:V&gt;=3000,V:V&lt;5000),AF:AF*0.5,V:V&gt;=5000,AF:AF*1,V:V&lt;3000,0)</f>
        <v>0</v>
      </c>
      <c r="AI236" s="68" t="str">
        <f>A:A&amp;D:D&amp;G:G&amp;$AF$1&amp;AF:AF&amp;"元，目前预收价值"&amp;U:U&amp;"，"&amp;$AG$1&amp;AG:AG&amp;"元，"&amp;$AH$1&amp;AH:AH&amp;"元"</f>
        <v>凤台石秀钰伙伴冲锋队缴费金额0元，目前预收价值0，预收拟返还0元，承保拟返还0元</v>
      </c>
      <c r="AJ236" s="68">
        <f>SUMIF(保单!R:R,E:E,保单!BE:BE)*IF(AF:AF&gt;1,1,0)</f>
        <v>0</v>
      </c>
      <c r="AK236" s="68">
        <f>SUMIFS(保单!BE:BE,保单!R:R,E:E,保单!BB:BB,"有效")*IF(AF:AF&gt;1,1,0)</f>
        <v>0</v>
      </c>
      <c r="AL236" s="72" t="str">
        <f>A:A&amp;D:D&amp;G:G&amp;"只要在1-10日承保全部保单，即可获得"&amp;$AJ$1&amp;AJ:AJ&amp;"个"</f>
        <v>凤台石秀钰伙伴只要在1-10日承保全部保单，即可获得冲锋队按摩仪0个</v>
      </c>
    </row>
    <row r="237" spans="1:38">
      <c r="A237" s="64" t="s">
        <v>27</v>
      </c>
      <c r="B237" s="64" t="s">
        <v>94</v>
      </c>
      <c r="C237" s="64" t="s">
        <v>95</v>
      </c>
      <c r="D237" s="64" t="s">
        <v>474</v>
      </c>
      <c r="E237" s="64">
        <v>5704091362</v>
      </c>
      <c r="F237" s="64" t="s">
        <v>174</v>
      </c>
      <c r="G237" s="64" t="str">
        <f>IF(OR(F:F="高级经理一级",F:F="业务经理一级"),"主管","伙伴")</f>
        <v>伙伴</v>
      </c>
      <c r="H237" s="65">
        <f>SUMIF(险种!E:E,E:E,险种!R:R)-SUMIFS(险种!R:R,险种!U:U,"终止",险种!E:E,E:E)</f>
        <v>0</v>
      </c>
      <c r="I237" s="65">
        <f>SUMIFS(险种!R:R,险种!U:U,"有效",险种!E:E,E:E)</f>
        <v>0</v>
      </c>
      <c r="J237" s="65">
        <f>ROUND(SUMIF(险种!E:E,E:E,险种!Q:Q)-SUMIFS(险种!Q:Q,险种!U:U,"终止",险种!E:E,E:E),1)</f>
        <v>0</v>
      </c>
      <c r="K237" s="68">
        <f>RANK(J237,J:J)</f>
        <v>22</v>
      </c>
      <c r="L237" s="65">
        <f>ROUND(SUMIFS(险种!Q:Q,险种!U:U,"有效",险种!E:E,E:E),1)</f>
        <v>0</v>
      </c>
      <c r="M237" s="68">
        <f>RANK(L237,L:L,)</f>
        <v>14</v>
      </c>
      <c r="N237" s="68">
        <f>SUMIF(险种!E:E,E:E,险种!W:W)</f>
        <v>0</v>
      </c>
      <c r="O237" s="68">
        <f>IF(N:N&gt;=1,1,0)</f>
        <v>0</v>
      </c>
      <c r="P237" s="65">
        <f>ROUND(SUMIFS(险种!Q:Q,险种!V:V,$P$1,险种!E:E,E:E),1)</f>
        <v>0</v>
      </c>
      <c r="Q237" s="68">
        <f>RANK(P237,$P:$P,0)-1</f>
        <v>5</v>
      </c>
      <c r="R237" s="68" t="str">
        <f>A:A&amp;D:D&amp;G:G&amp;"在"&amp;$P$1&amp;"预收"&amp;P:P&amp;"排名中支第"&amp;Q:Q&amp;"位"</f>
        <v>凤台梁仁芳伙伴在20210509预收0排名中支第5位</v>
      </c>
      <c r="S237" s="65">
        <f>ROUND(SUMIFS(险种!Q:Q,险种!E:E,E:E,险种!V:V,"&lt;=20210506")-SUMIFS(险种!Q:Q,险种!U:U,"终止",险种!E:E,E:E,险种!V:V,"&lt;=20210506"),1)</f>
        <v>0</v>
      </c>
      <c r="T237" s="65">
        <f>ROUND(SUMIFS(险种!Q:Q,险种!U:U,"有效",险种!E:E,E:E,险种!V:V,"&lt;=20210506"),1)</f>
        <v>0</v>
      </c>
      <c r="U237" s="65">
        <f>ROUND(SUMIFS(险种!Q:Q,险种!E:E,E:E,险种!V:V,"&lt;=20210510")-SUMIFS(险种!Q:Q,险种!U:U,"终止",险种!E:E,E:E,险种!V:V,"&lt;=20210510"),1)</f>
        <v>0</v>
      </c>
      <c r="V237" s="65">
        <f>ROUND(SUMIFS(险种!Q:Q,险种!U:U,"有效",险种!E:E,E:E,险种!V:V,"&lt;=20210510"),1)</f>
        <v>0</v>
      </c>
      <c r="W237" s="65">
        <f t="shared" si="3"/>
        <v>0</v>
      </c>
      <c r="X237" s="68">
        <f>SUMIF(险种!E:E,E:E,险种!Y:Y)</f>
        <v>0</v>
      </c>
      <c r="Y237" s="65">
        <f>MAX(_xlfn.IFS(OR(X:X=1,X:X=2),J:J*0.1,X:X&gt;=3,J:J*0.2,X:X=0,0),IF(J:J&gt;=20000,J:J*0.2,0))</f>
        <v>0</v>
      </c>
      <c r="Z237" s="65" t="str">
        <f>A237&amp;D237&amp;G237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凤台梁仁芳伙伴5.1-5.10预收价值保费0，首周预收3000P件数0件，预收拟加佣0元。温馨提示，保单需10日（含）前承保，目前还有0价值保费未承保,开单一件即可获得10%加佣</v>
      </c>
      <c r="AA237" s="68">
        <f>SUMIF(险种!E:E,E:E,险种!Z:Z)</f>
        <v>0</v>
      </c>
      <c r="AB237" s="65"/>
      <c r="AC237" s="68">
        <f>SUMIF(险种!E:E,E:E,险种!AA:AA)</f>
        <v>0</v>
      </c>
      <c r="AD237" s="68">
        <f>SUMIFS(险种!AA:AA,险种!U:U,"有效",险种!E:E,E:E)</f>
        <v>0</v>
      </c>
      <c r="AE237" s="68" t="str">
        <f>A237&amp;D237&amp;G237&amp;"目前获得"&amp;$AC$1&amp;AC:AC&amp;"名，获得"&amp;$AD$1&amp;AD:AD&amp;"名"</f>
        <v>凤台梁仁芳伙伴目前获得龙虾节预收名额0名，获得龙虾节承保名额0名</v>
      </c>
      <c r="AF237" s="68">
        <f>SUMIF(认购返还案!D:D,E:E,认购返还案!E:E)</f>
        <v>0</v>
      </c>
      <c r="AG237" s="68">
        <f>_xlfn.IFS(AND(U:U&gt;=3000,U:U&lt;5000),AF:AF*0.5,U:U&gt;=5000,AF:AF*1,U:U&lt;3000,0)</f>
        <v>0</v>
      </c>
      <c r="AH237" s="68">
        <f>_xlfn.IFS(AND(V:V&gt;=3000,V:V&lt;5000),AF:AF*0.5,V:V&gt;=5000,AF:AF*1,V:V&lt;3000,0)</f>
        <v>0</v>
      </c>
      <c r="AI237" s="68" t="str">
        <f>A:A&amp;D:D&amp;G:G&amp;$AF$1&amp;AF:AF&amp;"元，目前预收价值"&amp;U:U&amp;"，"&amp;$AG$1&amp;AG:AG&amp;"元，"&amp;$AH$1&amp;AH:AH&amp;"元"</f>
        <v>凤台梁仁芳伙伴冲锋队缴费金额0元，目前预收价值0，预收拟返还0元，承保拟返还0元</v>
      </c>
      <c r="AJ237" s="68">
        <f>SUMIF(保单!R:R,E:E,保单!BE:BE)*IF(AF:AF&gt;1,1,0)</f>
        <v>0</v>
      </c>
      <c r="AK237" s="68">
        <f>SUMIFS(保单!BE:BE,保单!R:R,E:E,保单!BB:BB,"有效")*IF(AF:AF&gt;1,1,0)</f>
        <v>0</v>
      </c>
      <c r="AL237" s="72" t="str">
        <f>A:A&amp;D:D&amp;G:G&amp;"只要在1-10日承保全部保单，即可获得"&amp;$AJ$1&amp;AJ:AJ&amp;"个"</f>
        <v>凤台梁仁芳伙伴只要在1-10日承保全部保单，即可获得冲锋队按摩仪0个</v>
      </c>
    </row>
    <row r="238" spans="1:38">
      <c r="A238" s="64" t="s">
        <v>42</v>
      </c>
      <c r="B238" s="64" t="s">
        <v>66</v>
      </c>
      <c r="C238" s="64" t="s">
        <v>67</v>
      </c>
      <c r="D238" s="64" t="s">
        <v>475</v>
      </c>
      <c r="E238" s="64">
        <v>5693445872</v>
      </c>
      <c r="F238" s="64" t="s">
        <v>174</v>
      </c>
      <c r="G238" s="64" t="str">
        <f>IF(OR(F:F="高级经理一级",F:F="业务经理一级"),"主管","伙伴")</f>
        <v>伙伴</v>
      </c>
      <c r="H238" s="65">
        <f>SUMIF(险种!E:E,E:E,险种!R:R)-SUMIFS(险种!R:R,险种!U:U,"终止",险种!E:E,E:E)</f>
        <v>0</v>
      </c>
      <c r="I238" s="65">
        <f>SUMIFS(险种!R:R,险种!U:U,"有效",险种!E:E,E:E)</f>
        <v>0</v>
      </c>
      <c r="J238" s="65">
        <f>ROUND(SUMIF(险种!E:E,E:E,险种!Q:Q)-SUMIFS(险种!Q:Q,险种!U:U,"终止",险种!E:E,E:E),1)</f>
        <v>0</v>
      </c>
      <c r="K238" s="68">
        <f>RANK(J238,J:J)</f>
        <v>22</v>
      </c>
      <c r="L238" s="65">
        <f>ROUND(SUMIFS(险种!Q:Q,险种!U:U,"有效",险种!E:E,E:E),1)</f>
        <v>0</v>
      </c>
      <c r="M238" s="68">
        <f>RANK(L238,L:L,)</f>
        <v>14</v>
      </c>
      <c r="N238" s="68">
        <f>SUMIF(险种!E:E,E:E,险种!W:W)</f>
        <v>0</v>
      </c>
      <c r="O238" s="68">
        <f>IF(N:N&gt;=1,1,0)</f>
        <v>0</v>
      </c>
      <c r="P238" s="65">
        <f>ROUND(SUMIFS(险种!Q:Q,险种!V:V,$P$1,险种!E:E,E:E),1)</f>
        <v>0</v>
      </c>
      <c r="Q238" s="68">
        <f>RANK(P238,$P:$P,0)-1</f>
        <v>5</v>
      </c>
      <c r="R238" s="68" t="str">
        <f>A:A&amp;D:D&amp;G:G&amp;"在"&amp;$P$1&amp;"预收"&amp;P:P&amp;"排名中支第"&amp;Q:Q&amp;"位"</f>
        <v>淮南本部周淮霞伙伴在20210509预收0排名中支第5位</v>
      </c>
      <c r="S238" s="65">
        <f>ROUND(SUMIFS(险种!Q:Q,险种!E:E,E:E,险种!V:V,"&lt;=20210506")-SUMIFS(险种!Q:Q,险种!U:U,"终止",险种!E:E,E:E,险种!V:V,"&lt;=20210506"),1)</f>
        <v>0</v>
      </c>
      <c r="T238" s="65">
        <f>ROUND(SUMIFS(险种!Q:Q,险种!U:U,"有效",险种!E:E,E:E,险种!V:V,"&lt;=20210506"),1)</f>
        <v>0</v>
      </c>
      <c r="U238" s="65">
        <f>ROUND(SUMIFS(险种!Q:Q,险种!E:E,E:E,险种!V:V,"&lt;=20210510")-SUMIFS(险种!Q:Q,险种!U:U,"终止",险种!E:E,E:E,险种!V:V,"&lt;=20210510"),1)</f>
        <v>0</v>
      </c>
      <c r="V238" s="65">
        <f>ROUND(SUMIFS(险种!Q:Q,险种!U:U,"有效",险种!E:E,E:E,险种!V:V,"&lt;=20210510"),1)</f>
        <v>0</v>
      </c>
      <c r="W238" s="65">
        <f t="shared" si="3"/>
        <v>0</v>
      </c>
      <c r="X238" s="68">
        <f>SUMIF(险种!E:E,E:E,险种!Y:Y)</f>
        <v>0</v>
      </c>
      <c r="Y238" s="65">
        <f>MAX(_xlfn.IFS(OR(X:X=1,X:X=2),J:J*0.1,X:X&gt;=3,J:J*0.2,X:X=0,0),IF(J:J&gt;=20000,J:J*0.2,0))</f>
        <v>0</v>
      </c>
      <c r="Z238" s="65" t="str">
        <f>A238&amp;D238&amp;G238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淮南本部周淮霞伙伴5.1-5.10预收价值保费0，首周预收3000P件数0件，预收拟加佣0元。温馨提示，保单需10日（含）前承保，目前还有0价值保费未承保,开单一件即可获得10%加佣</v>
      </c>
      <c r="AA238" s="68">
        <f>SUMIF(险种!E:E,E:E,险种!Z:Z)</f>
        <v>0</v>
      </c>
      <c r="AB238" s="65"/>
      <c r="AC238" s="68">
        <f>SUMIF(险种!E:E,E:E,险种!AA:AA)</f>
        <v>0</v>
      </c>
      <c r="AD238" s="68">
        <f>SUMIFS(险种!AA:AA,险种!U:U,"有效",险种!E:E,E:E)</f>
        <v>0</v>
      </c>
      <c r="AE238" s="68" t="str">
        <f>A238&amp;D238&amp;G238&amp;"目前获得"&amp;$AC$1&amp;AC:AC&amp;"名，获得"&amp;$AD$1&amp;AD:AD&amp;"名"</f>
        <v>淮南本部周淮霞伙伴目前获得龙虾节预收名额0名，获得龙虾节承保名额0名</v>
      </c>
      <c r="AF238" s="68">
        <f>SUMIF(认购返还案!D:D,E:E,认购返还案!E:E)</f>
        <v>0</v>
      </c>
      <c r="AG238" s="68">
        <f>_xlfn.IFS(AND(U:U&gt;=3000,U:U&lt;5000),AF:AF*0.5,U:U&gt;=5000,AF:AF*1,U:U&lt;3000,0)</f>
        <v>0</v>
      </c>
      <c r="AH238" s="68">
        <f>_xlfn.IFS(AND(V:V&gt;=3000,V:V&lt;5000),AF:AF*0.5,V:V&gt;=5000,AF:AF*1,V:V&lt;3000,0)</f>
        <v>0</v>
      </c>
      <c r="AI238" s="68" t="str">
        <f>A:A&amp;D:D&amp;G:G&amp;$AF$1&amp;AF:AF&amp;"元，目前预收价值"&amp;U:U&amp;"，"&amp;$AG$1&amp;AG:AG&amp;"元，"&amp;$AH$1&amp;AH:AH&amp;"元"</f>
        <v>淮南本部周淮霞伙伴冲锋队缴费金额0元，目前预收价值0，预收拟返还0元，承保拟返还0元</v>
      </c>
      <c r="AJ238" s="68">
        <f>SUMIF(保单!R:R,E:E,保单!BE:BE)*IF(AF:AF&gt;1,1,0)</f>
        <v>0</v>
      </c>
      <c r="AK238" s="68">
        <f>SUMIFS(保单!BE:BE,保单!R:R,E:E,保单!BB:BB,"有效")*IF(AF:AF&gt;1,1,0)</f>
        <v>0</v>
      </c>
      <c r="AL238" s="72" t="str">
        <f>A:A&amp;D:D&amp;G:G&amp;"只要在1-10日承保全部保单，即可获得"&amp;$AJ$1&amp;AJ:AJ&amp;"个"</f>
        <v>淮南本部周淮霞伙伴只要在1-10日承保全部保单，即可获得冲锋队按摩仪0个</v>
      </c>
    </row>
    <row r="239" spans="1:38">
      <c r="A239" s="64" t="s">
        <v>27</v>
      </c>
      <c r="B239" s="64" t="s">
        <v>37</v>
      </c>
      <c r="C239" s="64" t="s">
        <v>226</v>
      </c>
      <c r="D239" s="64" t="s">
        <v>476</v>
      </c>
      <c r="E239" s="64">
        <v>5689717222</v>
      </c>
      <c r="F239" s="64" t="s">
        <v>174</v>
      </c>
      <c r="G239" s="64" t="str">
        <f>IF(OR(F:F="高级经理一级",F:F="业务经理一级"),"主管","伙伴")</f>
        <v>伙伴</v>
      </c>
      <c r="H239" s="65">
        <f>SUMIF(险种!E:E,E:E,险种!R:R)-SUMIFS(险种!R:R,险种!U:U,"终止",险种!E:E,E:E)</f>
        <v>0</v>
      </c>
      <c r="I239" s="65">
        <f>SUMIFS(险种!R:R,险种!U:U,"有效",险种!E:E,E:E)</f>
        <v>0</v>
      </c>
      <c r="J239" s="65">
        <f>ROUND(SUMIF(险种!E:E,E:E,险种!Q:Q)-SUMIFS(险种!Q:Q,险种!U:U,"终止",险种!E:E,E:E),1)</f>
        <v>0</v>
      </c>
      <c r="K239" s="68">
        <f>RANK(J239,J:J)</f>
        <v>22</v>
      </c>
      <c r="L239" s="65">
        <f>ROUND(SUMIFS(险种!Q:Q,险种!U:U,"有效",险种!E:E,E:E),1)</f>
        <v>0</v>
      </c>
      <c r="M239" s="68">
        <f>RANK(L239,L:L,)</f>
        <v>14</v>
      </c>
      <c r="N239" s="68">
        <f>SUMIF(险种!E:E,E:E,险种!W:W)</f>
        <v>0</v>
      </c>
      <c r="O239" s="68">
        <f>IF(N:N&gt;=1,1,0)</f>
        <v>0</v>
      </c>
      <c r="P239" s="65">
        <f>ROUND(SUMIFS(险种!Q:Q,险种!V:V,$P$1,险种!E:E,E:E),1)</f>
        <v>0</v>
      </c>
      <c r="Q239" s="68">
        <f>RANK(P239,$P:$P,0)-1</f>
        <v>5</v>
      </c>
      <c r="R239" s="68" t="str">
        <f>A:A&amp;D:D&amp;G:G&amp;"在"&amp;$P$1&amp;"预收"&amp;P:P&amp;"排名中支第"&amp;Q:Q&amp;"位"</f>
        <v>凤台董利伙伴在20210509预收0排名中支第5位</v>
      </c>
      <c r="S239" s="65">
        <f>ROUND(SUMIFS(险种!Q:Q,险种!E:E,E:E,险种!V:V,"&lt;=20210506")-SUMIFS(险种!Q:Q,险种!U:U,"终止",险种!E:E,E:E,险种!V:V,"&lt;=20210506"),1)</f>
        <v>0</v>
      </c>
      <c r="T239" s="65">
        <f>ROUND(SUMIFS(险种!Q:Q,险种!U:U,"有效",险种!E:E,E:E,险种!V:V,"&lt;=20210506"),1)</f>
        <v>0</v>
      </c>
      <c r="U239" s="65">
        <f>ROUND(SUMIFS(险种!Q:Q,险种!E:E,E:E,险种!V:V,"&lt;=20210510")-SUMIFS(险种!Q:Q,险种!U:U,"终止",险种!E:E,E:E,险种!V:V,"&lt;=20210510"),1)</f>
        <v>0</v>
      </c>
      <c r="V239" s="65">
        <f>ROUND(SUMIFS(险种!Q:Q,险种!U:U,"有效",险种!E:E,E:E,险种!V:V,"&lt;=20210510"),1)</f>
        <v>0</v>
      </c>
      <c r="W239" s="65">
        <f t="shared" si="3"/>
        <v>0</v>
      </c>
      <c r="X239" s="68">
        <f>SUMIF(险种!E:E,E:E,险种!Y:Y)</f>
        <v>0</v>
      </c>
      <c r="Y239" s="65">
        <f>MAX(_xlfn.IFS(OR(X:X=1,X:X=2),J:J*0.1,X:X&gt;=3,J:J*0.2,X:X=0,0),IF(J:J&gt;=20000,J:J*0.2,0))</f>
        <v>0</v>
      </c>
      <c r="Z239" s="65" t="str">
        <f>A239&amp;D239&amp;G239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凤台董利伙伴5.1-5.10预收价值保费0，首周预收3000P件数0件，预收拟加佣0元。温馨提示，保单需10日（含）前承保，目前还有0价值保费未承保,开单一件即可获得10%加佣</v>
      </c>
      <c r="AA239" s="68">
        <f>SUMIF(险种!E:E,E:E,险种!Z:Z)</f>
        <v>0</v>
      </c>
      <c r="AB239" s="65"/>
      <c r="AC239" s="68">
        <f>SUMIF(险种!E:E,E:E,险种!AA:AA)</f>
        <v>0</v>
      </c>
      <c r="AD239" s="68">
        <f>SUMIFS(险种!AA:AA,险种!U:U,"有效",险种!E:E,E:E)</f>
        <v>0</v>
      </c>
      <c r="AE239" s="68" t="str">
        <f>A239&amp;D239&amp;G239&amp;"目前获得"&amp;$AC$1&amp;AC:AC&amp;"名，获得"&amp;$AD$1&amp;AD:AD&amp;"名"</f>
        <v>凤台董利伙伴目前获得龙虾节预收名额0名，获得龙虾节承保名额0名</v>
      </c>
      <c r="AF239" s="68">
        <f>SUMIF(认购返还案!D:D,E:E,认购返还案!E:E)</f>
        <v>0</v>
      </c>
      <c r="AG239" s="68">
        <f>_xlfn.IFS(AND(U:U&gt;=3000,U:U&lt;5000),AF:AF*0.5,U:U&gt;=5000,AF:AF*1,U:U&lt;3000,0)</f>
        <v>0</v>
      </c>
      <c r="AH239" s="68">
        <f>_xlfn.IFS(AND(V:V&gt;=3000,V:V&lt;5000),AF:AF*0.5,V:V&gt;=5000,AF:AF*1,V:V&lt;3000,0)</f>
        <v>0</v>
      </c>
      <c r="AI239" s="68" t="str">
        <f>A:A&amp;D:D&amp;G:G&amp;$AF$1&amp;AF:AF&amp;"元，目前预收价值"&amp;U:U&amp;"，"&amp;$AG$1&amp;AG:AG&amp;"元，"&amp;$AH$1&amp;AH:AH&amp;"元"</f>
        <v>凤台董利伙伴冲锋队缴费金额0元，目前预收价值0，预收拟返还0元，承保拟返还0元</v>
      </c>
      <c r="AJ239" s="68">
        <f>SUMIF(保单!R:R,E:E,保单!BE:BE)*IF(AF:AF&gt;1,1,0)</f>
        <v>0</v>
      </c>
      <c r="AK239" s="68">
        <f>SUMIFS(保单!BE:BE,保单!R:R,E:E,保单!BB:BB,"有效")*IF(AF:AF&gt;1,1,0)</f>
        <v>0</v>
      </c>
      <c r="AL239" s="72" t="str">
        <f>A:A&amp;D:D&amp;G:G&amp;"只要在1-10日承保全部保单，即可获得"&amp;$AJ$1&amp;AJ:AJ&amp;"个"</f>
        <v>凤台董利伙伴只要在1-10日承保全部保单，即可获得冲锋队按摩仪0个</v>
      </c>
    </row>
    <row r="240" spans="1:38">
      <c r="A240" s="64" t="s">
        <v>42</v>
      </c>
      <c r="B240" s="64" t="s">
        <v>43</v>
      </c>
      <c r="C240" s="64" t="s">
        <v>77</v>
      </c>
      <c r="D240" s="64" t="s">
        <v>477</v>
      </c>
      <c r="E240" s="64">
        <v>5680107922</v>
      </c>
      <c r="F240" s="64" t="s">
        <v>174</v>
      </c>
      <c r="G240" s="64" t="str">
        <f>IF(OR(F:F="高级经理一级",F:F="业务经理一级"),"主管","伙伴")</f>
        <v>伙伴</v>
      </c>
      <c r="H240" s="65">
        <f>SUMIF(险种!E:E,E:E,险种!R:R)-SUMIFS(险种!R:R,险种!U:U,"终止",险种!E:E,E:E)</f>
        <v>0</v>
      </c>
      <c r="I240" s="65">
        <f>SUMIFS(险种!R:R,险种!U:U,"有效",险种!E:E,E:E)</f>
        <v>0</v>
      </c>
      <c r="J240" s="65">
        <f>ROUND(SUMIF(险种!E:E,E:E,险种!Q:Q)-SUMIFS(险种!Q:Q,险种!U:U,"终止",险种!E:E,E:E),1)</f>
        <v>0</v>
      </c>
      <c r="K240" s="68">
        <f>RANK(J240,J:J)</f>
        <v>22</v>
      </c>
      <c r="L240" s="65">
        <f>ROUND(SUMIFS(险种!Q:Q,险种!U:U,"有效",险种!E:E,E:E),1)</f>
        <v>0</v>
      </c>
      <c r="M240" s="68">
        <f>RANK(L240,L:L,)</f>
        <v>14</v>
      </c>
      <c r="N240" s="68">
        <f>SUMIF(险种!E:E,E:E,险种!W:W)</f>
        <v>0</v>
      </c>
      <c r="O240" s="68">
        <f>IF(N:N&gt;=1,1,0)</f>
        <v>0</v>
      </c>
      <c r="P240" s="65">
        <f>ROUND(SUMIFS(险种!Q:Q,险种!V:V,$P$1,险种!E:E,E:E),1)</f>
        <v>0</v>
      </c>
      <c r="Q240" s="68">
        <f>RANK(P240,$P:$P,0)-1</f>
        <v>5</v>
      </c>
      <c r="R240" s="68" t="str">
        <f>A:A&amp;D:D&amp;G:G&amp;"在"&amp;$P$1&amp;"预收"&amp;P:P&amp;"排名中支第"&amp;Q:Q&amp;"位"</f>
        <v>淮南本部周家萍伙伴在20210509预收0排名中支第5位</v>
      </c>
      <c r="S240" s="65">
        <f>ROUND(SUMIFS(险种!Q:Q,险种!E:E,E:E,险种!V:V,"&lt;=20210506")-SUMIFS(险种!Q:Q,险种!U:U,"终止",险种!E:E,E:E,险种!V:V,"&lt;=20210506"),1)</f>
        <v>0</v>
      </c>
      <c r="T240" s="65">
        <f>ROUND(SUMIFS(险种!Q:Q,险种!U:U,"有效",险种!E:E,E:E,险种!V:V,"&lt;=20210506"),1)</f>
        <v>0</v>
      </c>
      <c r="U240" s="65">
        <f>ROUND(SUMIFS(险种!Q:Q,险种!E:E,E:E,险种!V:V,"&lt;=20210510")-SUMIFS(险种!Q:Q,险种!U:U,"终止",险种!E:E,E:E,险种!V:V,"&lt;=20210510"),1)</f>
        <v>0</v>
      </c>
      <c r="V240" s="65">
        <f>ROUND(SUMIFS(险种!Q:Q,险种!U:U,"有效",险种!E:E,E:E,险种!V:V,"&lt;=20210510"),1)</f>
        <v>0</v>
      </c>
      <c r="W240" s="65">
        <f t="shared" si="3"/>
        <v>0</v>
      </c>
      <c r="X240" s="68">
        <f>SUMIF(险种!E:E,E:E,险种!Y:Y)</f>
        <v>0</v>
      </c>
      <c r="Y240" s="65">
        <f>MAX(_xlfn.IFS(OR(X:X=1,X:X=2),J:J*0.1,X:X&gt;=3,J:J*0.2,X:X=0,0),IF(J:J&gt;=20000,J:J*0.2,0))</f>
        <v>0</v>
      </c>
      <c r="Z240" s="65" t="str">
        <f>A240&amp;D240&amp;G240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淮南本部周家萍伙伴5.1-5.10预收价值保费0，首周预收3000P件数0件，预收拟加佣0元。温馨提示，保单需10日（含）前承保，目前还有0价值保费未承保,开单一件即可获得10%加佣</v>
      </c>
      <c r="AA240" s="68">
        <f>SUMIF(险种!E:E,E:E,险种!Z:Z)</f>
        <v>0</v>
      </c>
      <c r="AB240" s="65"/>
      <c r="AC240" s="68">
        <f>SUMIF(险种!E:E,E:E,险种!AA:AA)</f>
        <v>0</v>
      </c>
      <c r="AD240" s="68">
        <f>SUMIFS(险种!AA:AA,险种!U:U,"有效",险种!E:E,E:E)</f>
        <v>0</v>
      </c>
      <c r="AE240" s="68" t="str">
        <f>A240&amp;D240&amp;G240&amp;"目前获得"&amp;$AC$1&amp;AC:AC&amp;"名，获得"&amp;$AD$1&amp;AD:AD&amp;"名"</f>
        <v>淮南本部周家萍伙伴目前获得龙虾节预收名额0名，获得龙虾节承保名额0名</v>
      </c>
      <c r="AF240" s="68">
        <f>SUMIF(认购返还案!D:D,E:E,认购返还案!E:E)</f>
        <v>0</v>
      </c>
      <c r="AG240" s="68">
        <f>_xlfn.IFS(AND(U:U&gt;=3000,U:U&lt;5000),AF:AF*0.5,U:U&gt;=5000,AF:AF*1,U:U&lt;3000,0)</f>
        <v>0</v>
      </c>
      <c r="AH240" s="68">
        <f>_xlfn.IFS(AND(V:V&gt;=3000,V:V&lt;5000),AF:AF*0.5,V:V&gt;=5000,AF:AF*1,V:V&lt;3000,0)</f>
        <v>0</v>
      </c>
      <c r="AI240" s="68" t="str">
        <f>A:A&amp;D:D&amp;G:G&amp;$AF$1&amp;AF:AF&amp;"元，目前预收价值"&amp;U:U&amp;"，"&amp;$AG$1&amp;AG:AG&amp;"元，"&amp;$AH$1&amp;AH:AH&amp;"元"</f>
        <v>淮南本部周家萍伙伴冲锋队缴费金额0元，目前预收价值0，预收拟返还0元，承保拟返还0元</v>
      </c>
      <c r="AJ240" s="68">
        <f>SUMIF(保单!R:R,E:E,保单!BE:BE)*IF(AF:AF&gt;1,1,0)</f>
        <v>0</v>
      </c>
      <c r="AK240" s="68">
        <f>SUMIFS(保单!BE:BE,保单!R:R,E:E,保单!BB:BB,"有效")*IF(AF:AF&gt;1,1,0)</f>
        <v>0</v>
      </c>
      <c r="AL240" s="72" t="str">
        <f>A:A&amp;D:D&amp;G:G&amp;"只要在1-10日承保全部保单，即可获得"&amp;$AJ$1&amp;AJ:AJ&amp;"个"</f>
        <v>淮南本部周家萍伙伴只要在1-10日承保全部保单，即可获得冲锋队按摩仪0个</v>
      </c>
    </row>
    <row r="241" spans="1:38">
      <c r="A241" s="64" t="s">
        <v>48</v>
      </c>
      <c r="B241" s="64" t="s">
        <v>49</v>
      </c>
      <c r="C241" s="64" t="s">
        <v>50</v>
      </c>
      <c r="D241" s="64" t="s">
        <v>478</v>
      </c>
      <c r="E241" s="64">
        <v>5629751282</v>
      </c>
      <c r="F241" s="64" t="s">
        <v>174</v>
      </c>
      <c r="G241" s="64" t="str">
        <f>IF(OR(F:F="高级经理一级",F:F="业务经理一级"),"主管","伙伴")</f>
        <v>伙伴</v>
      </c>
      <c r="H241" s="65">
        <f>SUMIF(险种!E:E,E:E,险种!R:R)-SUMIFS(险种!R:R,险种!U:U,"终止",险种!E:E,E:E)</f>
        <v>0</v>
      </c>
      <c r="I241" s="65">
        <f>SUMIFS(险种!R:R,险种!U:U,"有效",险种!E:E,E:E)</f>
        <v>0</v>
      </c>
      <c r="J241" s="65">
        <f>ROUND(SUMIF(险种!E:E,E:E,险种!Q:Q)-SUMIFS(险种!Q:Q,险种!U:U,"终止",险种!E:E,E:E),1)</f>
        <v>0</v>
      </c>
      <c r="K241" s="68">
        <f>RANK(J241,J:J)</f>
        <v>22</v>
      </c>
      <c r="L241" s="65">
        <f>ROUND(SUMIFS(险种!Q:Q,险种!U:U,"有效",险种!E:E,E:E),1)</f>
        <v>0</v>
      </c>
      <c r="M241" s="68">
        <f>RANK(L241,L:L,)</f>
        <v>14</v>
      </c>
      <c r="N241" s="68">
        <f>SUMIF(险种!E:E,E:E,险种!W:W)</f>
        <v>0</v>
      </c>
      <c r="O241" s="68">
        <f>IF(N:N&gt;=1,1,0)</f>
        <v>0</v>
      </c>
      <c r="P241" s="65">
        <f>ROUND(SUMIFS(险种!Q:Q,险种!V:V,$P$1,险种!E:E,E:E),1)</f>
        <v>0</v>
      </c>
      <c r="Q241" s="68">
        <f>RANK(P241,$P:$P,0)-1</f>
        <v>5</v>
      </c>
      <c r="R241" s="68" t="str">
        <f>A:A&amp;D:D&amp;G:G&amp;"在"&amp;$P$1&amp;"预收"&amp;P:P&amp;"排名中支第"&amp;Q:Q&amp;"位"</f>
        <v>谢家集顾正莉伙伴在20210509预收0排名中支第5位</v>
      </c>
      <c r="S241" s="65">
        <f>ROUND(SUMIFS(险种!Q:Q,险种!E:E,E:E,险种!V:V,"&lt;=20210506")-SUMIFS(险种!Q:Q,险种!U:U,"终止",险种!E:E,E:E,险种!V:V,"&lt;=20210506"),1)</f>
        <v>0</v>
      </c>
      <c r="T241" s="65">
        <f>ROUND(SUMIFS(险种!Q:Q,险种!U:U,"有效",险种!E:E,E:E,险种!V:V,"&lt;=20210506"),1)</f>
        <v>0</v>
      </c>
      <c r="U241" s="65">
        <f>ROUND(SUMIFS(险种!Q:Q,险种!E:E,E:E,险种!V:V,"&lt;=20210510")-SUMIFS(险种!Q:Q,险种!U:U,"终止",险种!E:E,E:E,险种!V:V,"&lt;=20210510"),1)</f>
        <v>0</v>
      </c>
      <c r="V241" s="65">
        <f>ROUND(SUMIFS(险种!Q:Q,险种!U:U,"有效",险种!E:E,E:E,险种!V:V,"&lt;=20210510"),1)</f>
        <v>0</v>
      </c>
      <c r="W241" s="65">
        <f t="shared" si="3"/>
        <v>0</v>
      </c>
      <c r="X241" s="68">
        <f>SUMIF(险种!E:E,E:E,险种!Y:Y)</f>
        <v>0</v>
      </c>
      <c r="Y241" s="65">
        <f>MAX(_xlfn.IFS(OR(X:X=1,X:X=2),J:J*0.1,X:X&gt;=3,J:J*0.2,X:X=0,0),IF(J:J&gt;=20000,J:J*0.2,0))</f>
        <v>0</v>
      </c>
      <c r="Z241" s="65" t="str">
        <f>A241&amp;D241&amp;G241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谢家集顾正莉伙伴5.1-5.10预收价值保费0，首周预收3000P件数0件，预收拟加佣0元。温馨提示，保单需10日（含）前承保，目前还有0价值保费未承保,开单一件即可获得10%加佣</v>
      </c>
      <c r="AA241" s="68">
        <f>SUMIF(险种!E:E,E:E,险种!Z:Z)</f>
        <v>0</v>
      </c>
      <c r="AB241" s="65"/>
      <c r="AC241" s="68">
        <f>SUMIF(险种!E:E,E:E,险种!AA:AA)</f>
        <v>0</v>
      </c>
      <c r="AD241" s="68">
        <f>SUMIFS(险种!AA:AA,险种!U:U,"有效",险种!E:E,E:E)</f>
        <v>0</v>
      </c>
      <c r="AE241" s="68" t="str">
        <f>A241&amp;D241&amp;G241&amp;"目前获得"&amp;$AC$1&amp;AC:AC&amp;"名，获得"&amp;$AD$1&amp;AD:AD&amp;"名"</f>
        <v>谢家集顾正莉伙伴目前获得龙虾节预收名额0名，获得龙虾节承保名额0名</v>
      </c>
      <c r="AF241" s="68">
        <f>SUMIF(认购返还案!D:D,E:E,认购返还案!E:E)</f>
        <v>0</v>
      </c>
      <c r="AG241" s="68">
        <f>_xlfn.IFS(AND(U:U&gt;=3000,U:U&lt;5000),AF:AF*0.5,U:U&gt;=5000,AF:AF*1,U:U&lt;3000,0)</f>
        <v>0</v>
      </c>
      <c r="AH241" s="68">
        <f>_xlfn.IFS(AND(V:V&gt;=3000,V:V&lt;5000),AF:AF*0.5,V:V&gt;=5000,AF:AF*1,V:V&lt;3000,0)</f>
        <v>0</v>
      </c>
      <c r="AI241" s="68" t="str">
        <f>A:A&amp;D:D&amp;G:G&amp;$AF$1&amp;AF:AF&amp;"元，目前预收价值"&amp;U:U&amp;"，"&amp;$AG$1&amp;AG:AG&amp;"元，"&amp;$AH$1&amp;AH:AH&amp;"元"</f>
        <v>谢家集顾正莉伙伴冲锋队缴费金额0元，目前预收价值0，预收拟返还0元，承保拟返还0元</v>
      </c>
      <c r="AJ241" s="68">
        <f>SUMIF(保单!R:R,E:E,保单!BE:BE)*IF(AF:AF&gt;1,1,0)</f>
        <v>0</v>
      </c>
      <c r="AK241" s="68">
        <f>SUMIFS(保单!BE:BE,保单!R:R,E:E,保单!BB:BB,"有效")*IF(AF:AF&gt;1,1,0)</f>
        <v>0</v>
      </c>
      <c r="AL241" s="72" t="str">
        <f>A:A&amp;D:D&amp;G:G&amp;"只要在1-10日承保全部保单，即可获得"&amp;$AJ$1&amp;AJ:AJ&amp;"个"</f>
        <v>谢家集顾正莉伙伴只要在1-10日承保全部保单，即可获得冲锋队按摩仪0个</v>
      </c>
    </row>
    <row r="242" spans="1:38">
      <c r="A242" s="64" t="s">
        <v>42</v>
      </c>
      <c r="B242" s="64" t="s">
        <v>43</v>
      </c>
      <c r="C242" s="64" t="s">
        <v>44</v>
      </c>
      <c r="D242" s="64" t="s">
        <v>479</v>
      </c>
      <c r="E242" s="64">
        <v>5596364242</v>
      </c>
      <c r="F242" s="64" t="s">
        <v>174</v>
      </c>
      <c r="G242" s="64" t="str">
        <f>IF(OR(F:F="高级经理一级",F:F="业务经理一级"),"主管","伙伴")</f>
        <v>伙伴</v>
      </c>
      <c r="H242" s="65">
        <f>SUMIF(险种!E:E,E:E,险种!R:R)-SUMIFS(险种!R:R,险种!U:U,"终止",险种!E:E,E:E)</f>
        <v>0</v>
      </c>
      <c r="I242" s="65">
        <f>SUMIFS(险种!R:R,险种!U:U,"有效",险种!E:E,E:E)</f>
        <v>0</v>
      </c>
      <c r="J242" s="65">
        <f>ROUND(SUMIF(险种!E:E,E:E,险种!Q:Q)-SUMIFS(险种!Q:Q,险种!U:U,"终止",险种!E:E,E:E),1)</f>
        <v>0</v>
      </c>
      <c r="K242" s="68">
        <f>RANK(J242,J:J)</f>
        <v>22</v>
      </c>
      <c r="L242" s="65">
        <f>ROUND(SUMIFS(险种!Q:Q,险种!U:U,"有效",险种!E:E,E:E),1)</f>
        <v>0</v>
      </c>
      <c r="M242" s="68">
        <f>RANK(L242,L:L,)</f>
        <v>14</v>
      </c>
      <c r="N242" s="68">
        <f>SUMIF(险种!E:E,E:E,险种!W:W)</f>
        <v>0</v>
      </c>
      <c r="O242" s="68">
        <f>IF(N:N&gt;=1,1,0)</f>
        <v>0</v>
      </c>
      <c r="P242" s="65">
        <f>ROUND(SUMIFS(险种!Q:Q,险种!V:V,$P$1,险种!E:E,E:E),1)</f>
        <v>0</v>
      </c>
      <c r="Q242" s="68">
        <f>RANK(P242,$P:$P,0)-1</f>
        <v>5</v>
      </c>
      <c r="R242" s="68" t="str">
        <f>A:A&amp;D:D&amp;G:G&amp;"在"&amp;$P$1&amp;"预收"&amp;P:P&amp;"排名中支第"&amp;Q:Q&amp;"位"</f>
        <v>淮南本部胡孝萍伙伴在20210509预收0排名中支第5位</v>
      </c>
      <c r="S242" s="65">
        <f>ROUND(SUMIFS(险种!Q:Q,险种!E:E,E:E,险种!V:V,"&lt;=20210506")-SUMIFS(险种!Q:Q,险种!U:U,"终止",险种!E:E,E:E,险种!V:V,"&lt;=20210506"),1)</f>
        <v>0</v>
      </c>
      <c r="T242" s="65">
        <f>ROUND(SUMIFS(险种!Q:Q,险种!U:U,"有效",险种!E:E,E:E,险种!V:V,"&lt;=20210506"),1)</f>
        <v>0</v>
      </c>
      <c r="U242" s="65">
        <f>ROUND(SUMIFS(险种!Q:Q,险种!E:E,E:E,险种!V:V,"&lt;=20210510")-SUMIFS(险种!Q:Q,险种!U:U,"终止",险种!E:E,E:E,险种!V:V,"&lt;=20210510"),1)</f>
        <v>0</v>
      </c>
      <c r="V242" s="65">
        <f>ROUND(SUMIFS(险种!Q:Q,险种!U:U,"有效",险种!E:E,E:E,险种!V:V,"&lt;=20210510"),1)</f>
        <v>0</v>
      </c>
      <c r="W242" s="65">
        <f t="shared" si="3"/>
        <v>0</v>
      </c>
      <c r="X242" s="68">
        <f>SUMIF(险种!E:E,E:E,险种!Y:Y)</f>
        <v>0</v>
      </c>
      <c r="Y242" s="65">
        <f>MAX(_xlfn.IFS(OR(X:X=1,X:X=2),J:J*0.1,X:X&gt;=3,J:J*0.2,X:X=0,0),IF(J:J&gt;=20000,J:J*0.2,0))</f>
        <v>0</v>
      </c>
      <c r="Z242" s="65" t="str">
        <f>A242&amp;D242&amp;G242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淮南本部胡孝萍伙伴5.1-5.10预收价值保费0，首周预收3000P件数0件，预收拟加佣0元。温馨提示，保单需10日（含）前承保，目前还有0价值保费未承保,开单一件即可获得10%加佣</v>
      </c>
      <c r="AA242" s="68">
        <f>SUMIF(险种!E:E,E:E,险种!Z:Z)</f>
        <v>0</v>
      </c>
      <c r="AB242" s="65"/>
      <c r="AC242" s="68">
        <f>SUMIF(险种!E:E,E:E,险种!AA:AA)</f>
        <v>0</v>
      </c>
      <c r="AD242" s="68">
        <f>SUMIFS(险种!AA:AA,险种!U:U,"有效",险种!E:E,E:E)</f>
        <v>0</v>
      </c>
      <c r="AE242" s="68" t="str">
        <f>A242&amp;D242&amp;G242&amp;"目前获得"&amp;$AC$1&amp;AC:AC&amp;"名，获得"&amp;$AD$1&amp;AD:AD&amp;"名"</f>
        <v>淮南本部胡孝萍伙伴目前获得龙虾节预收名额0名，获得龙虾节承保名额0名</v>
      </c>
      <c r="AF242" s="68">
        <f>SUMIF(认购返还案!D:D,E:E,认购返还案!E:E)</f>
        <v>200</v>
      </c>
      <c r="AG242" s="68">
        <f>_xlfn.IFS(AND(U:U&gt;=3000,U:U&lt;5000),AF:AF*0.5,U:U&gt;=5000,AF:AF*1,U:U&lt;3000,0)</f>
        <v>0</v>
      </c>
      <c r="AH242" s="68">
        <f>_xlfn.IFS(AND(V:V&gt;=3000,V:V&lt;5000),AF:AF*0.5,V:V&gt;=5000,AF:AF*1,V:V&lt;3000,0)</f>
        <v>0</v>
      </c>
      <c r="AI242" s="68" t="str">
        <f>A:A&amp;D:D&amp;G:G&amp;$AF$1&amp;AF:AF&amp;"元，目前预收价值"&amp;U:U&amp;"，"&amp;$AG$1&amp;AG:AG&amp;"元，"&amp;$AH$1&amp;AH:AH&amp;"元"</f>
        <v>淮南本部胡孝萍伙伴冲锋队缴费金额200元，目前预收价值0，预收拟返还0元，承保拟返还0元</v>
      </c>
      <c r="AJ242" s="68">
        <f>SUMIF(保单!R:R,E:E,保单!BE:BE)*IF(AF:AF&gt;1,1,0)</f>
        <v>0</v>
      </c>
      <c r="AK242" s="68">
        <f>SUMIFS(保单!BE:BE,保单!R:R,E:E,保单!BB:BB,"有效")*IF(AF:AF&gt;1,1,0)</f>
        <v>0</v>
      </c>
      <c r="AL242" s="72" t="str">
        <f>A:A&amp;D:D&amp;G:G&amp;"只要在1-10日承保全部保单，即可获得"&amp;$AJ$1&amp;AJ:AJ&amp;"个"</f>
        <v>淮南本部胡孝萍伙伴只要在1-10日承保全部保单，即可获得冲锋队按摩仪0个</v>
      </c>
    </row>
    <row r="243" spans="1:38">
      <c r="A243" s="64" t="s">
        <v>27</v>
      </c>
      <c r="B243" s="64" t="s">
        <v>94</v>
      </c>
      <c r="C243" s="64" t="s">
        <v>95</v>
      </c>
      <c r="D243" s="64" t="s">
        <v>480</v>
      </c>
      <c r="E243" s="64">
        <v>5585829322</v>
      </c>
      <c r="F243" s="64" t="s">
        <v>174</v>
      </c>
      <c r="G243" s="64" t="str">
        <f>IF(OR(F:F="高级经理一级",F:F="业务经理一级"),"主管","伙伴")</f>
        <v>伙伴</v>
      </c>
      <c r="H243" s="65">
        <f>SUMIF(险种!E:E,E:E,险种!R:R)-SUMIFS(险种!R:R,险种!U:U,"终止",险种!E:E,E:E)</f>
        <v>0</v>
      </c>
      <c r="I243" s="65">
        <f>SUMIFS(险种!R:R,险种!U:U,"有效",险种!E:E,E:E)</f>
        <v>0</v>
      </c>
      <c r="J243" s="65">
        <f>ROUND(SUMIF(险种!E:E,E:E,险种!Q:Q)-SUMIFS(险种!Q:Q,险种!U:U,"终止",险种!E:E,E:E),1)</f>
        <v>0</v>
      </c>
      <c r="K243" s="68">
        <f>RANK(J243,J:J)</f>
        <v>22</v>
      </c>
      <c r="L243" s="65">
        <f>ROUND(SUMIFS(险种!Q:Q,险种!U:U,"有效",险种!E:E,E:E),1)</f>
        <v>0</v>
      </c>
      <c r="M243" s="68">
        <f>RANK(L243,L:L,)</f>
        <v>14</v>
      </c>
      <c r="N243" s="68">
        <f>SUMIF(险种!E:E,E:E,险种!W:W)</f>
        <v>0</v>
      </c>
      <c r="O243" s="68">
        <f>IF(N:N&gt;=1,1,0)</f>
        <v>0</v>
      </c>
      <c r="P243" s="65">
        <f>ROUND(SUMIFS(险种!Q:Q,险种!V:V,$P$1,险种!E:E,E:E),1)</f>
        <v>0</v>
      </c>
      <c r="Q243" s="68">
        <f>RANK(P243,$P:$P,0)-1</f>
        <v>5</v>
      </c>
      <c r="R243" s="68" t="str">
        <f>A:A&amp;D:D&amp;G:G&amp;"在"&amp;$P$1&amp;"预收"&amp;P:P&amp;"排名中支第"&amp;Q:Q&amp;"位"</f>
        <v>凤台曹化利伙伴在20210509预收0排名中支第5位</v>
      </c>
      <c r="S243" s="65">
        <f>ROUND(SUMIFS(险种!Q:Q,险种!E:E,E:E,险种!V:V,"&lt;=20210506")-SUMIFS(险种!Q:Q,险种!U:U,"终止",险种!E:E,E:E,险种!V:V,"&lt;=20210506"),1)</f>
        <v>0</v>
      </c>
      <c r="T243" s="65">
        <f>ROUND(SUMIFS(险种!Q:Q,险种!U:U,"有效",险种!E:E,E:E,险种!V:V,"&lt;=20210506"),1)</f>
        <v>0</v>
      </c>
      <c r="U243" s="65">
        <f>ROUND(SUMIFS(险种!Q:Q,险种!E:E,E:E,险种!V:V,"&lt;=20210510")-SUMIFS(险种!Q:Q,险种!U:U,"终止",险种!E:E,E:E,险种!V:V,"&lt;=20210510"),1)</f>
        <v>0</v>
      </c>
      <c r="V243" s="65">
        <f>ROUND(SUMIFS(险种!Q:Q,险种!U:U,"有效",险种!E:E,E:E,险种!V:V,"&lt;=20210510"),1)</f>
        <v>0</v>
      </c>
      <c r="W243" s="65">
        <f t="shared" si="3"/>
        <v>0</v>
      </c>
      <c r="X243" s="68">
        <f>SUMIF(险种!E:E,E:E,险种!Y:Y)</f>
        <v>0</v>
      </c>
      <c r="Y243" s="65">
        <f>MAX(_xlfn.IFS(OR(X:X=1,X:X=2),J:J*0.1,X:X&gt;=3,J:J*0.2,X:X=0,0),IF(J:J&gt;=20000,J:J*0.2,0))</f>
        <v>0</v>
      </c>
      <c r="Z243" s="65" t="str">
        <f>A243&amp;D243&amp;G243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凤台曹化利伙伴5.1-5.10预收价值保费0，首周预收3000P件数0件，预收拟加佣0元。温馨提示，保单需10日（含）前承保，目前还有0价值保费未承保,开单一件即可获得10%加佣</v>
      </c>
      <c r="AA243" s="68">
        <f>SUMIF(险种!E:E,E:E,险种!Z:Z)</f>
        <v>0</v>
      </c>
      <c r="AB243" s="65"/>
      <c r="AC243" s="68">
        <f>SUMIF(险种!E:E,E:E,险种!AA:AA)</f>
        <v>0</v>
      </c>
      <c r="AD243" s="68">
        <f>SUMIFS(险种!AA:AA,险种!U:U,"有效",险种!E:E,E:E)</f>
        <v>0</v>
      </c>
      <c r="AE243" s="68" t="str">
        <f>A243&amp;D243&amp;G243&amp;"目前获得"&amp;$AC$1&amp;AC:AC&amp;"名，获得"&amp;$AD$1&amp;AD:AD&amp;"名"</f>
        <v>凤台曹化利伙伴目前获得龙虾节预收名额0名，获得龙虾节承保名额0名</v>
      </c>
      <c r="AF243" s="68">
        <f>SUMIF(认购返还案!D:D,E:E,认购返还案!E:E)</f>
        <v>0</v>
      </c>
      <c r="AG243" s="68">
        <f>_xlfn.IFS(AND(U:U&gt;=3000,U:U&lt;5000),AF:AF*0.5,U:U&gt;=5000,AF:AF*1,U:U&lt;3000,0)</f>
        <v>0</v>
      </c>
      <c r="AH243" s="68">
        <f>_xlfn.IFS(AND(V:V&gt;=3000,V:V&lt;5000),AF:AF*0.5,V:V&gt;=5000,AF:AF*1,V:V&lt;3000,0)</f>
        <v>0</v>
      </c>
      <c r="AI243" s="68" t="str">
        <f>A:A&amp;D:D&amp;G:G&amp;$AF$1&amp;AF:AF&amp;"元，目前预收价值"&amp;U:U&amp;"，"&amp;$AG$1&amp;AG:AG&amp;"元，"&amp;$AH$1&amp;AH:AH&amp;"元"</f>
        <v>凤台曹化利伙伴冲锋队缴费金额0元，目前预收价值0，预收拟返还0元，承保拟返还0元</v>
      </c>
      <c r="AJ243" s="68">
        <f>SUMIF(保单!R:R,E:E,保单!BE:BE)*IF(AF:AF&gt;1,1,0)</f>
        <v>0</v>
      </c>
      <c r="AK243" s="68">
        <f>SUMIFS(保单!BE:BE,保单!R:R,E:E,保单!BB:BB,"有效")*IF(AF:AF&gt;1,1,0)</f>
        <v>0</v>
      </c>
      <c r="AL243" s="72" t="str">
        <f>A:A&amp;D:D&amp;G:G&amp;"只要在1-10日承保全部保单，即可获得"&amp;$AJ$1&amp;AJ:AJ&amp;"个"</f>
        <v>凤台曹化利伙伴只要在1-10日承保全部保单，即可获得冲锋队按摩仪0个</v>
      </c>
    </row>
    <row r="244" spans="1:38">
      <c r="A244" s="64" t="s">
        <v>48</v>
      </c>
      <c r="B244" s="64" t="s">
        <v>49</v>
      </c>
      <c r="C244" s="64" t="s">
        <v>98</v>
      </c>
      <c r="D244" s="64" t="s">
        <v>481</v>
      </c>
      <c r="E244" s="64">
        <v>5522384052</v>
      </c>
      <c r="F244" s="64" t="s">
        <v>174</v>
      </c>
      <c r="G244" s="64" t="str">
        <f>IF(OR(F:F="高级经理一级",F:F="业务经理一级"),"主管","伙伴")</f>
        <v>伙伴</v>
      </c>
      <c r="H244" s="65">
        <f>SUMIF(险种!E:E,E:E,险种!R:R)-SUMIFS(险种!R:R,险种!U:U,"终止",险种!E:E,E:E)</f>
        <v>0</v>
      </c>
      <c r="I244" s="65">
        <f>SUMIFS(险种!R:R,险种!U:U,"有效",险种!E:E,E:E)</f>
        <v>0</v>
      </c>
      <c r="J244" s="65">
        <f>ROUND(SUMIF(险种!E:E,E:E,险种!Q:Q)-SUMIFS(险种!Q:Q,险种!U:U,"终止",险种!E:E,E:E),1)</f>
        <v>0</v>
      </c>
      <c r="K244" s="68">
        <f>RANK(J244,J:J)</f>
        <v>22</v>
      </c>
      <c r="L244" s="65">
        <f>ROUND(SUMIFS(险种!Q:Q,险种!U:U,"有效",险种!E:E,E:E),1)</f>
        <v>0</v>
      </c>
      <c r="M244" s="68">
        <f>RANK(L244,L:L,)</f>
        <v>14</v>
      </c>
      <c r="N244" s="68">
        <f>SUMIF(险种!E:E,E:E,险种!W:W)</f>
        <v>0</v>
      </c>
      <c r="O244" s="68">
        <f>IF(N:N&gt;=1,1,0)</f>
        <v>0</v>
      </c>
      <c r="P244" s="65">
        <f>ROUND(SUMIFS(险种!Q:Q,险种!V:V,$P$1,险种!E:E,E:E),1)</f>
        <v>0</v>
      </c>
      <c r="Q244" s="68">
        <f>RANK(P244,$P:$P,0)-1</f>
        <v>5</v>
      </c>
      <c r="R244" s="68" t="str">
        <f>A:A&amp;D:D&amp;G:G&amp;"在"&amp;$P$1&amp;"预收"&amp;P:P&amp;"排名中支第"&amp;Q:Q&amp;"位"</f>
        <v>谢家集代伟伟伙伴在20210509预收0排名中支第5位</v>
      </c>
      <c r="S244" s="65">
        <f>ROUND(SUMIFS(险种!Q:Q,险种!E:E,E:E,险种!V:V,"&lt;=20210506")-SUMIFS(险种!Q:Q,险种!U:U,"终止",险种!E:E,E:E,险种!V:V,"&lt;=20210506"),1)</f>
        <v>0</v>
      </c>
      <c r="T244" s="65">
        <f>ROUND(SUMIFS(险种!Q:Q,险种!U:U,"有效",险种!E:E,E:E,险种!V:V,"&lt;=20210506"),1)</f>
        <v>0</v>
      </c>
      <c r="U244" s="65">
        <f>ROUND(SUMIFS(险种!Q:Q,险种!E:E,E:E,险种!V:V,"&lt;=20210510")-SUMIFS(险种!Q:Q,险种!U:U,"终止",险种!E:E,E:E,险种!V:V,"&lt;=20210510"),1)</f>
        <v>0</v>
      </c>
      <c r="V244" s="65">
        <f>ROUND(SUMIFS(险种!Q:Q,险种!U:U,"有效",险种!E:E,E:E,险种!V:V,"&lt;=20210510"),1)</f>
        <v>0</v>
      </c>
      <c r="W244" s="65">
        <f t="shared" si="3"/>
        <v>0</v>
      </c>
      <c r="X244" s="68">
        <f>SUMIF(险种!E:E,E:E,险种!Y:Y)</f>
        <v>0</v>
      </c>
      <c r="Y244" s="65">
        <f>MAX(_xlfn.IFS(OR(X:X=1,X:X=2),J:J*0.1,X:X&gt;=3,J:J*0.2,X:X=0,0),IF(J:J&gt;=20000,J:J*0.2,0))</f>
        <v>0</v>
      </c>
      <c r="Z244" s="65" t="str">
        <f>A244&amp;D244&amp;G244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谢家集代伟伟伙伴5.1-5.10预收价值保费0，首周预收3000P件数0件，预收拟加佣0元。温馨提示，保单需10日（含）前承保，目前还有0价值保费未承保,开单一件即可获得10%加佣</v>
      </c>
      <c r="AA244" s="68">
        <f>SUMIF(险种!E:E,E:E,险种!Z:Z)</f>
        <v>0</v>
      </c>
      <c r="AB244" s="65"/>
      <c r="AC244" s="68">
        <f>SUMIF(险种!E:E,E:E,险种!AA:AA)</f>
        <v>0</v>
      </c>
      <c r="AD244" s="68">
        <f>SUMIFS(险种!AA:AA,险种!U:U,"有效",险种!E:E,E:E)</f>
        <v>0</v>
      </c>
      <c r="AE244" s="68" t="str">
        <f>A244&amp;D244&amp;G244&amp;"目前获得"&amp;$AC$1&amp;AC:AC&amp;"名，获得"&amp;$AD$1&amp;AD:AD&amp;"名"</f>
        <v>谢家集代伟伟伙伴目前获得龙虾节预收名额0名，获得龙虾节承保名额0名</v>
      </c>
      <c r="AF244" s="68">
        <f>SUMIF(认购返还案!D:D,E:E,认购返还案!E:E)</f>
        <v>0</v>
      </c>
      <c r="AG244" s="68">
        <f>_xlfn.IFS(AND(U:U&gt;=3000,U:U&lt;5000),AF:AF*0.5,U:U&gt;=5000,AF:AF*1,U:U&lt;3000,0)</f>
        <v>0</v>
      </c>
      <c r="AH244" s="68">
        <f>_xlfn.IFS(AND(V:V&gt;=3000,V:V&lt;5000),AF:AF*0.5,V:V&gt;=5000,AF:AF*1,V:V&lt;3000,0)</f>
        <v>0</v>
      </c>
      <c r="AI244" s="68" t="str">
        <f>A:A&amp;D:D&amp;G:G&amp;$AF$1&amp;AF:AF&amp;"元，目前预收价值"&amp;U:U&amp;"，"&amp;$AG$1&amp;AG:AG&amp;"元，"&amp;$AH$1&amp;AH:AH&amp;"元"</f>
        <v>谢家集代伟伟伙伴冲锋队缴费金额0元，目前预收价值0，预收拟返还0元，承保拟返还0元</v>
      </c>
      <c r="AJ244" s="68">
        <f>SUMIF(保单!R:R,E:E,保单!BE:BE)*IF(AF:AF&gt;1,1,0)</f>
        <v>0</v>
      </c>
      <c r="AK244" s="68">
        <f>SUMIFS(保单!BE:BE,保单!R:R,E:E,保单!BB:BB,"有效")*IF(AF:AF&gt;1,1,0)</f>
        <v>0</v>
      </c>
      <c r="AL244" s="72" t="str">
        <f>A:A&amp;D:D&amp;G:G&amp;"只要在1-10日承保全部保单，即可获得"&amp;$AJ$1&amp;AJ:AJ&amp;"个"</f>
        <v>谢家集代伟伟伙伴只要在1-10日承保全部保单，即可获得冲锋队按摩仪0个</v>
      </c>
    </row>
    <row r="245" spans="1:38">
      <c r="A245" s="64" t="s">
        <v>48</v>
      </c>
      <c r="B245" s="64" t="s">
        <v>49</v>
      </c>
      <c r="C245" s="64" t="s">
        <v>50</v>
      </c>
      <c r="D245" s="64" t="s">
        <v>286</v>
      </c>
      <c r="E245" s="64">
        <v>5508877512</v>
      </c>
      <c r="F245" s="64" t="s">
        <v>174</v>
      </c>
      <c r="G245" s="64" t="str">
        <f>IF(OR(F:F="高级经理一级",F:F="业务经理一级"),"主管","伙伴")</f>
        <v>伙伴</v>
      </c>
      <c r="H245" s="65">
        <f>SUMIF(险种!E:E,E:E,险种!R:R)-SUMIFS(险种!R:R,险种!U:U,"终止",险种!E:E,E:E)</f>
        <v>0</v>
      </c>
      <c r="I245" s="65">
        <f>SUMIFS(险种!R:R,险种!U:U,"有效",险种!E:E,E:E)</f>
        <v>0</v>
      </c>
      <c r="J245" s="65">
        <f>ROUND(SUMIF(险种!E:E,E:E,险种!Q:Q)-SUMIFS(险种!Q:Q,险种!U:U,"终止",险种!E:E,E:E),1)</f>
        <v>0</v>
      </c>
      <c r="K245" s="68">
        <f>RANK(J245,J:J)</f>
        <v>22</v>
      </c>
      <c r="L245" s="65">
        <f>ROUND(SUMIFS(险种!Q:Q,险种!U:U,"有效",险种!E:E,E:E),1)</f>
        <v>0</v>
      </c>
      <c r="M245" s="68">
        <f>RANK(L245,L:L,)</f>
        <v>14</v>
      </c>
      <c r="N245" s="68">
        <f>SUMIF(险种!E:E,E:E,险种!W:W)</f>
        <v>0</v>
      </c>
      <c r="O245" s="68">
        <f>IF(N:N&gt;=1,1,0)</f>
        <v>0</v>
      </c>
      <c r="P245" s="65">
        <f>ROUND(SUMIFS(险种!Q:Q,险种!V:V,$P$1,险种!E:E,E:E),1)</f>
        <v>0</v>
      </c>
      <c r="Q245" s="68">
        <f>RANK(P245,$P:$P,0)-1</f>
        <v>5</v>
      </c>
      <c r="R245" s="68" t="str">
        <f>A:A&amp;D:D&amp;G:G&amp;"在"&amp;$P$1&amp;"预收"&amp;P:P&amp;"排名中支第"&amp;Q:Q&amp;"位"</f>
        <v>谢家集刘艳伙伴在20210509预收0排名中支第5位</v>
      </c>
      <c r="S245" s="65">
        <f>ROUND(SUMIFS(险种!Q:Q,险种!E:E,E:E,险种!V:V,"&lt;=20210506")-SUMIFS(险种!Q:Q,险种!U:U,"终止",险种!E:E,E:E,险种!V:V,"&lt;=20210506"),1)</f>
        <v>0</v>
      </c>
      <c r="T245" s="65">
        <f>ROUND(SUMIFS(险种!Q:Q,险种!U:U,"有效",险种!E:E,E:E,险种!V:V,"&lt;=20210506"),1)</f>
        <v>0</v>
      </c>
      <c r="U245" s="65">
        <f>ROUND(SUMIFS(险种!Q:Q,险种!E:E,E:E,险种!V:V,"&lt;=20210510")-SUMIFS(险种!Q:Q,险种!U:U,"终止",险种!E:E,E:E,险种!V:V,"&lt;=20210510"),1)</f>
        <v>0</v>
      </c>
      <c r="V245" s="65">
        <f>ROUND(SUMIFS(险种!Q:Q,险种!U:U,"有效",险种!E:E,E:E,险种!V:V,"&lt;=20210510"),1)</f>
        <v>0</v>
      </c>
      <c r="W245" s="65">
        <f t="shared" si="3"/>
        <v>0</v>
      </c>
      <c r="X245" s="68">
        <f>SUMIF(险种!E:E,E:E,险种!Y:Y)</f>
        <v>0</v>
      </c>
      <c r="Y245" s="65">
        <f>MAX(_xlfn.IFS(OR(X:X=1,X:X=2),J:J*0.1,X:X&gt;=3,J:J*0.2,X:X=0,0),IF(J:J&gt;=20000,J:J*0.2,0))</f>
        <v>0</v>
      </c>
      <c r="Z245" s="65" t="str">
        <f>A245&amp;D245&amp;G245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谢家集刘艳伙伴5.1-5.10预收价值保费0，首周预收3000P件数0件，预收拟加佣0元。温馨提示，保单需10日（含）前承保，目前还有0价值保费未承保,开单一件即可获得10%加佣</v>
      </c>
      <c r="AA245" s="68">
        <f>SUMIF(险种!E:E,E:E,险种!Z:Z)</f>
        <v>0</v>
      </c>
      <c r="AB245" s="65"/>
      <c r="AC245" s="68">
        <f>SUMIF(险种!E:E,E:E,险种!AA:AA)</f>
        <v>0</v>
      </c>
      <c r="AD245" s="68">
        <f>SUMIFS(险种!AA:AA,险种!U:U,"有效",险种!E:E,E:E)</f>
        <v>0</v>
      </c>
      <c r="AE245" s="68" t="str">
        <f>A245&amp;D245&amp;G245&amp;"目前获得"&amp;$AC$1&amp;AC:AC&amp;"名，获得"&amp;$AD$1&amp;AD:AD&amp;"名"</f>
        <v>谢家集刘艳伙伴目前获得龙虾节预收名额0名，获得龙虾节承保名额0名</v>
      </c>
      <c r="AF245" s="68">
        <f>SUMIF(认购返还案!D:D,E:E,认购返还案!E:E)</f>
        <v>0</v>
      </c>
      <c r="AG245" s="68">
        <f>_xlfn.IFS(AND(U:U&gt;=3000,U:U&lt;5000),AF:AF*0.5,U:U&gt;=5000,AF:AF*1,U:U&lt;3000,0)</f>
        <v>0</v>
      </c>
      <c r="AH245" s="68">
        <f>_xlfn.IFS(AND(V:V&gt;=3000,V:V&lt;5000),AF:AF*0.5,V:V&gt;=5000,AF:AF*1,V:V&lt;3000,0)</f>
        <v>0</v>
      </c>
      <c r="AI245" s="68" t="str">
        <f>A:A&amp;D:D&amp;G:G&amp;$AF$1&amp;AF:AF&amp;"元，目前预收价值"&amp;U:U&amp;"，"&amp;$AG$1&amp;AG:AG&amp;"元，"&amp;$AH$1&amp;AH:AH&amp;"元"</f>
        <v>谢家集刘艳伙伴冲锋队缴费金额0元，目前预收价值0，预收拟返还0元，承保拟返还0元</v>
      </c>
      <c r="AJ245" s="68">
        <f>SUMIF(保单!R:R,E:E,保单!BE:BE)*IF(AF:AF&gt;1,1,0)</f>
        <v>0</v>
      </c>
      <c r="AK245" s="68">
        <f>SUMIFS(保单!BE:BE,保单!R:R,E:E,保单!BB:BB,"有效")*IF(AF:AF&gt;1,1,0)</f>
        <v>0</v>
      </c>
      <c r="AL245" s="72" t="str">
        <f>A:A&amp;D:D&amp;G:G&amp;"只要在1-10日承保全部保单，即可获得"&amp;$AJ$1&amp;AJ:AJ&amp;"个"</f>
        <v>谢家集刘艳伙伴只要在1-10日承保全部保单，即可获得冲锋队按摩仪0个</v>
      </c>
    </row>
    <row r="246" spans="1:38">
      <c r="A246" s="64" t="s">
        <v>48</v>
      </c>
      <c r="B246" s="64" t="s">
        <v>49</v>
      </c>
      <c r="C246" s="64" t="s">
        <v>50</v>
      </c>
      <c r="D246" s="64" t="s">
        <v>482</v>
      </c>
      <c r="E246" s="64">
        <v>5508730662</v>
      </c>
      <c r="F246" s="64" t="s">
        <v>174</v>
      </c>
      <c r="G246" s="64" t="str">
        <f>IF(OR(F:F="高级经理一级",F:F="业务经理一级"),"主管","伙伴")</f>
        <v>伙伴</v>
      </c>
      <c r="H246" s="65">
        <f>SUMIF(险种!E:E,E:E,险种!R:R)-SUMIFS(险种!R:R,险种!U:U,"终止",险种!E:E,E:E)</f>
        <v>0</v>
      </c>
      <c r="I246" s="65">
        <f>SUMIFS(险种!R:R,险种!U:U,"有效",险种!E:E,E:E)</f>
        <v>0</v>
      </c>
      <c r="J246" s="65">
        <f>ROUND(SUMIF(险种!E:E,E:E,险种!Q:Q)-SUMIFS(险种!Q:Q,险种!U:U,"终止",险种!E:E,E:E),1)</f>
        <v>0</v>
      </c>
      <c r="K246" s="68">
        <f>RANK(J246,J:J)</f>
        <v>22</v>
      </c>
      <c r="L246" s="65">
        <f>ROUND(SUMIFS(险种!Q:Q,险种!U:U,"有效",险种!E:E,E:E),1)</f>
        <v>0</v>
      </c>
      <c r="M246" s="68">
        <f>RANK(L246,L:L,)</f>
        <v>14</v>
      </c>
      <c r="N246" s="68">
        <f>SUMIF(险种!E:E,E:E,险种!W:W)</f>
        <v>0</v>
      </c>
      <c r="O246" s="68">
        <f>IF(N:N&gt;=1,1,0)</f>
        <v>0</v>
      </c>
      <c r="P246" s="65">
        <f>ROUND(SUMIFS(险种!Q:Q,险种!V:V,$P$1,险种!E:E,E:E),1)</f>
        <v>0</v>
      </c>
      <c r="Q246" s="68">
        <f>RANK(P246,$P:$P,0)-1</f>
        <v>5</v>
      </c>
      <c r="R246" s="68" t="str">
        <f>A:A&amp;D:D&amp;G:G&amp;"在"&amp;$P$1&amp;"预收"&amp;P:P&amp;"排名中支第"&amp;Q:Q&amp;"位"</f>
        <v>谢家集李克勤伙伴在20210509预收0排名中支第5位</v>
      </c>
      <c r="S246" s="65">
        <f>ROUND(SUMIFS(险种!Q:Q,险种!E:E,E:E,险种!V:V,"&lt;=20210506")-SUMIFS(险种!Q:Q,险种!U:U,"终止",险种!E:E,E:E,险种!V:V,"&lt;=20210506"),1)</f>
        <v>0</v>
      </c>
      <c r="T246" s="65">
        <f>ROUND(SUMIFS(险种!Q:Q,险种!U:U,"有效",险种!E:E,E:E,险种!V:V,"&lt;=20210506"),1)</f>
        <v>0</v>
      </c>
      <c r="U246" s="65">
        <f>ROUND(SUMIFS(险种!Q:Q,险种!E:E,E:E,险种!V:V,"&lt;=20210510")-SUMIFS(险种!Q:Q,险种!U:U,"终止",险种!E:E,E:E,险种!V:V,"&lt;=20210510"),1)</f>
        <v>0</v>
      </c>
      <c r="V246" s="65">
        <f>ROUND(SUMIFS(险种!Q:Q,险种!U:U,"有效",险种!E:E,E:E,险种!V:V,"&lt;=20210510"),1)</f>
        <v>0</v>
      </c>
      <c r="W246" s="65">
        <f t="shared" si="3"/>
        <v>0</v>
      </c>
      <c r="X246" s="68">
        <f>SUMIF(险种!E:E,E:E,险种!Y:Y)</f>
        <v>0</v>
      </c>
      <c r="Y246" s="65">
        <f>MAX(_xlfn.IFS(OR(X:X=1,X:X=2),J:J*0.1,X:X&gt;=3,J:J*0.2,X:X=0,0),IF(J:J&gt;=20000,J:J*0.2,0))</f>
        <v>0</v>
      </c>
      <c r="Z246" s="65" t="str">
        <f>A246&amp;D246&amp;G246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谢家集李克勤伙伴5.1-5.10预收价值保费0，首周预收3000P件数0件，预收拟加佣0元。温馨提示，保单需10日（含）前承保，目前还有0价值保费未承保,开单一件即可获得10%加佣</v>
      </c>
      <c r="AA246" s="68">
        <f>SUMIF(险种!E:E,E:E,险种!Z:Z)</f>
        <v>0</v>
      </c>
      <c r="AB246" s="65"/>
      <c r="AC246" s="68">
        <f>SUMIF(险种!E:E,E:E,险种!AA:AA)</f>
        <v>0</v>
      </c>
      <c r="AD246" s="68">
        <f>SUMIFS(险种!AA:AA,险种!U:U,"有效",险种!E:E,E:E)</f>
        <v>0</v>
      </c>
      <c r="AE246" s="68" t="str">
        <f>A246&amp;D246&amp;G246&amp;"目前获得"&amp;$AC$1&amp;AC:AC&amp;"名，获得"&amp;$AD$1&amp;AD:AD&amp;"名"</f>
        <v>谢家集李克勤伙伴目前获得龙虾节预收名额0名，获得龙虾节承保名额0名</v>
      </c>
      <c r="AF246" s="68">
        <f>SUMIF(认购返还案!D:D,E:E,认购返还案!E:E)</f>
        <v>0</v>
      </c>
      <c r="AG246" s="68">
        <f>_xlfn.IFS(AND(U:U&gt;=3000,U:U&lt;5000),AF:AF*0.5,U:U&gt;=5000,AF:AF*1,U:U&lt;3000,0)</f>
        <v>0</v>
      </c>
      <c r="AH246" s="68">
        <f>_xlfn.IFS(AND(V:V&gt;=3000,V:V&lt;5000),AF:AF*0.5,V:V&gt;=5000,AF:AF*1,V:V&lt;3000,0)</f>
        <v>0</v>
      </c>
      <c r="AI246" s="68" t="str">
        <f>A:A&amp;D:D&amp;G:G&amp;$AF$1&amp;AF:AF&amp;"元，目前预收价值"&amp;U:U&amp;"，"&amp;$AG$1&amp;AG:AG&amp;"元，"&amp;$AH$1&amp;AH:AH&amp;"元"</f>
        <v>谢家集李克勤伙伴冲锋队缴费金额0元，目前预收价值0，预收拟返还0元，承保拟返还0元</v>
      </c>
      <c r="AJ246" s="68">
        <f>SUMIF(保单!R:R,E:E,保单!BE:BE)*IF(AF:AF&gt;1,1,0)</f>
        <v>0</v>
      </c>
      <c r="AK246" s="68">
        <f>SUMIFS(保单!BE:BE,保单!R:R,E:E,保单!BB:BB,"有效")*IF(AF:AF&gt;1,1,0)</f>
        <v>0</v>
      </c>
      <c r="AL246" s="72" t="str">
        <f>A:A&amp;D:D&amp;G:G&amp;"只要在1-10日承保全部保单，即可获得"&amp;$AJ$1&amp;AJ:AJ&amp;"个"</f>
        <v>谢家集李克勤伙伴只要在1-10日承保全部保单，即可获得冲锋队按摩仪0个</v>
      </c>
    </row>
    <row r="247" spans="1:38">
      <c r="A247" s="64" t="s">
        <v>27</v>
      </c>
      <c r="B247" s="64" t="s">
        <v>37</v>
      </c>
      <c r="C247" s="64" t="s">
        <v>110</v>
      </c>
      <c r="D247" s="64" t="s">
        <v>483</v>
      </c>
      <c r="E247" s="64">
        <v>5503212532</v>
      </c>
      <c r="F247" s="64" t="s">
        <v>174</v>
      </c>
      <c r="G247" s="64" t="str">
        <f>IF(OR(F:F="高级经理一级",F:F="业务经理一级"),"主管","伙伴")</f>
        <v>伙伴</v>
      </c>
      <c r="H247" s="65">
        <f>SUMIF(险种!E:E,E:E,险种!R:R)-SUMIFS(险种!R:R,险种!U:U,"终止",险种!E:E,E:E)</f>
        <v>0</v>
      </c>
      <c r="I247" s="65">
        <f>SUMIFS(险种!R:R,险种!U:U,"有效",险种!E:E,E:E)</f>
        <v>0</v>
      </c>
      <c r="J247" s="65">
        <f>ROUND(SUMIF(险种!E:E,E:E,险种!Q:Q)-SUMIFS(险种!Q:Q,险种!U:U,"终止",险种!E:E,E:E),1)</f>
        <v>0</v>
      </c>
      <c r="K247" s="68">
        <f>RANK(J247,J:J)</f>
        <v>22</v>
      </c>
      <c r="L247" s="65">
        <f>ROUND(SUMIFS(险种!Q:Q,险种!U:U,"有效",险种!E:E,E:E),1)</f>
        <v>0</v>
      </c>
      <c r="M247" s="68">
        <f>RANK(L247,L:L,)</f>
        <v>14</v>
      </c>
      <c r="N247" s="68">
        <f>SUMIF(险种!E:E,E:E,险种!W:W)</f>
        <v>0</v>
      </c>
      <c r="O247" s="68">
        <f>IF(N:N&gt;=1,1,0)</f>
        <v>0</v>
      </c>
      <c r="P247" s="65">
        <f>ROUND(SUMIFS(险种!Q:Q,险种!V:V,$P$1,险种!E:E,E:E),1)</f>
        <v>0</v>
      </c>
      <c r="Q247" s="68">
        <f>RANK(P247,$P:$P,0)-1</f>
        <v>5</v>
      </c>
      <c r="R247" s="68" t="str">
        <f>A:A&amp;D:D&amp;G:G&amp;"在"&amp;$P$1&amp;"预收"&amp;P:P&amp;"排名中支第"&amp;Q:Q&amp;"位"</f>
        <v>凤台刘庆书伙伴在20210509预收0排名中支第5位</v>
      </c>
      <c r="S247" s="65">
        <f>ROUND(SUMIFS(险种!Q:Q,险种!E:E,E:E,险种!V:V,"&lt;=20210506")-SUMIFS(险种!Q:Q,险种!U:U,"终止",险种!E:E,E:E,险种!V:V,"&lt;=20210506"),1)</f>
        <v>0</v>
      </c>
      <c r="T247" s="65">
        <f>ROUND(SUMIFS(险种!Q:Q,险种!U:U,"有效",险种!E:E,E:E,险种!V:V,"&lt;=20210506"),1)</f>
        <v>0</v>
      </c>
      <c r="U247" s="65">
        <f>ROUND(SUMIFS(险种!Q:Q,险种!E:E,E:E,险种!V:V,"&lt;=20210510")-SUMIFS(险种!Q:Q,险种!U:U,"终止",险种!E:E,E:E,险种!V:V,"&lt;=20210510"),1)</f>
        <v>0</v>
      </c>
      <c r="V247" s="65">
        <f>ROUND(SUMIFS(险种!Q:Q,险种!U:U,"有效",险种!E:E,E:E,险种!V:V,"&lt;=20210510"),1)</f>
        <v>0</v>
      </c>
      <c r="W247" s="65">
        <f t="shared" si="3"/>
        <v>0</v>
      </c>
      <c r="X247" s="68">
        <f>SUMIF(险种!E:E,E:E,险种!Y:Y)</f>
        <v>0</v>
      </c>
      <c r="Y247" s="65">
        <f>MAX(_xlfn.IFS(OR(X:X=1,X:X=2),J:J*0.1,X:X&gt;=3,J:J*0.2,X:X=0,0),IF(J:J&gt;=20000,J:J*0.2,0))</f>
        <v>0</v>
      </c>
      <c r="Z247" s="65" t="str">
        <f>A247&amp;D247&amp;G247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凤台刘庆书伙伴5.1-5.10预收价值保费0，首周预收3000P件数0件，预收拟加佣0元。温馨提示，保单需10日（含）前承保，目前还有0价值保费未承保,开单一件即可获得10%加佣</v>
      </c>
      <c r="AA247" s="68">
        <f>SUMIF(险种!E:E,E:E,险种!Z:Z)</f>
        <v>0</v>
      </c>
      <c r="AB247" s="65"/>
      <c r="AC247" s="68">
        <f>SUMIF(险种!E:E,E:E,险种!AA:AA)</f>
        <v>0</v>
      </c>
      <c r="AD247" s="68">
        <f>SUMIFS(险种!AA:AA,险种!U:U,"有效",险种!E:E,E:E)</f>
        <v>0</v>
      </c>
      <c r="AE247" s="68" t="str">
        <f>A247&amp;D247&amp;G247&amp;"目前获得"&amp;$AC$1&amp;AC:AC&amp;"名，获得"&amp;$AD$1&amp;AD:AD&amp;"名"</f>
        <v>凤台刘庆书伙伴目前获得龙虾节预收名额0名，获得龙虾节承保名额0名</v>
      </c>
      <c r="AF247" s="68">
        <f>SUMIF(认购返还案!D:D,E:E,认购返还案!E:E)</f>
        <v>0</v>
      </c>
      <c r="AG247" s="68">
        <f>_xlfn.IFS(AND(U:U&gt;=3000,U:U&lt;5000),AF:AF*0.5,U:U&gt;=5000,AF:AF*1,U:U&lt;3000,0)</f>
        <v>0</v>
      </c>
      <c r="AH247" s="68">
        <f>_xlfn.IFS(AND(V:V&gt;=3000,V:V&lt;5000),AF:AF*0.5,V:V&gt;=5000,AF:AF*1,V:V&lt;3000,0)</f>
        <v>0</v>
      </c>
      <c r="AI247" s="68" t="str">
        <f>A:A&amp;D:D&amp;G:G&amp;$AF$1&amp;AF:AF&amp;"元，目前预收价值"&amp;U:U&amp;"，"&amp;$AG$1&amp;AG:AG&amp;"元，"&amp;$AH$1&amp;AH:AH&amp;"元"</f>
        <v>凤台刘庆书伙伴冲锋队缴费金额0元，目前预收价值0，预收拟返还0元，承保拟返还0元</v>
      </c>
      <c r="AJ247" s="68">
        <f>SUMIF(保单!R:R,E:E,保单!BE:BE)*IF(AF:AF&gt;1,1,0)</f>
        <v>0</v>
      </c>
      <c r="AK247" s="68">
        <f>SUMIFS(保单!BE:BE,保单!R:R,E:E,保单!BB:BB,"有效")*IF(AF:AF&gt;1,1,0)</f>
        <v>0</v>
      </c>
      <c r="AL247" s="72" t="str">
        <f>A:A&amp;D:D&amp;G:G&amp;"只要在1-10日承保全部保单，即可获得"&amp;$AJ$1&amp;AJ:AJ&amp;"个"</f>
        <v>凤台刘庆书伙伴只要在1-10日承保全部保单，即可获得冲锋队按摩仪0个</v>
      </c>
    </row>
    <row r="248" spans="1:38">
      <c r="A248" s="64" t="s">
        <v>48</v>
      </c>
      <c r="B248" s="64" t="s">
        <v>49</v>
      </c>
      <c r="C248" s="64" t="s">
        <v>50</v>
      </c>
      <c r="D248" s="64" t="s">
        <v>484</v>
      </c>
      <c r="E248" s="64">
        <v>5502582482</v>
      </c>
      <c r="F248" s="64" t="s">
        <v>168</v>
      </c>
      <c r="G248" s="64" t="str">
        <f>IF(OR(F:F="高级经理一级",F:F="业务经理一级"),"主管","伙伴")</f>
        <v>伙伴</v>
      </c>
      <c r="H248" s="65">
        <f>SUMIF(险种!E:E,E:E,险种!R:R)-SUMIFS(险种!R:R,险种!U:U,"终止",险种!E:E,E:E)</f>
        <v>0</v>
      </c>
      <c r="I248" s="65">
        <f>SUMIFS(险种!R:R,险种!U:U,"有效",险种!E:E,E:E)</f>
        <v>0</v>
      </c>
      <c r="J248" s="65">
        <f>ROUND(SUMIF(险种!E:E,E:E,险种!Q:Q)-SUMIFS(险种!Q:Q,险种!U:U,"终止",险种!E:E,E:E),1)</f>
        <v>0</v>
      </c>
      <c r="K248" s="68">
        <f>RANK(J248,J:J)</f>
        <v>22</v>
      </c>
      <c r="L248" s="65">
        <f>ROUND(SUMIFS(险种!Q:Q,险种!U:U,"有效",险种!E:E,E:E),1)</f>
        <v>0</v>
      </c>
      <c r="M248" s="68">
        <f>RANK(L248,L:L,)</f>
        <v>14</v>
      </c>
      <c r="N248" s="68">
        <f>SUMIF(险种!E:E,E:E,险种!W:W)</f>
        <v>0</v>
      </c>
      <c r="O248" s="68">
        <f>IF(N:N&gt;=1,1,0)</f>
        <v>0</v>
      </c>
      <c r="P248" s="65">
        <f>ROUND(SUMIFS(险种!Q:Q,险种!V:V,$P$1,险种!E:E,E:E),1)</f>
        <v>0</v>
      </c>
      <c r="Q248" s="68">
        <f>RANK(P248,$P:$P,0)-1</f>
        <v>5</v>
      </c>
      <c r="R248" s="68" t="str">
        <f>A:A&amp;D:D&amp;G:G&amp;"在"&amp;$P$1&amp;"预收"&amp;P:P&amp;"排名中支第"&amp;Q:Q&amp;"位"</f>
        <v>谢家集王蓓凤伙伴在20210509预收0排名中支第5位</v>
      </c>
      <c r="S248" s="65">
        <f>ROUND(SUMIFS(险种!Q:Q,险种!E:E,E:E,险种!V:V,"&lt;=20210506")-SUMIFS(险种!Q:Q,险种!U:U,"终止",险种!E:E,E:E,险种!V:V,"&lt;=20210506"),1)</f>
        <v>0</v>
      </c>
      <c r="T248" s="65">
        <f>ROUND(SUMIFS(险种!Q:Q,险种!U:U,"有效",险种!E:E,E:E,险种!V:V,"&lt;=20210506"),1)</f>
        <v>0</v>
      </c>
      <c r="U248" s="65">
        <f>ROUND(SUMIFS(险种!Q:Q,险种!E:E,E:E,险种!V:V,"&lt;=20210510")-SUMIFS(险种!Q:Q,险种!U:U,"终止",险种!E:E,E:E,险种!V:V,"&lt;=20210510"),1)</f>
        <v>0</v>
      </c>
      <c r="V248" s="65">
        <f>ROUND(SUMIFS(险种!Q:Q,险种!U:U,"有效",险种!E:E,E:E,险种!V:V,"&lt;=20210510"),1)</f>
        <v>0</v>
      </c>
      <c r="W248" s="65">
        <f t="shared" si="3"/>
        <v>0</v>
      </c>
      <c r="X248" s="68">
        <f>SUMIF(险种!E:E,E:E,险种!Y:Y)</f>
        <v>0</v>
      </c>
      <c r="Y248" s="65">
        <f>MAX(_xlfn.IFS(OR(X:X=1,X:X=2),J:J*0.1,X:X&gt;=3,J:J*0.2,X:X=0,0),IF(J:J&gt;=20000,J:J*0.2,0))</f>
        <v>0</v>
      </c>
      <c r="Z248" s="65" t="str">
        <f>A248&amp;D248&amp;G248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谢家集王蓓凤伙伴5.1-5.10预收价值保费0，首周预收3000P件数0件，预收拟加佣0元。温馨提示，保单需10日（含）前承保，目前还有0价值保费未承保,开单一件即可获得10%加佣</v>
      </c>
      <c r="AA248" s="68">
        <f>SUMIF(险种!E:E,E:E,险种!Z:Z)</f>
        <v>0</v>
      </c>
      <c r="AB248" s="65"/>
      <c r="AC248" s="68">
        <f>SUMIF(险种!E:E,E:E,险种!AA:AA)</f>
        <v>0</v>
      </c>
      <c r="AD248" s="68">
        <f>SUMIFS(险种!AA:AA,险种!U:U,"有效",险种!E:E,E:E)</f>
        <v>0</v>
      </c>
      <c r="AE248" s="68" t="str">
        <f>A248&amp;D248&amp;G248&amp;"目前获得"&amp;$AC$1&amp;AC:AC&amp;"名，获得"&amp;$AD$1&amp;AD:AD&amp;"名"</f>
        <v>谢家集王蓓凤伙伴目前获得龙虾节预收名额0名，获得龙虾节承保名额0名</v>
      </c>
      <c r="AF248" s="68">
        <f>SUMIF(认购返还案!D:D,E:E,认购返还案!E:E)</f>
        <v>0</v>
      </c>
      <c r="AG248" s="68">
        <f>_xlfn.IFS(AND(U:U&gt;=3000,U:U&lt;5000),AF:AF*0.5,U:U&gt;=5000,AF:AF*1,U:U&lt;3000,0)</f>
        <v>0</v>
      </c>
      <c r="AH248" s="68">
        <f>_xlfn.IFS(AND(V:V&gt;=3000,V:V&lt;5000),AF:AF*0.5,V:V&gt;=5000,AF:AF*1,V:V&lt;3000,0)</f>
        <v>0</v>
      </c>
      <c r="AI248" s="68" t="str">
        <f>A:A&amp;D:D&amp;G:G&amp;$AF$1&amp;AF:AF&amp;"元，目前预收价值"&amp;U:U&amp;"，"&amp;$AG$1&amp;AG:AG&amp;"元，"&amp;$AH$1&amp;AH:AH&amp;"元"</f>
        <v>谢家集王蓓凤伙伴冲锋队缴费金额0元，目前预收价值0，预收拟返还0元，承保拟返还0元</v>
      </c>
      <c r="AJ248" s="68">
        <f>SUMIF(保单!R:R,E:E,保单!BE:BE)*IF(AF:AF&gt;1,1,0)</f>
        <v>0</v>
      </c>
      <c r="AK248" s="68">
        <f>SUMIFS(保单!BE:BE,保单!R:R,E:E,保单!BB:BB,"有效")*IF(AF:AF&gt;1,1,0)</f>
        <v>0</v>
      </c>
      <c r="AL248" s="72" t="str">
        <f>A:A&amp;D:D&amp;G:G&amp;"只要在1-10日承保全部保单，即可获得"&amp;$AJ$1&amp;AJ:AJ&amp;"个"</f>
        <v>谢家集王蓓凤伙伴只要在1-10日承保全部保单，即可获得冲锋队按摩仪0个</v>
      </c>
    </row>
    <row r="249" spans="1:38">
      <c r="A249" s="64" t="s">
        <v>42</v>
      </c>
      <c r="B249" s="64" t="s">
        <v>66</v>
      </c>
      <c r="C249" s="64" t="s">
        <v>343</v>
      </c>
      <c r="D249" s="64" t="s">
        <v>485</v>
      </c>
      <c r="E249" s="64">
        <v>5495685512</v>
      </c>
      <c r="F249" s="64" t="s">
        <v>168</v>
      </c>
      <c r="G249" s="64" t="str">
        <f>IF(OR(F:F="高级经理一级",F:F="业务经理一级"),"主管","伙伴")</f>
        <v>伙伴</v>
      </c>
      <c r="H249" s="65">
        <f>SUMIF(险种!E:E,E:E,险种!R:R)-SUMIFS(险种!R:R,险种!U:U,"终止",险种!E:E,E:E)</f>
        <v>0</v>
      </c>
      <c r="I249" s="65">
        <f>SUMIFS(险种!R:R,险种!U:U,"有效",险种!E:E,E:E)</f>
        <v>0</v>
      </c>
      <c r="J249" s="65">
        <f>ROUND(SUMIF(险种!E:E,E:E,险种!Q:Q)-SUMIFS(险种!Q:Q,险种!U:U,"终止",险种!E:E,E:E),1)</f>
        <v>0</v>
      </c>
      <c r="K249" s="68">
        <f>RANK(J249,J:J)</f>
        <v>22</v>
      </c>
      <c r="L249" s="65">
        <f>ROUND(SUMIFS(险种!Q:Q,险种!U:U,"有效",险种!E:E,E:E),1)</f>
        <v>0</v>
      </c>
      <c r="M249" s="68">
        <f>RANK(L249,L:L,)</f>
        <v>14</v>
      </c>
      <c r="N249" s="68">
        <f>SUMIF(险种!E:E,E:E,险种!W:W)</f>
        <v>0</v>
      </c>
      <c r="O249" s="68">
        <f>IF(N:N&gt;=1,1,0)</f>
        <v>0</v>
      </c>
      <c r="P249" s="65">
        <f>ROUND(SUMIFS(险种!Q:Q,险种!V:V,$P$1,险种!E:E,E:E),1)</f>
        <v>0</v>
      </c>
      <c r="Q249" s="68">
        <f>RANK(P249,$P:$P,0)-1</f>
        <v>5</v>
      </c>
      <c r="R249" s="68" t="str">
        <f>A:A&amp;D:D&amp;G:G&amp;"在"&amp;$P$1&amp;"预收"&amp;P:P&amp;"排名中支第"&amp;Q:Q&amp;"位"</f>
        <v>淮南本部孙雅莉伙伴在20210509预收0排名中支第5位</v>
      </c>
      <c r="S249" s="65">
        <f>ROUND(SUMIFS(险种!Q:Q,险种!E:E,E:E,险种!V:V,"&lt;=20210506")-SUMIFS(险种!Q:Q,险种!U:U,"终止",险种!E:E,E:E,险种!V:V,"&lt;=20210506"),1)</f>
        <v>0</v>
      </c>
      <c r="T249" s="65">
        <f>ROUND(SUMIFS(险种!Q:Q,险种!U:U,"有效",险种!E:E,E:E,险种!V:V,"&lt;=20210506"),1)</f>
        <v>0</v>
      </c>
      <c r="U249" s="65">
        <f>ROUND(SUMIFS(险种!Q:Q,险种!E:E,E:E,险种!V:V,"&lt;=20210510")-SUMIFS(险种!Q:Q,险种!U:U,"终止",险种!E:E,E:E,险种!V:V,"&lt;=20210510"),1)</f>
        <v>0</v>
      </c>
      <c r="V249" s="65">
        <f>ROUND(SUMIFS(险种!Q:Q,险种!U:U,"有效",险种!E:E,E:E,险种!V:V,"&lt;=20210510"),1)</f>
        <v>0</v>
      </c>
      <c r="W249" s="65">
        <f t="shared" si="3"/>
        <v>0</v>
      </c>
      <c r="X249" s="68">
        <f>SUMIF(险种!E:E,E:E,险种!Y:Y)</f>
        <v>0</v>
      </c>
      <c r="Y249" s="65">
        <f>MAX(_xlfn.IFS(OR(X:X=1,X:X=2),J:J*0.1,X:X&gt;=3,J:J*0.2,X:X=0,0),IF(J:J&gt;=20000,J:J*0.2,0))</f>
        <v>0</v>
      </c>
      <c r="Z249" s="65" t="str">
        <f>A249&amp;D249&amp;G249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淮南本部孙雅莉伙伴5.1-5.10预收价值保费0，首周预收3000P件数0件，预收拟加佣0元。温馨提示，保单需10日（含）前承保，目前还有0价值保费未承保,开单一件即可获得10%加佣</v>
      </c>
      <c r="AA249" s="68">
        <f>SUMIF(险种!E:E,E:E,险种!Z:Z)</f>
        <v>0</v>
      </c>
      <c r="AB249" s="65"/>
      <c r="AC249" s="68">
        <f>SUMIF(险种!E:E,E:E,险种!AA:AA)</f>
        <v>0</v>
      </c>
      <c r="AD249" s="68">
        <f>SUMIFS(险种!AA:AA,险种!U:U,"有效",险种!E:E,E:E)</f>
        <v>0</v>
      </c>
      <c r="AE249" s="68" t="str">
        <f>A249&amp;D249&amp;G249&amp;"目前获得"&amp;$AC$1&amp;AC:AC&amp;"名，获得"&amp;$AD$1&amp;AD:AD&amp;"名"</f>
        <v>淮南本部孙雅莉伙伴目前获得龙虾节预收名额0名，获得龙虾节承保名额0名</v>
      </c>
      <c r="AF249" s="68">
        <f>SUMIF(认购返还案!D:D,E:E,认购返还案!E:E)</f>
        <v>200</v>
      </c>
      <c r="AG249" s="68">
        <f>_xlfn.IFS(AND(U:U&gt;=3000,U:U&lt;5000),AF:AF*0.5,U:U&gt;=5000,AF:AF*1,U:U&lt;3000,0)</f>
        <v>0</v>
      </c>
      <c r="AH249" s="68">
        <f>_xlfn.IFS(AND(V:V&gt;=3000,V:V&lt;5000),AF:AF*0.5,V:V&gt;=5000,AF:AF*1,V:V&lt;3000,0)</f>
        <v>0</v>
      </c>
      <c r="AI249" s="68" t="str">
        <f>A:A&amp;D:D&amp;G:G&amp;$AF$1&amp;AF:AF&amp;"元，目前预收价值"&amp;U:U&amp;"，"&amp;$AG$1&amp;AG:AG&amp;"元，"&amp;$AH$1&amp;AH:AH&amp;"元"</f>
        <v>淮南本部孙雅莉伙伴冲锋队缴费金额200元，目前预收价值0，预收拟返还0元，承保拟返还0元</v>
      </c>
      <c r="AJ249" s="68">
        <f>SUMIF(保单!R:R,E:E,保单!BE:BE)*IF(AF:AF&gt;1,1,0)</f>
        <v>0</v>
      </c>
      <c r="AK249" s="68">
        <f>SUMIFS(保单!BE:BE,保单!R:R,E:E,保单!BB:BB,"有效")*IF(AF:AF&gt;1,1,0)</f>
        <v>0</v>
      </c>
      <c r="AL249" s="72" t="str">
        <f>A:A&amp;D:D&amp;G:G&amp;"只要在1-10日承保全部保单，即可获得"&amp;$AJ$1&amp;AJ:AJ&amp;"个"</f>
        <v>淮南本部孙雅莉伙伴只要在1-10日承保全部保单，即可获得冲锋队按摩仪0个</v>
      </c>
    </row>
    <row r="250" spans="1:38">
      <c r="A250" s="64" t="s">
        <v>27</v>
      </c>
      <c r="B250" s="64" t="s">
        <v>37</v>
      </c>
      <c r="C250" s="64" t="s">
        <v>226</v>
      </c>
      <c r="D250" s="64" t="s">
        <v>486</v>
      </c>
      <c r="E250" s="64">
        <v>5491410242</v>
      </c>
      <c r="F250" s="64" t="s">
        <v>174</v>
      </c>
      <c r="G250" s="64" t="str">
        <f>IF(OR(F:F="高级经理一级",F:F="业务经理一级"),"主管","伙伴")</f>
        <v>伙伴</v>
      </c>
      <c r="H250" s="65">
        <f>SUMIF(险种!E:E,E:E,险种!R:R)-SUMIFS(险种!R:R,险种!U:U,"终止",险种!E:E,E:E)</f>
        <v>0</v>
      </c>
      <c r="I250" s="65">
        <f>SUMIFS(险种!R:R,险种!U:U,"有效",险种!E:E,E:E)</f>
        <v>0</v>
      </c>
      <c r="J250" s="65">
        <f>ROUND(SUMIF(险种!E:E,E:E,险种!Q:Q)-SUMIFS(险种!Q:Q,险种!U:U,"终止",险种!E:E,E:E),1)</f>
        <v>0</v>
      </c>
      <c r="K250" s="68">
        <f>RANK(J250,J:J)</f>
        <v>22</v>
      </c>
      <c r="L250" s="65">
        <f>ROUND(SUMIFS(险种!Q:Q,险种!U:U,"有效",险种!E:E,E:E),1)</f>
        <v>0</v>
      </c>
      <c r="M250" s="68">
        <f>RANK(L250,L:L,)</f>
        <v>14</v>
      </c>
      <c r="N250" s="68">
        <f>SUMIF(险种!E:E,E:E,险种!W:W)</f>
        <v>0</v>
      </c>
      <c r="O250" s="68">
        <f>IF(N:N&gt;=1,1,0)</f>
        <v>0</v>
      </c>
      <c r="P250" s="65">
        <f>ROUND(SUMIFS(险种!Q:Q,险种!V:V,$P$1,险种!E:E,E:E),1)</f>
        <v>0</v>
      </c>
      <c r="Q250" s="68">
        <f>RANK(P250,$P:$P,0)-1</f>
        <v>5</v>
      </c>
      <c r="R250" s="68" t="str">
        <f>A:A&amp;D:D&amp;G:G&amp;"在"&amp;$P$1&amp;"预收"&amp;P:P&amp;"排名中支第"&amp;Q:Q&amp;"位"</f>
        <v>凤台刘庆涛伙伴在20210509预收0排名中支第5位</v>
      </c>
      <c r="S250" s="65">
        <f>ROUND(SUMIFS(险种!Q:Q,险种!E:E,E:E,险种!V:V,"&lt;=20210506")-SUMIFS(险种!Q:Q,险种!U:U,"终止",险种!E:E,E:E,险种!V:V,"&lt;=20210506"),1)</f>
        <v>0</v>
      </c>
      <c r="T250" s="65">
        <f>ROUND(SUMIFS(险种!Q:Q,险种!U:U,"有效",险种!E:E,E:E,险种!V:V,"&lt;=20210506"),1)</f>
        <v>0</v>
      </c>
      <c r="U250" s="65">
        <f>ROUND(SUMIFS(险种!Q:Q,险种!E:E,E:E,险种!V:V,"&lt;=20210510")-SUMIFS(险种!Q:Q,险种!U:U,"终止",险种!E:E,E:E,险种!V:V,"&lt;=20210510"),1)</f>
        <v>0</v>
      </c>
      <c r="V250" s="65">
        <f>ROUND(SUMIFS(险种!Q:Q,险种!U:U,"有效",险种!E:E,E:E,险种!V:V,"&lt;=20210510"),1)</f>
        <v>0</v>
      </c>
      <c r="W250" s="65">
        <f t="shared" si="3"/>
        <v>0</v>
      </c>
      <c r="X250" s="68">
        <f>SUMIF(险种!E:E,E:E,险种!Y:Y)</f>
        <v>0</v>
      </c>
      <c r="Y250" s="65">
        <f>MAX(_xlfn.IFS(OR(X:X=1,X:X=2),J:J*0.1,X:X&gt;=3,J:J*0.2,X:X=0,0),IF(J:J&gt;=20000,J:J*0.2,0))</f>
        <v>0</v>
      </c>
      <c r="Z250" s="65" t="str">
        <f>A250&amp;D250&amp;G250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凤台刘庆涛伙伴5.1-5.10预收价值保费0，首周预收3000P件数0件，预收拟加佣0元。温馨提示，保单需10日（含）前承保，目前还有0价值保费未承保,开单一件即可获得10%加佣</v>
      </c>
      <c r="AA250" s="68">
        <f>SUMIF(险种!E:E,E:E,险种!Z:Z)</f>
        <v>0</v>
      </c>
      <c r="AB250" s="65"/>
      <c r="AC250" s="68">
        <f>SUMIF(险种!E:E,E:E,险种!AA:AA)</f>
        <v>0</v>
      </c>
      <c r="AD250" s="68">
        <f>SUMIFS(险种!AA:AA,险种!U:U,"有效",险种!E:E,E:E)</f>
        <v>0</v>
      </c>
      <c r="AE250" s="68" t="str">
        <f>A250&amp;D250&amp;G250&amp;"目前获得"&amp;$AC$1&amp;AC:AC&amp;"名，获得"&amp;$AD$1&amp;AD:AD&amp;"名"</f>
        <v>凤台刘庆涛伙伴目前获得龙虾节预收名额0名，获得龙虾节承保名额0名</v>
      </c>
      <c r="AF250" s="68">
        <f>SUMIF(认购返还案!D:D,E:E,认购返还案!E:E)</f>
        <v>0</v>
      </c>
      <c r="AG250" s="68">
        <f>_xlfn.IFS(AND(U:U&gt;=3000,U:U&lt;5000),AF:AF*0.5,U:U&gt;=5000,AF:AF*1,U:U&lt;3000,0)</f>
        <v>0</v>
      </c>
      <c r="AH250" s="68">
        <f>_xlfn.IFS(AND(V:V&gt;=3000,V:V&lt;5000),AF:AF*0.5,V:V&gt;=5000,AF:AF*1,V:V&lt;3000,0)</f>
        <v>0</v>
      </c>
      <c r="AI250" s="68" t="str">
        <f>A:A&amp;D:D&amp;G:G&amp;$AF$1&amp;AF:AF&amp;"元，目前预收价值"&amp;U:U&amp;"，"&amp;$AG$1&amp;AG:AG&amp;"元，"&amp;$AH$1&amp;AH:AH&amp;"元"</f>
        <v>凤台刘庆涛伙伴冲锋队缴费金额0元，目前预收价值0，预收拟返还0元，承保拟返还0元</v>
      </c>
      <c r="AJ250" s="68">
        <f>SUMIF(保单!R:R,E:E,保单!BE:BE)*IF(AF:AF&gt;1,1,0)</f>
        <v>0</v>
      </c>
      <c r="AK250" s="68">
        <f>SUMIFS(保单!BE:BE,保单!R:R,E:E,保单!BB:BB,"有效")*IF(AF:AF&gt;1,1,0)</f>
        <v>0</v>
      </c>
      <c r="AL250" s="72" t="str">
        <f>A:A&amp;D:D&amp;G:G&amp;"只要在1-10日承保全部保单，即可获得"&amp;$AJ$1&amp;AJ:AJ&amp;"个"</f>
        <v>凤台刘庆涛伙伴只要在1-10日承保全部保单，即可获得冲锋队按摩仪0个</v>
      </c>
    </row>
    <row r="251" spans="1:38">
      <c r="A251" s="64" t="s">
        <v>42</v>
      </c>
      <c r="B251" s="64" t="s">
        <v>62</v>
      </c>
      <c r="C251" s="64" t="s">
        <v>108</v>
      </c>
      <c r="D251" s="64" t="s">
        <v>487</v>
      </c>
      <c r="E251" s="64">
        <v>5463341932</v>
      </c>
      <c r="F251" s="64" t="s">
        <v>168</v>
      </c>
      <c r="G251" s="64" t="str">
        <f>IF(OR(F:F="高级经理一级",F:F="业务经理一级"),"主管","伙伴")</f>
        <v>伙伴</v>
      </c>
      <c r="H251" s="65">
        <f>SUMIF(险种!E:E,E:E,险种!R:R)-SUMIFS(险种!R:R,险种!U:U,"终止",险种!E:E,E:E)</f>
        <v>0</v>
      </c>
      <c r="I251" s="65">
        <f>SUMIFS(险种!R:R,险种!U:U,"有效",险种!E:E,E:E)</f>
        <v>0</v>
      </c>
      <c r="J251" s="65">
        <f>ROUND(SUMIF(险种!E:E,E:E,险种!Q:Q)-SUMIFS(险种!Q:Q,险种!U:U,"终止",险种!E:E,E:E),1)</f>
        <v>0</v>
      </c>
      <c r="K251" s="68">
        <f>RANK(J251,J:J)</f>
        <v>22</v>
      </c>
      <c r="L251" s="65">
        <f>ROUND(SUMIFS(险种!Q:Q,险种!U:U,"有效",险种!E:E,E:E),1)</f>
        <v>0</v>
      </c>
      <c r="M251" s="68">
        <f>RANK(L251,L:L,)</f>
        <v>14</v>
      </c>
      <c r="N251" s="68">
        <f>SUMIF(险种!E:E,E:E,险种!W:W)</f>
        <v>0</v>
      </c>
      <c r="O251" s="68">
        <f>IF(N:N&gt;=1,1,0)</f>
        <v>0</v>
      </c>
      <c r="P251" s="65">
        <f>ROUND(SUMIFS(险种!Q:Q,险种!V:V,$P$1,险种!E:E,E:E),1)</f>
        <v>0</v>
      </c>
      <c r="Q251" s="68">
        <f>RANK(P251,$P:$P,0)-1</f>
        <v>5</v>
      </c>
      <c r="R251" s="68" t="str">
        <f>A:A&amp;D:D&amp;G:G&amp;"在"&amp;$P$1&amp;"预收"&amp;P:P&amp;"排名中支第"&amp;Q:Q&amp;"位"</f>
        <v>淮南本部刘松伙伴在20210509预收0排名中支第5位</v>
      </c>
      <c r="S251" s="65">
        <f>ROUND(SUMIFS(险种!Q:Q,险种!E:E,E:E,险种!V:V,"&lt;=20210506")-SUMIFS(险种!Q:Q,险种!U:U,"终止",险种!E:E,E:E,险种!V:V,"&lt;=20210506"),1)</f>
        <v>0</v>
      </c>
      <c r="T251" s="65">
        <f>ROUND(SUMIFS(险种!Q:Q,险种!U:U,"有效",险种!E:E,E:E,险种!V:V,"&lt;=20210506"),1)</f>
        <v>0</v>
      </c>
      <c r="U251" s="65">
        <f>ROUND(SUMIFS(险种!Q:Q,险种!E:E,E:E,险种!V:V,"&lt;=20210510")-SUMIFS(险种!Q:Q,险种!U:U,"终止",险种!E:E,E:E,险种!V:V,"&lt;=20210510"),1)</f>
        <v>0</v>
      </c>
      <c r="V251" s="65">
        <f>ROUND(SUMIFS(险种!Q:Q,险种!U:U,"有效",险种!E:E,E:E,险种!V:V,"&lt;=20210510"),1)</f>
        <v>0</v>
      </c>
      <c r="W251" s="65">
        <f t="shared" si="3"/>
        <v>0</v>
      </c>
      <c r="X251" s="68">
        <f>SUMIF(险种!E:E,E:E,险种!Y:Y)</f>
        <v>0</v>
      </c>
      <c r="Y251" s="65">
        <f>MAX(_xlfn.IFS(OR(X:X=1,X:X=2),J:J*0.1,X:X&gt;=3,J:J*0.2,X:X=0,0),IF(J:J&gt;=20000,J:J*0.2,0))</f>
        <v>0</v>
      </c>
      <c r="Z251" s="65" t="str">
        <f>A251&amp;D251&amp;G251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淮南本部刘松伙伴5.1-5.10预收价值保费0，首周预收3000P件数0件，预收拟加佣0元。温馨提示，保单需10日（含）前承保，目前还有0价值保费未承保,开单一件即可获得10%加佣</v>
      </c>
      <c r="AA251" s="68">
        <f>SUMIF(险种!E:E,E:E,险种!Z:Z)</f>
        <v>0</v>
      </c>
      <c r="AB251" s="65"/>
      <c r="AC251" s="68">
        <f>SUMIF(险种!E:E,E:E,险种!AA:AA)</f>
        <v>0</v>
      </c>
      <c r="AD251" s="68">
        <f>SUMIFS(险种!AA:AA,险种!U:U,"有效",险种!E:E,E:E)</f>
        <v>0</v>
      </c>
      <c r="AE251" s="68" t="str">
        <f>A251&amp;D251&amp;G251&amp;"目前获得"&amp;$AC$1&amp;AC:AC&amp;"名，获得"&amp;$AD$1&amp;AD:AD&amp;"名"</f>
        <v>淮南本部刘松伙伴目前获得龙虾节预收名额0名，获得龙虾节承保名额0名</v>
      </c>
      <c r="AF251" s="68">
        <f>SUMIF(认购返还案!D:D,E:E,认购返还案!E:E)</f>
        <v>0</v>
      </c>
      <c r="AG251" s="68">
        <f>_xlfn.IFS(AND(U:U&gt;=3000,U:U&lt;5000),AF:AF*0.5,U:U&gt;=5000,AF:AF*1,U:U&lt;3000,0)</f>
        <v>0</v>
      </c>
      <c r="AH251" s="68">
        <f>_xlfn.IFS(AND(V:V&gt;=3000,V:V&lt;5000),AF:AF*0.5,V:V&gt;=5000,AF:AF*1,V:V&lt;3000,0)</f>
        <v>0</v>
      </c>
      <c r="AI251" s="68" t="str">
        <f>A:A&amp;D:D&amp;G:G&amp;$AF$1&amp;AF:AF&amp;"元，目前预收价值"&amp;U:U&amp;"，"&amp;$AG$1&amp;AG:AG&amp;"元，"&amp;$AH$1&amp;AH:AH&amp;"元"</f>
        <v>淮南本部刘松伙伴冲锋队缴费金额0元，目前预收价值0，预收拟返还0元，承保拟返还0元</v>
      </c>
      <c r="AJ251" s="68">
        <f>SUMIF(保单!R:R,E:E,保单!BE:BE)*IF(AF:AF&gt;1,1,0)</f>
        <v>0</v>
      </c>
      <c r="AK251" s="68">
        <f>SUMIFS(保单!BE:BE,保单!R:R,E:E,保单!BB:BB,"有效")*IF(AF:AF&gt;1,1,0)</f>
        <v>0</v>
      </c>
      <c r="AL251" s="72" t="str">
        <f>A:A&amp;D:D&amp;G:G&amp;"只要在1-10日承保全部保单，即可获得"&amp;$AJ$1&amp;AJ:AJ&amp;"个"</f>
        <v>淮南本部刘松伙伴只要在1-10日承保全部保单，即可获得冲锋队按摩仪0个</v>
      </c>
    </row>
    <row r="252" spans="1:38">
      <c r="A252" s="64" t="s">
        <v>42</v>
      </c>
      <c r="B252" s="64" t="s">
        <v>66</v>
      </c>
      <c r="C252" s="64" t="s">
        <v>343</v>
      </c>
      <c r="D252" s="64" t="s">
        <v>488</v>
      </c>
      <c r="E252" s="64">
        <v>5441713632</v>
      </c>
      <c r="F252" s="64" t="s">
        <v>174</v>
      </c>
      <c r="G252" s="64" t="str">
        <f>IF(OR(F:F="高级经理一级",F:F="业务经理一级"),"主管","伙伴")</f>
        <v>伙伴</v>
      </c>
      <c r="H252" s="65">
        <f>SUMIF(险种!E:E,E:E,险种!R:R)-SUMIFS(险种!R:R,险种!U:U,"终止",险种!E:E,E:E)</f>
        <v>0</v>
      </c>
      <c r="I252" s="65">
        <f>SUMIFS(险种!R:R,险种!U:U,"有效",险种!E:E,E:E)</f>
        <v>0</v>
      </c>
      <c r="J252" s="65">
        <f>ROUND(SUMIF(险种!E:E,E:E,险种!Q:Q)-SUMIFS(险种!Q:Q,险种!U:U,"终止",险种!E:E,E:E),1)</f>
        <v>0</v>
      </c>
      <c r="K252" s="68">
        <f>RANK(J252,J:J)</f>
        <v>22</v>
      </c>
      <c r="L252" s="65">
        <f>ROUND(SUMIFS(险种!Q:Q,险种!U:U,"有效",险种!E:E,E:E),1)</f>
        <v>0</v>
      </c>
      <c r="M252" s="68">
        <f>RANK(L252,L:L,)</f>
        <v>14</v>
      </c>
      <c r="N252" s="68">
        <f>SUMIF(险种!E:E,E:E,险种!W:W)</f>
        <v>0</v>
      </c>
      <c r="O252" s="68">
        <f>IF(N:N&gt;=1,1,0)</f>
        <v>0</v>
      </c>
      <c r="P252" s="65">
        <f>ROUND(SUMIFS(险种!Q:Q,险种!V:V,$P$1,险种!E:E,E:E),1)</f>
        <v>0</v>
      </c>
      <c r="Q252" s="68">
        <f>RANK(P252,$P:$P,0)-1</f>
        <v>5</v>
      </c>
      <c r="R252" s="68" t="str">
        <f>A:A&amp;D:D&amp;G:G&amp;"在"&amp;$P$1&amp;"预收"&amp;P:P&amp;"排名中支第"&amp;Q:Q&amp;"位"</f>
        <v>淮南本部韩彦霞伙伴在20210509预收0排名中支第5位</v>
      </c>
      <c r="S252" s="65">
        <f>ROUND(SUMIFS(险种!Q:Q,险种!E:E,E:E,险种!V:V,"&lt;=20210506")-SUMIFS(险种!Q:Q,险种!U:U,"终止",险种!E:E,E:E,险种!V:V,"&lt;=20210506"),1)</f>
        <v>0</v>
      </c>
      <c r="T252" s="65">
        <f>ROUND(SUMIFS(险种!Q:Q,险种!U:U,"有效",险种!E:E,E:E,险种!V:V,"&lt;=20210506"),1)</f>
        <v>0</v>
      </c>
      <c r="U252" s="65">
        <f>ROUND(SUMIFS(险种!Q:Q,险种!E:E,E:E,险种!V:V,"&lt;=20210510")-SUMIFS(险种!Q:Q,险种!U:U,"终止",险种!E:E,E:E,险种!V:V,"&lt;=20210510"),1)</f>
        <v>0</v>
      </c>
      <c r="V252" s="65">
        <f>ROUND(SUMIFS(险种!Q:Q,险种!U:U,"有效",险种!E:E,E:E,险种!V:V,"&lt;=20210510"),1)</f>
        <v>0</v>
      </c>
      <c r="W252" s="65">
        <f t="shared" si="3"/>
        <v>0</v>
      </c>
      <c r="X252" s="68">
        <f>SUMIF(险种!E:E,E:E,险种!Y:Y)</f>
        <v>0</v>
      </c>
      <c r="Y252" s="65">
        <f>MAX(_xlfn.IFS(OR(X:X=1,X:X=2),J:J*0.1,X:X&gt;=3,J:J*0.2,X:X=0,0),IF(J:J&gt;=20000,J:J*0.2,0))</f>
        <v>0</v>
      </c>
      <c r="Z252" s="65" t="str">
        <f>A252&amp;D252&amp;G252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淮南本部韩彦霞伙伴5.1-5.10预收价值保费0，首周预收3000P件数0件，预收拟加佣0元。温馨提示，保单需10日（含）前承保，目前还有0价值保费未承保,开单一件即可获得10%加佣</v>
      </c>
      <c r="AA252" s="68">
        <f>SUMIF(险种!E:E,E:E,险种!Z:Z)</f>
        <v>0</v>
      </c>
      <c r="AB252" s="65"/>
      <c r="AC252" s="68">
        <f>SUMIF(险种!E:E,E:E,险种!AA:AA)</f>
        <v>0</v>
      </c>
      <c r="AD252" s="68">
        <f>SUMIFS(险种!AA:AA,险种!U:U,"有效",险种!E:E,E:E)</f>
        <v>0</v>
      </c>
      <c r="AE252" s="68" t="str">
        <f>A252&amp;D252&amp;G252&amp;"目前获得"&amp;$AC$1&amp;AC:AC&amp;"名，获得"&amp;$AD$1&amp;AD:AD&amp;"名"</f>
        <v>淮南本部韩彦霞伙伴目前获得龙虾节预收名额0名，获得龙虾节承保名额0名</v>
      </c>
      <c r="AF252" s="68">
        <f>SUMIF(认购返还案!D:D,E:E,认购返还案!E:E)</f>
        <v>0</v>
      </c>
      <c r="AG252" s="68">
        <f>_xlfn.IFS(AND(U:U&gt;=3000,U:U&lt;5000),AF:AF*0.5,U:U&gt;=5000,AF:AF*1,U:U&lt;3000,0)</f>
        <v>0</v>
      </c>
      <c r="AH252" s="68">
        <f>_xlfn.IFS(AND(V:V&gt;=3000,V:V&lt;5000),AF:AF*0.5,V:V&gt;=5000,AF:AF*1,V:V&lt;3000,0)</f>
        <v>0</v>
      </c>
      <c r="AI252" s="68" t="str">
        <f>A:A&amp;D:D&amp;G:G&amp;$AF$1&amp;AF:AF&amp;"元，目前预收价值"&amp;U:U&amp;"，"&amp;$AG$1&amp;AG:AG&amp;"元，"&amp;$AH$1&amp;AH:AH&amp;"元"</f>
        <v>淮南本部韩彦霞伙伴冲锋队缴费金额0元，目前预收价值0，预收拟返还0元，承保拟返还0元</v>
      </c>
      <c r="AJ252" s="68">
        <f>SUMIF(保单!R:R,E:E,保单!BE:BE)*IF(AF:AF&gt;1,1,0)</f>
        <v>0</v>
      </c>
      <c r="AK252" s="68">
        <f>SUMIFS(保单!BE:BE,保单!R:R,E:E,保单!BB:BB,"有效")*IF(AF:AF&gt;1,1,0)</f>
        <v>0</v>
      </c>
      <c r="AL252" s="72" t="str">
        <f>A:A&amp;D:D&amp;G:G&amp;"只要在1-10日承保全部保单，即可获得"&amp;$AJ$1&amp;AJ:AJ&amp;"个"</f>
        <v>淮南本部韩彦霞伙伴只要在1-10日承保全部保单，即可获得冲锋队按摩仪0个</v>
      </c>
    </row>
    <row r="253" spans="1:38">
      <c r="A253" s="64" t="s">
        <v>27</v>
      </c>
      <c r="B253" s="64" t="s">
        <v>94</v>
      </c>
      <c r="C253" s="64" t="s">
        <v>95</v>
      </c>
      <c r="D253" s="64" t="s">
        <v>489</v>
      </c>
      <c r="E253" s="64">
        <v>5386683822</v>
      </c>
      <c r="F253" s="64" t="s">
        <v>168</v>
      </c>
      <c r="G253" s="64" t="str">
        <f>IF(OR(F:F="高级经理一级",F:F="业务经理一级"),"主管","伙伴")</f>
        <v>伙伴</v>
      </c>
      <c r="H253" s="65">
        <f>SUMIF(险种!E:E,E:E,险种!R:R)-SUMIFS(险种!R:R,险种!U:U,"终止",险种!E:E,E:E)</f>
        <v>0</v>
      </c>
      <c r="I253" s="65">
        <f>SUMIFS(险种!R:R,险种!U:U,"有效",险种!E:E,E:E)</f>
        <v>0</v>
      </c>
      <c r="J253" s="65">
        <f>ROUND(SUMIF(险种!E:E,E:E,险种!Q:Q)-SUMIFS(险种!Q:Q,险种!U:U,"终止",险种!E:E,E:E),1)</f>
        <v>0</v>
      </c>
      <c r="K253" s="68">
        <f>RANK(J253,J:J)</f>
        <v>22</v>
      </c>
      <c r="L253" s="65">
        <f>ROUND(SUMIFS(险种!Q:Q,险种!U:U,"有效",险种!E:E,E:E),1)</f>
        <v>0</v>
      </c>
      <c r="M253" s="68">
        <f>RANK(L253,L:L,)</f>
        <v>14</v>
      </c>
      <c r="N253" s="68">
        <f>SUMIF(险种!E:E,E:E,险种!W:W)</f>
        <v>0</v>
      </c>
      <c r="O253" s="68">
        <f>IF(N:N&gt;=1,1,0)</f>
        <v>0</v>
      </c>
      <c r="P253" s="65">
        <f>ROUND(SUMIFS(险种!Q:Q,险种!V:V,$P$1,险种!E:E,E:E),1)</f>
        <v>0</v>
      </c>
      <c r="Q253" s="68">
        <f>RANK(P253,$P:$P,0)-1</f>
        <v>5</v>
      </c>
      <c r="R253" s="68" t="str">
        <f>A:A&amp;D:D&amp;G:G&amp;"在"&amp;$P$1&amp;"预收"&amp;P:P&amp;"排名中支第"&amp;Q:Q&amp;"位"</f>
        <v>凤台刘东伙伴在20210509预收0排名中支第5位</v>
      </c>
      <c r="S253" s="65">
        <f>ROUND(SUMIFS(险种!Q:Q,险种!E:E,E:E,险种!V:V,"&lt;=20210506")-SUMIFS(险种!Q:Q,险种!U:U,"终止",险种!E:E,E:E,险种!V:V,"&lt;=20210506"),1)</f>
        <v>0</v>
      </c>
      <c r="T253" s="65">
        <f>ROUND(SUMIFS(险种!Q:Q,险种!U:U,"有效",险种!E:E,E:E,险种!V:V,"&lt;=20210506"),1)</f>
        <v>0</v>
      </c>
      <c r="U253" s="65">
        <f>ROUND(SUMIFS(险种!Q:Q,险种!E:E,E:E,险种!V:V,"&lt;=20210510")-SUMIFS(险种!Q:Q,险种!U:U,"终止",险种!E:E,E:E,险种!V:V,"&lt;=20210510"),1)</f>
        <v>0</v>
      </c>
      <c r="V253" s="65">
        <f>ROUND(SUMIFS(险种!Q:Q,险种!U:U,"有效",险种!E:E,E:E,险种!V:V,"&lt;=20210510"),1)</f>
        <v>0</v>
      </c>
      <c r="W253" s="65">
        <f t="shared" si="3"/>
        <v>0</v>
      </c>
      <c r="X253" s="68">
        <f>SUMIF(险种!E:E,E:E,险种!Y:Y)</f>
        <v>0</v>
      </c>
      <c r="Y253" s="65">
        <f>MAX(_xlfn.IFS(OR(X:X=1,X:X=2),J:J*0.1,X:X&gt;=3,J:J*0.2,X:X=0,0),IF(J:J&gt;=20000,J:J*0.2,0))</f>
        <v>0</v>
      </c>
      <c r="Z253" s="65" t="str">
        <f>A253&amp;D253&amp;G253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凤台刘东伙伴5.1-5.10预收价值保费0，首周预收3000P件数0件，预收拟加佣0元。温馨提示，保单需10日（含）前承保，目前还有0价值保费未承保,开单一件即可获得10%加佣</v>
      </c>
      <c r="AA253" s="68">
        <f>SUMIF(险种!E:E,E:E,险种!Z:Z)</f>
        <v>0</v>
      </c>
      <c r="AB253" s="65"/>
      <c r="AC253" s="68">
        <f>SUMIF(险种!E:E,E:E,险种!AA:AA)</f>
        <v>0</v>
      </c>
      <c r="AD253" s="68">
        <f>SUMIFS(险种!AA:AA,险种!U:U,"有效",险种!E:E,E:E)</f>
        <v>0</v>
      </c>
      <c r="AE253" s="68" t="str">
        <f>A253&amp;D253&amp;G253&amp;"目前获得"&amp;$AC$1&amp;AC:AC&amp;"名，获得"&amp;$AD$1&amp;AD:AD&amp;"名"</f>
        <v>凤台刘东伙伴目前获得龙虾节预收名额0名，获得龙虾节承保名额0名</v>
      </c>
      <c r="AF253" s="68">
        <f>SUMIF(认购返还案!D:D,E:E,认购返还案!E:E)</f>
        <v>0</v>
      </c>
      <c r="AG253" s="68">
        <f>_xlfn.IFS(AND(U:U&gt;=3000,U:U&lt;5000),AF:AF*0.5,U:U&gt;=5000,AF:AF*1,U:U&lt;3000,0)</f>
        <v>0</v>
      </c>
      <c r="AH253" s="68">
        <f>_xlfn.IFS(AND(V:V&gt;=3000,V:V&lt;5000),AF:AF*0.5,V:V&gt;=5000,AF:AF*1,V:V&lt;3000,0)</f>
        <v>0</v>
      </c>
      <c r="AI253" s="68" t="str">
        <f>A:A&amp;D:D&amp;G:G&amp;$AF$1&amp;AF:AF&amp;"元，目前预收价值"&amp;U:U&amp;"，"&amp;$AG$1&amp;AG:AG&amp;"元，"&amp;$AH$1&amp;AH:AH&amp;"元"</f>
        <v>凤台刘东伙伴冲锋队缴费金额0元，目前预收价值0，预收拟返还0元，承保拟返还0元</v>
      </c>
      <c r="AJ253" s="68">
        <f>SUMIF(保单!R:R,E:E,保单!BE:BE)*IF(AF:AF&gt;1,1,0)</f>
        <v>0</v>
      </c>
      <c r="AK253" s="68">
        <f>SUMIFS(保单!BE:BE,保单!R:R,E:E,保单!BB:BB,"有效")*IF(AF:AF&gt;1,1,0)</f>
        <v>0</v>
      </c>
      <c r="AL253" s="72" t="str">
        <f>A:A&amp;D:D&amp;G:G&amp;"只要在1-10日承保全部保单，即可获得"&amp;$AJ$1&amp;AJ:AJ&amp;"个"</f>
        <v>凤台刘东伙伴只要在1-10日承保全部保单，即可获得冲锋队按摩仪0个</v>
      </c>
    </row>
    <row r="254" spans="1:38">
      <c r="A254" s="64" t="s">
        <v>27</v>
      </c>
      <c r="B254" s="64" t="s">
        <v>37</v>
      </c>
      <c r="C254" s="64" t="s">
        <v>226</v>
      </c>
      <c r="D254" s="64" t="s">
        <v>227</v>
      </c>
      <c r="E254" s="64">
        <v>5323989142</v>
      </c>
      <c r="F254" s="64" t="s">
        <v>165</v>
      </c>
      <c r="G254" s="64" t="str">
        <f>IF(OR(F:F="高级经理一级",F:F="业务经理一级"),"主管","伙伴")</f>
        <v>主管</v>
      </c>
      <c r="H254" s="65">
        <f>SUMIF(险种!E:E,E:E,险种!R:R)-SUMIFS(险种!R:R,险种!U:U,"终止",险种!E:E,E:E)</f>
        <v>0</v>
      </c>
      <c r="I254" s="65">
        <f>SUMIFS(险种!R:R,险种!U:U,"有效",险种!E:E,E:E)</f>
        <v>0</v>
      </c>
      <c r="J254" s="65">
        <f>ROUND(SUMIF(险种!E:E,E:E,险种!Q:Q)-SUMIFS(险种!Q:Q,险种!U:U,"终止",险种!E:E,E:E),1)</f>
        <v>0</v>
      </c>
      <c r="K254" s="68">
        <f>RANK(J254,J:J)</f>
        <v>22</v>
      </c>
      <c r="L254" s="65">
        <f>ROUND(SUMIFS(险种!Q:Q,险种!U:U,"有效",险种!E:E,E:E),1)</f>
        <v>0</v>
      </c>
      <c r="M254" s="68">
        <f>RANK(L254,L:L,)</f>
        <v>14</v>
      </c>
      <c r="N254" s="68">
        <f>SUMIF(险种!E:E,E:E,险种!W:W)</f>
        <v>0</v>
      </c>
      <c r="O254" s="68">
        <f>IF(N:N&gt;=1,1,0)</f>
        <v>0</v>
      </c>
      <c r="P254" s="65">
        <f>ROUND(SUMIFS(险种!Q:Q,险种!V:V,$P$1,险种!E:E,E:E),1)</f>
        <v>0</v>
      </c>
      <c r="Q254" s="68">
        <f>RANK(P254,$P:$P,0)-1</f>
        <v>5</v>
      </c>
      <c r="R254" s="68" t="str">
        <f>A:A&amp;D:D&amp;G:G&amp;"在"&amp;$P$1&amp;"预收"&amp;P:P&amp;"排名中支第"&amp;Q:Q&amp;"位"</f>
        <v>凤台李开梅主管在20210509预收0排名中支第5位</v>
      </c>
      <c r="S254" s="65">
        <f>ROUND(SUMIFS(险种!Q:Q,险种!E:E,E:E,险种!V:V,"&lt;=20210506")-SUMIFS(险种!Q:Q,险种!U:U,"终止",险种!E:E,E:E,险种!V:V,"&lt;=20210506"),1)</f>
        <v>0</v>
      </c>
      <c r="T254" s="65">
        <f>ROUND(SUMIFS(险种!Q:Q,险种!U:U,"有效",险种!E:E,E:E,险种!V:V,"&lt;=20210506"),1)</f>
        <v>0</v>
      </c>
      <c r="U254" s="65">
        <f>ROUND(SUMIFS(险种!Q:Q,险种!E:E,E:E,险种!V:V,"&lt;=20210510")-SUMIFS(险种!Q:Q,险种!U:U,"终止",险种!E:E,E:E,险种!V:V,"&lt;=20210510"),1)</f>
        <v>0</v>
      </c>
      <c r="V254" s="65">
        <f>ROUND(SUMIFS(险种!Q:Q,险种!U:U,"有效",险种!E:E,E:E,险种!V:V,"&lt;=20210510"),1)</f>
        <v>0</v>
      </c>
      <c r="W254" s="65">
        <f t="shared" si="3"/>
        <v>0</v>
      </c>
      <c r="X254" s="68">
        <f>SUMIF(险种!E:E,E:E,险种!Y:Y)</f>
        <v>0</v>
      </c>
      <c r="Y254" s="65">
        <f>MAX(_xlfn.IFS(OR(X:X=1,X:X=2),J:J*0.1,X:X&gt;=3,J:J*0.2,X:X=0,0),IF(J:J&gt;=20000,J:J*0.2,0))</f>
        <v>0</v>
      </c>
      <c r="Z254" s="65" t="str">
        <f>A254&amp;D254&amp;G254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凤台李开梅主管5.1-5.10预收价值保费0，首周预收3000P件数0件，预收拟加佣0元。温馨提示，保单需10日（含）前承保，目前还有0价值保费未承保,开单一件即可获得10%加佣</v>
      </c>
      <c r="AA254" s="68">
        <f>SUMIF(险种!E:E,E:E,险种!Z:Z)</f>
        <v>0</v>
      </c>
      <c r="AB254" s="65"/>
      <c r="AC254" s="68">
        <f>SUMIF(险种!E:E,E:E,险种!AA:AA)</f>
        <v>0</v>
      </c>
      <c r="AD254" s="68">
        <f>SUMIFS(险种!AA:AA,险种!U:U,"有效",险种!E:E,E:E)</f>
        <v>0</v>
      </c>
      <c r="AE254" s="68" t="str">
        <f>A254&amp;D254&amp;G254&amp;"目前获得"&amp;$AC$1&amp;AC:AC&amp;"名，获得"&amp;$AD$1&amp;AD:AD&amp;"名"</f>
        <v>凤台李开梅主管目前获得龙虾节预收名额0名，获得龙虾节承保名额0名</v>
      </c>
      <c r="AF254" s="68">
        <f>SUMIF(认购返还案!D:D,E:E,认购返还案!E:E)</f>
        <v>200</v>
      </c>
      <c r="AG254" s="68">
        <f>_xlfn.IFS(AND(U:U&gt;=3000,U:U&lt;5000),AF:AF*0.5,U:U&gt;=5000,AF:AF*1,U:U&lt;3000,0)</f>
        <v>0</v>
      </c>
      <c r="AH254" s="68">
        <f>_xlfn.IFS(AND(V:V&gt;=3000,V:V&lt;5000),AF:AF*0.5,V:V&gt;=5000,AF:AF*1,V:V&lt;3000,0)</f>
        <v>0</v>
      </c>
      <c r="AI254" s="68" t="str">
        <f>A:A&amp;D:D&amp;G:G&amp;$AF$1&amp;AF:AF&amp;"元，目前预收价值"&amp;U:U&amp;"，"&amp;$AG$1&amp;AG:AG&amp;"元，"&amp;$AH$1&amp;AH:AH&amp;"元"</f>
        <v>凤台李开梅主管冲锋队缴费金额200元，目前预收价值0，预收拟返还0元，承保拟返还0元</v>
      </c>
      <c r="AJ254" s="68">
        <f>SUMIF(保单!R:R,E:E,保单!BE:BE)*IF(AF:AF&gt;1,1,0)</f>
        <v>0</v>
      </c>
      <c r="AK254" s="68">
        <f>SUMIFS(保单!BE:BE,保单!R:R,E:E,保单!BB:BB,"有效")*IF(AF:AF&gt;1,1,0)</f>
        <v>0</v>
      </c>
      <c r="AL254" s="72" t="str">
        <f>A:A&amp;D:D&amp;G:G&amp;"只要在1-10日承保全部保单，即可获得"&amp;$AJ$1&amp;AJ:AJ&amp;"个"</f>
        <v>凤台李开梅主管只要在1-10日承保全部保单，即可获得冲锋队按摩仪0个</v>
      </c>
    </row>
    <row r="255" spans="1:38">
      <c r="A255" s="64" t="s">
        <v>27</v>
      </c>
      <c r="B255" s="64" t="s">
        <v>94</v>
      </c>
      <c r="C255" s="64" t="s">
        <v>95</v>
      </c>
      <c r="D255" s="64" t="s">
        <v>490</v>
      </c>
      <c r="E255" s="64">
        <v>5313504072</v>
      </c>
      <c r="F255" s="64" t="s">
        <v>174</v>
      </c>
      <c r="G255" s="64" t="str">
        <f>IF(OR(F:F="高级经理一级",F:F="业务经理一级"),"主管","伙伴")</f>
        <v>伙伴</v>
      </c>
      <c r="H255" s="65">
        <f>SUMIF(险种!E:E,E:E,险种!R:R)-SUMIFS(险种!R:R,险种!U:U,"终止",险种!E:E,E:E)</f>
        <v>0</v>
      </c>
      <c r="I255" s="65">
        <f>SUMIFS(险种!R:R,险种!U:U,"有效",险种!E:E,E:E)</f>
        <v>0</v>
      </c>
      <c r="J255" s="65">
        <f>ROUND(SUMIF(险种!E:E,E:E,险种!Q:Q)-SUMIFS(险种!Q:Q,险种!U:U,"终止",险种!E:E,E:E),1)</f>
        <v>0</v>
      </c>
      <c r="K255" s="68">
        <f>RANK(J255,J:J)</f>
        <v>22</v>
      </c>
      <c r="L255" s="65">
        <f>ROUND(SUMIFS(险种!Q:Q,险种!U:U,"有效",险种!E:E,E:E),1)</f>
        <v>0</v>
      </c>
      <c r="M255" s="68">
        <f>RANK(L255,L:L,)</f>
        <v>14</v>
      </c>
      <c r="N255" s="68">
        <f>SUMIF(险种!E:E,E:E,险种!W:W)</f>
        <v>0</v>
      </c>
      <c r="O255" s="68">
        <f>IF(N:N&gt;=1,1,0)</f>
        <v>0</v>
      </c>
      <c r="P255" s="65">
        <f>ROUND(SUMIFS(险种!Q:Q,险种!V:V,$P$1,险种!E:E,E:E),1)</f>
        <v>0</v>
      </c>
      <c r="Q255" s="68">
        <f>RANK(P255,$P:$P,0)-1</f>
        <v>5</v>
      </c>
      <c r="R255" s="68" t="str">
        <f>A:A&amp;D:D&amp;G:G&amp;"在"&amp;$P$1&amp;"预收"&amp;P:P&amp;"排名中支第"&amp;Q:Q&amp;"位"</f>
        <v>凤台陈军伙伴在20210509预收0排名中支第5位</v>
      </c>
      <c r="S255" s="65">
        <f>ROUND(SUMIFS(险种!Q:Q,险种!E:E,E:E,险种!V:V,"&lt;=20210506")-SUMIFS(险种!Q:Q,险种!U:U,"终止",险种!E:E,E:E,险种!V:V,"&lt;=20210506"),1)</f>
        <v>0</v>
      </c>
      <c r="T255" s="65">
        <f>ROUND(SUMIFS(险种!Q:Q,险种!U:U,"有效",险种!E:E,E:E,险种!V:V,"&lt;=20210506"),1)</f>
        <v>0</v>
      </c>
      <c r="U255" s="65">
        <f>ROUND(SUMIFS(险种!Q:Q,险种!E:E,E:E,险种!V:V,"&lt;=20210510")-SUMIFS(险种!Q:Q,险种!U:U,"终止",险种!E:E,E:E,险种!V:V,"&lt;=20210510"),1)</f>
        <v>0</v>
      </c>
      <c r="V255" s="65">
        <f>ROUND(SUMIFS(险种!Q:Q,险种!U:U,"有效",险种!E:E,E:E,险种!V:V,"&lt;=20210510"),1)</f>
        <v>0</v>
      </c>
      <c r="W255" s="65">
        <f t="shared" si="3"/>
        <v>0</v>
      </c>
      <c r="X255" s="68">
        <f>SUMIF(险种!E:E,E:E,险种!Y:Y)</f>
        <v>0</v>
      </c>
      <c r="Y255" s="65">
        <f>MAX(_xlfn.IFS(OR(X:X=1,X:X=2),J:J*0.1,X:X&gt;=3,J:J*0.2,X:X=0,0),IF(J:J&gt;=20000,J:J*0.2,0))</f>
        <v>0</v>
      </c>
      <c r="Z255" s="65" t="str">
        <f>A255&amp;D255&amp;G255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凤台陈军伙伴5.1-5.10预收价值保费0，首周预收3000P件数0件，预收拟加佣0元。温馨提示，保单需10日（含）前承保，目前还有0价值保费未承保,开单一件即可获得10%加佣</v>
      </c>
      <c r="AA255" s="68">
        <f>SUMIF(险种!E:E,E:E,险种!Z:Z)</f>
        <v>0</v>
      </c>
      <c r="AB255" s="65"/>
      <c r="AC255" s="68">
        <f>SUMIF(险种!E:E,E:E,险种!AA:AA)</f>
        <v>0</v>
      </c>
      <c r="AD255" s="68">
        <f>SUMIFS(险种!AA:AA,险种!U:U,"有效",险种!E:E,E:E)</f>
        <v>0</v>
      </c>
      <c r="AE255" s="68" t="str">
        <f>A255&amp;D255&amp;G255&amp;"目前获得"&amp;$AC$1&amp;AC:AC&amp;"名，获得"&amp;$AD$1&amp;AD:AD&amp;"名"</f>
        <v>凤台陈军伙伴目前获得龙虾节预收名额0名，获得龙虾节承保名额0名</v>
      </c>
      <c r="AF255" s="68">
        <f>SUMIF(认购返还案!D:D,E:E,认购返还案!E:E)</f>
        <v>0</v>
      </c>
      <c r="AG255" s="68">
        <f>_xlfn.IFS(AND(U:U&gt;=3000,U:U&lt;5000),AF:AF*0.5,U:U&gt;=5000,AF:AF*1,U:U&lt;3000,0)</f>
        <v>0</v>
      </c>
      <c r="AH255" s="68">
        <f>_xlfn.IFS(AND(V:V&gt;=3000,V:V&lt;5000),AF:AF*0.5,V:V&gt;=5000,AF:AF*1,V:V&lt;3000,0)</f>
        <v>0</v>
      </c>
      <c r="AI255" s="68" t="str">
        <f>A:A&amp;D:D&amp;G:G&amp;$AF$1&amp;AF:AF&amp;"元，目前预收价值"&amp;U:U&amp;"，"&amp;$AG$1&amp;AG:AG&amp;"元，"&amp;$AH$1&amp;AH:AH&amp;"元"</f>
        <v>凤台陈军伙伴冲锋队缴费金额0元，目前预收价值0，预收拟返还0元，承保拟返还0元</v>
      </c>
      <c r="AJ255" s="68">
        <f>SUMIF(保单!R:R,E:E,保单!BE:BE)*IF(AF:AF&gt;1,1,0)</f>
        <v>0</v>
      </c>
      <c r="AK255" s="68">
        <f>SUMIFS(保单!BE:BE,保单!R:R,E:E,保单!BB:BB,"有效")*IF(AF:AF&gt;1,1,0)</f>
        <v>0</v>
      </c>
      <c r="AL255" s="72" t="str">
        <f>A:A&amp;D:D&amp;G:G&amp;"只要在1-10日承保全部保单，即可获得"&amp;$AJ$1&amp;AJ:AJ&amp;"个"</f>
        <v>凤台陈军伙伴只要在1-10日承保全部保单，即可获得冲锋队按摩仪0个</v>
      </c>
    </row>
    <row r="256" spans="1:38">
      <c r="A256" s="64" t="s">
        <v>48</v>
      </c>
      <c r="B256" s="64" t="s">
        <v>49</v>
      </c>
      <c r="C256" s="64" t="s">
        <v>50</v>
      </c>
      <c r="D256" s="64" t="s">
        <v>491</v>
      </c>
      <c r="E256" s="64">
        <v>5291541292</v>
      </c>
      <c r="F256" s="64" t="s">
        <v>168</v>
      </c>
      <c r="G256" s="64" t="str">
        <f>IF(OR(F:F="高级经理一级",F:F="业务经理一级"),"主管","伙伴")</f>
        <v>伙伴</v>
      </c>
      <c r="H256" s="65">
        <f>SUMIF(险种!E:E,E:E,险种!R:R)-SUMIFS(险种!R:R,险种!U:U,"终止",险种!E:E,E:E)</f>
        <v>0</v>
      </c>
      <c r="I256" s="65">
        <f>SUMIFS(险种!R:R,险种!U:U,"有效",险种!E:E,E:E)</f>
        <v>0</v>
      </c>
      <c r="J256" s="65">
        <f>ROUND(SUMIF(险种!E:E,E:E,险种!Q:Q)-SUMIFS(险种!Q:Q,险种!U:U,"终止",险种!E:E,E:E),1)</f>
        <v>0</v>
      </c>
      <c r="K256" s="68">
        <f>RANK(J256,J:J)</f>
        <v>22</v>
      </c>
      <c r="L256" s="65">
        <f>ROUND(SUMIFS(险种!Q:Q,险种!U:U,"有效",险种!E:E,E:E),1)</f>
        <v>0</v>
      </c>
      <c r="M256" s="68">
        <f>RANK(L256,L:L,)</f>
        <v>14</v>
      </c>
      <c r="N256" s="68">
        <f>SUMIF(险种!E:E,E:E,险种!W:W)</f>
        <v>0</v>
      </c>
      <c r="O256" s="68">
        <f>IF(N:N&gt;=1,1,0)</f>
        <v>0</v>
      </c>
      <c r="P256" s="65">
        <f>ROUND(SUMIFS(险种!Q:Q,险种!V:V,$P$1,险种!E:E,E:E),1)</f>
        <v>0</v>
      </c>
      <c r="Q256" s="68">
        <f>RANK(P256,$P:$P,0)-1</f>
        <v>5</v>
      </c>
      <c r="R256" s="68" t="str">
        <f>A:A&amp;D:D&amp;G:G&amp;"在"&amp;$P$1&amp;"预收"&amp;P:P&amp;"排名中支第"&amp;Q:Q&amp;"位"</f>
        <v>谢家集刘耀强伙伴在20210509预收0排名中支第5位</v>
      </c>
      <c r="S256" s="65">
        <f>ROUND(SUMIFS(险种!Q:Q,险种!E:E,E:E,险种!V:V,"&lt;=20210506")-SUMIFS(险种!Q:Q,险种!U:U,"终止",险种!E:E,E:E,险种!V:V,"&lt;=20210506"),1)</f>
        <v>0</v>
      </c>
      <c r="T256" s="65">
        <f>ROUND(SUMIFS(险种!Q:Q,险种!U:U,"有效",险种!E:E,E:E,险种!V:V,"&lt;=20210506"),1)</f>
        <v>0</v>
      </c>
      <c r="U256" s="65">
        <f>ROUND(SUMIFS(险种!Q:Q,险种!E:E,E:E,险种!V:V,"&lt;=20210510")-SUMIFS(险种!Q:Q,险种!U:U,"终止",险种!E:E,E:E,险种!V:V,"&lt;=20210510"),1)</f>
        <v>0</v>
      </c>
      <c r="V256" s="65">
        <f>ROUND(SUMIFS(险种!Q:Q,险种!U:U,"有效",险种!E:E,E:E,险种!V:V,"&lt;=20210510"),1)</f>
        <v>0</v>
      </c>
      <c r="W256" s="65">
        <f t="shared" si="3"/>
        <v>0</v>
      </c>
      <c r="X256" s="68">
        <f>SUMIF(险种!E:E,E:E,险种!Y:Y)</f>
        <v>0</v>
      </c>
      <c r="Y256" s="65">
        <f>MAX(_xlfn.IFS(OR(X:X=1,X:X=2),J:J*0.1,X:X&gt;=3,J:J*0.2,X:X=0,0),IF(J:J&gt;=20000,J:J*0.2,0))</f>
        <v>0</v>
      </c>
      <c r="Z256" s="65" t="str">
        <f>A256&amp;D256&amp;G256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谢家集刘耀强伙伴5.1-5.10预收价值保费0，首周预收3000P件数0件，预收拟加佣0元。温馨提示，保单需10日（含）前承保，目前还有0价值保费未承保,开单一件即可获得10%加佣</v>
      </c>
      <c r="AA256" s="68">
        <f>SUMIF(险种!E:E,E:E,险种!Z:Z)</f>
        <v>0</v>
      </c>
      <c r="AB256" s="65"/>
      <c r="AC256" s="68">
        <f>SUMIF(险种!E:E,E:E,险种!AA:AA)</f>
        <v>0</v>
      </c>
      <c r="AD256" s="68">
        <f>SUMIFS(险种!AA:AA,险种!U:U,"有效",险种!E:E,E:E)</f>
        <v>0</v>
      </c>
      <c r="AE256" s="68" t="str">
        <f>A256&amp;D256&amp;G256&amp;"目前获得"&amp;$AC$1&amp;AC:AC&amp;"名，获得"&amp;$AD$1&amp;AD:AD&amp;"名"</f>
        <v>谢家集刘耀强伙伴目前获得龙虾节预收名额0名，获得龙虾节承保名额0名</v>
      </c>
      <c r="AF256" s="68">
        <f>SUMIF(认购返还案!D:D,E:E,认购返还案!E:E)</f>
        <v>0</v>
      </c>
      <c r="AG256" s="68">
        <f>_xlfn.IFS(AND(U:U&gt;=3000,U:U&lt;5000),AF:AF*0.5,U:U&gt;=5000,AF:AF*1,U:U&lt;3000,0)</f>
        <v>0</v>
      </c>
      <c r="AH256" s="68">
        <f>_xlfn.IFS(AND(V:V&gt;=3000,V:V&lt;5000),AF:AF*0.5,V:V&gt;=5000,AF:AF*1,V:V&lt;3000,0)</f>
        <v>0</v>
      </c>
      <c r="AI256" s="68" t="str">
        <f>A:A&amp;D:D&amp;G:G&amp;$AF$1&amp;AF:AF&amp;"元，目前预收价值"&amp;U:U&amp;"，"&amp;$AG$1&amp;AG:AG&amp;"元，"&amp;$AH$1&amp;AH:AH&amp;"元"</f>
        <v>谢家集刘耀强伙伴冲锋队缴费金额0元，目前预收价值0，预收拟返还0元，承保拟返还0元</v>
      </c>
      <c r="AJ256" s="68">
        <f>SUMIF(保单!R:R,E:E,保单!BE:BE)*IF(AF:AF&gt;1,1,0)</f>
        <v>0</v>
      </c>
      <c r="AK256" s="68">
        <f>SUMIFS(保单!BE:BE,保单!R:R,E:E,保单!BB:BB,"有效")*IF(AF:AF&gt;1,1,0)</f>
        <v>0</v>
      </c>
      <c r="AL256" s="72" t="str">
        <f>A:A&amp;D:D&amp;G:G&amp;"只要在1-10日承保全部保单，即可获得"&amp;$AJ$1&amp;AJ:AJ&amp;"个"</f>
        <v>谢家集刘耀强伙伴只要在1-10日承保全部保单，即可获得冲锋队按摩仪0个</v>
      </c>
    </row>
    <row r="257" spans="1:38">
      <c r="A257" s="64" t="s">
        <v>27</v>
      </c>
      <c r="B257" s="64" t="s">
        <v>94</v>
      </c>
      <c r="C257" s="64" t="s">
        <v>95</v>
      </c>
      <c r="D257" s="64" t="s">
        <v>492</v>
      </c>
      <c r="E257" s="64">
        <v>5250370712</v>
      </c>
      <c r="F257" s="64" t="s">
        <v>174</v>
      </c>
      <c r="G257" s="64" t="str">
        <f>IF(OR(F:F="高级经理一级",F:F="业务经理一级"),"主管","伙伴")</f>
        <v>伙伴</v>
      </c>
      <c r="H257" s="65">
        <f>SUMIF(险种!E:E,E:E,险种!R:R)-SUMIFS(险种!R:R,险种!U:U,"终止",险种!E:E,E:E)</f>
        <v>0</v>
      </c>
      <c r="I257" s="65">
        <f>SUMIFS(险种!R:R,险种!U:U,"有效",险种!E:E,E:E)</f>
        <v>0</v>
      </c>
      <c r="J257" s="65">
        <f>ROUND(SUMIF(险种!E:E,E:E,险种!Q:Q)-SUMIFS(险种!Q:Q,险种!U:U,"终止",险种!E:E,E:E),1)</f>
        <v>0</v>
      </c>
      <c r="K257" s="68">
        <f>RANK(J257,J:J)</f>
        <v>22</v>
      </c>
      <c r="L257" s="65">
        <f>ROUND(SUMIFS(险种!Q:Q,险种!U:U,"有效",险种!E:E,E:E),1)</f>
        <v>0</v>
      </c>
      <c r="M257" s="68">
        <f>RANK(L257,L:L,)</f>
        <v>14</v>
      </c>
      <c r="N257" s="68">
        <f>SUMIF(险种!E:E,E:E,险种!W:W)</f>
        <v>0</v>
      </c>
      <c r="O257" s="68">
        <f>IF(N:N&gt;=1,1,0)</f>
        <v>0</v>
      </c>
      <c r="P257" s="65">
        <f>ROUND(SUMIFS(险种!Q:Q,险种!V:V,$P$1,险种!E:E,E:E),1)</f>
        <v>0</v>
      </c>
      <c r="Q257" s="68">
        <f>RANK(P257,$P:$P,0)-1</f>
        <v>5</v>
      </c>
      <c r="R257" s="68" t="str">
        <f>A:A&amp;D:D&amp;G:G&amp;"在"&amp;$P$1&amp;"预收"&amp;P:P&amp;"排名中支第"&amp;Q:Q&amp;"位"</f>
        <v>凤台叶永茂伙伴在20210509预收0排名中支第5位</v>
      </c>
      <c r="S257" s="65">
        <f>ROUND(SUMIFS(险种!Q:Q,险种!E:E,E:E,险种!V:V,"&lt;=20210506")-SUMIFS(险种!Q:Q,险种!U:U,"终止",险种!E:E,E:E,险种!V:V,"&lt;=20210506"),1)</f>
        <v>0</v>
      </c>
      <c r="T257" s="65">
        <f>ROUND(SUMIFS(险种!Q:Q,险种!U:U,"有效",险种!E:E,E:E,险种!V:V,"&lt;=20210506"),1)</f>
        <v>0</v>
      </c>
      <c r="U257" s="65">
        <f>ROUND(SUMIFS(险种!Q:Q,险种!E:E,E:E,险种!V:V,"&lt;=20210510")-SUMIFS(险种!Q:Q,险种!U:U,"终止",险种!E:E,E:E,险种!V:V,"&lt;=20210510"),1)</f>
        <v>0</v>
      </c>
      <c r="V257" s="65">
        <f>ROUND(SUMIFS(险种!Q:Q,险种!U:U,"有效",险种!E:E,E:E,险种!V:V,"&lt;=20210510"),1)</f>
        <v>0</v>
      </c>
      <c r="W257" s="65">
        <f t="shared" si="3"/>
        <v>0</v>
      </c>
      <c r="X257" s="68">
        <f>SUMIF(险种!E:E,E:E,险种!Y:Y)</f>
        <v>0</v>
      </c>
      <c r="Y257" s="65">
        <f>MAX(_xlfn.IFS(OR(X:X=1,X:X=2),J:J*0.1,X:X&gt;=3,J:J*0.2,X:X=0,0),IF(J:J&gt;=20000,J:J*0.2,0))</f>
        <v>0</v>
      </c>
      <c r="Z257" s="65" t="str">
        <f>A257&amp;D257&amp;G257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凤台叶永茂伙伴5.1-5.10预收价值保费0，首周预收3000P件数0件，预收拟加佣0元。温馨提示，保单需10日（含）前承保，目前还有0价值保费未承保,开单一件即可获得10%加佣</v>
      </c>
      <c r="AA257" s="68">
        <f>SUMIF(险种!E:E,E:E,险种!Z:Z)</f>
        <v>0</v>
      </c>
      <c r="AB257" s="65"/>
      <c r="AC257" s="68">
        <f>SUMIF(险种!E:E,E:E,险种!AA:AA)</f>
        <v>0</v>
      </c>
      <c r="AD257" s="68">
        <f>SUMIFS(险种!AA:AA,险种!U:U,"有效",险种!E:E,E:E)</f>
        <v>0</v>
      </c>
      <c r="AE257" s="68" t="str">
        <f>A257&amp;D257&amp;G257&amp;"目前获得"&amp;$AC$1&amp;AC:AC&amp;"名，获得"&amp;$AD$1&amp;AD:AD&amp;"名"</f>
        <v>凤台叶永茂伙伴目前获得龙虾节预收名额0名，获得龙虾节承保名额0名</v>
      </c>
      <c r="AF257" s="68">
        <f>SUMIF(认购返还案!D:D,E:E,认购返还案!E:E)</f>
        <v>0</v>
      </c>
      <c r="AG257" s="68">
        <f>_xlfn.IFS(AND(U:U&gt;=3000,U:U&lt;5000),AF:AF*0.5,U:U&gt;=5000,AF:AF*1,U:U&lt;3000,0)</f>
        <v>0</v>
      </c>
      <c r="AH257" s="68">
        <f>_xlfn.IFS(AND(V:V&gt;=3000,V:V&lt;5000),AF:AF*0.5,V:V&gt;=5000,AF:AF*1,V:V&lt;3000,0)</f>
        <v>0</v>
      </c>
      <c r="AI257" s="68" t="str">
        <f>A:A&amp;D:D&amp;G:G&amp;$AF$1&amp;AF:AF&amp;"元，目前预收价值"&amp;U:U&amp;"，"&amp;$AG$1&amp;AG:AG&amp;"元，"&amp;$AH$1&amp;AH:AH&amp;"元"</f>
        <v>凤台叶永茂伙伴冲锋队缴费金额0元，目前预收价值0，预收拟返还0元，承保拟返还0元</v>
      </c>
      <c r="AJ257" s="68">
        <f>SUMIF(保单!R:R,E:E,保单!BE:BE)*IF(AF:AF&gt;1,1,0)</f>
        <v>0</v>
      </c>
      <c r="AK257" s="68">
        <f>SUMIFS(保单!BE:BE,保单!R:R,E:E,保单!BB:BB,"有效")*IF(AF:AF&gt;1,1,0)</f>
        <v>0</v>
      </c>
      <c r="AL257" s="72" t="str">
        <f>A:A&amp;D:D&amp;G:G&amp;"只要在1-10日承保全部保单，即可获得"&amp;$AJ$1&amp;AJ:AJ&amp;"个"</f>
        <v>凤台叶永茂伙伴只要在1-10日承保全部保单，即可获得冲锋队按摩仪0个</v>
      </c>
    </row>
    <row r="258" spans="1:38">
      <c r="A258" s="64" t="s">
        <v>42</v>
      </c>
      <c r="B258" s="64" t="s">
        <v>62</v>
      </c>
      <c r="C258" s="64" t="s">
        <v>108</v>
      </c>
      <c r="D258" s="64" t="s">
        <v>223</v>
      </c>
      <c r="E258" s="64">
        <v>5228523972</v>
      </c>
      <c r="F258" s="64" t="s">
        <v>165</v>
      </c>
      <c r="G258" s="64" t="str">
        <f>IF(OR(F:F="高级经理一级",F:F="业务经理一级"),"主管","伙伴")</f>
        <v>主管</v>
      </c>
      <c r="H258" s="65">
        <f>SUMIF(险种!E:E,E:E,险种!R:R)-SUMIFS(险种!R:R,险种!U:U,"终止",险种!E:E,E:E)</f>
        <v>0</v>
      </c>
      <c r="I258" s="65">
        <f>SUMIFS(险种!R:R,险种!U:U,"有效",险种!E:E,E:E)</f>
        <v>0</v>
      </c>
      <c r="J258" s="65">
        <f>ROUND(SUMIF(险种!E:E,E:E,险种!Q:Q)-SUMIFS(险种!Q:Q,险种!U:U,"终止",险种!E:E,E:E),1)</f>
        <v>0</v>
      </c>
      <c r="K258" s="68">
        <f>RANK(J258,J:J)</f>
        <v>22</v>
      </c>
      <c r="L258" s="65">
        <f>ROUND(SUMIFS(险种!Q:Q,险种!U:U,"有效",险种!E:E,E:E),1)</f>
        <v>0</v>
      </c>
      <c r="M258" s="68">
        <f>RANK(L258,L:L,)</f>
        <v>14</v>
      </c>
      <c r="N258" s="68">
        <f>SUMIF(险种!E:E,E:E,险种!W:W)</f>
        <v>0</v>
      </c>
      <c r="O258" s="68">
        <f>IF(N:N&gt;=1,1,0)</f>
        <v>0</v>
      </c>
      <c r="P258" s="65">
        <f>ROUND(SUMIFS(险种!Q:Q,险种!V:V,$P$1,险种!E:E,E:E),1)</f>
        <v>0</v>
      </c>
      <c r="Q258" s="68">
        <f>RANK(P258,$P:$P,0)-1</f>
        <v>5</v>
      </c>
      <c r="R258" s="68" t="str">
        <f>A:A&amp;D:D&amp;G:G&amp;"在"&amp;$P$1&amp;"预收"&amp;P:P&amp;"排名中支第"&amp;Q:Q&amp;"位"</f>
        <v>淮南本部何静主管在20210509预收0排名中支第5位</v>
      </c>
      <c r="S258" s="65">
        <f>ROUND(SUMIFS(险种!Q:Q,险种!E:E,E:E,险种!V:V,"&lt;=20210506")-SUMIFS(险种!Q:Q,险种!U:U,"终止",险种!E:E,E:E,险种!V:V,"&lt;=20210506"),1)</f>
        <v>0</v>
      </c>
      <c r="T258" s="65">
        <f>ROUND(SUMIFS(险种!Q:Q,险种!U:U,"有效",险种!E:E,E:E,险种!V:V,"&lt;=20210506"),1)</f>
        <v>0</v>
      </c>
      <c r="U258" s="65">
        <f>ROUND(SUMIFS(险种!Q:Q,险种!E:E,E:E,险种!V:V,"&lt;=20210510")-SUMIFS(险种!Q:Q,险种!U:U,"终止",险种!E:E,E:E,险种!V:V,"&lt;=20210510"),1)</f>
        <v>0</v>
      </c>
      <c r="V258" s="65">
        <f>ROUND(SUMIFS(险种!Q:Q,险种!U:U,"有效",险种!E:E,E:E,险种!V:V,"&lt;=20210510"),1)</f>
        <v>0</v>
      </c>
      <c r="W258" s="65">
        <f t="shared" ref="W258:W273" si="4">U258-V258</f>
        <v>0</v>
      </c>
      <c r="X258" s="68">
        <f>SUMIF(险种!E:E,E:E,险种!Y:Y)</f>
        <v>0</v>
      </c>
      <c r="Y258" s="65">
        <f>MAX(_xlfn.IFS(OR(X:X=1,X:X=2),J:J*0.1,X:X&gt;=3,J:J*0.2,X:X=0,0),IF(J:J&gt;=20000,J:J*0.2,0))</f>
        <v>0</v>
      </c>
      <c r="Z258" s="65" t="str">
        <f>A258&amp;D258&amp;G258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淮南本部何静主管5.1-5.10预收价值保费0，首周预收3000P件数0件，预收拟加佣0元。温馨提示，保单需10日（含）前承保，目前还有0价值保费未承保,开单一件即可获得10%加佣</v>
      </c>
      <c r="AA258" s="68">
        <f>SUMIF(险种!E:E,E:E,险种!Z:Z)</f>
        <v>0</v>
      </c>
      <c r="AB258" s="65"/>
      <c r="AC258" s="68">
        <f>SUMIF(险种!E:E,E:E,险种!AA:AA)</f>
        <v>0</v>
      </c>
      <c r="AD258" s="68">
        <f>SUMIFS(险种!AA:AA,险种!U:U,"有效",险种!E:E,E:E)</f>
        <v>0</v>
      </c>
      <c r="AE258" s="68" t="str">
        <f>A258&amp;D258&amp;G258&amp;"目前获得"&amp;$AC$1&amp;AC:AC&amp;"名，获得"&amp;$AD$1&amp;AD:AD&amp;"名"</f>
        <v>淮南本部何静主管目前获得龙虾节预收名额0名，获得龙虾节承保名额0名</v>
      </c>
      <c r="AF258" s="68">
        <f>SUMIF(认购返还案!D:D,E:E,认购返还案!E:E)</f>
        <v>200</v>
      </c>
      <c r="AG258" s="68">
        <f>_xlfn.IFS(AND(U:U&gt;=3000,U:U&lt;5000),AF:AF*0.5,U:U&gt;=5000,AF:AF*1,U:U&lt;3000,0)</f>
        <v>0</v>
      </c>
      <c r="AH258" s="68">
        <f>_xlfn.IFS(AND(V:V&gt;=3000,V:V&lt;5000),AF:AF*0.5,V:V&gt;=5000,AF:AF*1,V:V&lt;3000,0)</f>
        <v>0</v>
      </c>
      <c r="AI258" s="68" t="str">
        <f>A:A&amp;D:D&amp;G:G&amp;$AF$1&amp;AF:AF&amp;"元，目前预收价值"&amp;U:U&amp;"，"&amp;$AG$1&amp;AG:AG&amp;"元，"&amp;$AH$1&amp;AH:AH&amp;"元"</f>
        <v>淮南本部何静主管冲锋队缴费金额200元，目前预收价值0，预收拟返还0元，承保拟返还0元</v>
      </c>
      <c r="AJ258" s="68">
        <f>SUMIF(保单!R:R,E:E,保单!BE:BE)*IF(AF:AF&gt;1,1,0)</f>
        <v>0</v>
      </c>
      <c r="AK258" s="68">
        <f>SUMIFS(保单!BE:BE,保单!R:R,E:E,保单!BB:BB,"有效")*IF(AF:AF&gt;1,1,0)</f>
        <v>0</v>
      </c>
      <c r="AL258" s="72" t="str">
        <f>A:A&amp;D:D&amp;G:G&amp;"只要在1-10日承保全部保单，即可获得"&amp;$AJ$1&amp;AJ:AJ&amp;"个"</f>
        <v>淮南本部何静主管只要在1-10日承保全部保单，即可获得冲锋队按摩仪0个</v>
      </c>
    </row>
    <row r="259" spans="1:38">
      <c r="A259" s="64" t="s">
        <v>42</v>
      </c>
      <c r="B259" s="64" t="s">
        <v>62</v>
      </c>
      <c r="C259" s="64" t="s">
        <v>86</v>
      </c>
      <c r="D259" s="64" t="s">
        <v>493</v>
      </c>
      <c r="E259" s="64">
        <v>5227952842</v>
      </c>
      <c r="F259" s="64" t="s">
        <v>174</v>
      </c>
      <c r="G259" s="64" t="str">
        <f>IF(OR(F:F="高级经理一级",F:F="业务经理一级"),"主管","伙伴")</f>
        <v>伙伴</v>
      </c>
      <c r="H259" s="65">
        <f>SUMIF(险种!E:E,E:E,险种!R:R)-SUMIFS(险种!R:R,险种!U:U,"终止",险种!E:E,E:E)</f>
        <v>0</v>
      </c>
      <c r="I259" s="65">
        <f>SUMIFS(险种!R:R,险种!U:U,"有效",险种!E:E,E:E)</f>
        <v>0</v>
      </c>
      <c r="J259" s="65">
        <f>ROUND(SUMIF(险种!E:E,E:E,险种!Q:Q)-SUMIFS(险种!Q:Q,险种!U:U,"终止",险种!E:E,E:E),1)</f>
        <v>0</v>
      </c>
      <c r="K259" s="68">
        <f>RANK(J259,J:J)</f>
        <v>22</v>
      </c>
      <c r="L259" s="65">
        <f>ROUND(SUMIFS(险种!Q:Q,险种!U:U,"有效",险种!E:E,E:E),1)</f>
        <v>0</v>
      </c>
      <c r="M259" s="68">
        <f>RANK(L259,L:L,)</f>
        <v>14</v>
      </c>
      <c r="N259" s="68">
        <f>SUMIF(险种!E:E,E:E,险种!W:W)</f>
        <v>0</v>
      </c>
      <c r="O259" s="68">
        <f>IF(N:N&gt;=1,1,0)</f>
        <v>0</v>
      </c>
      <c r="P259" s="65">
        <f>ROUND(SUMIFS(险种!Q:Q,险种!V:V,$P$1,险种!E:E,E:E),1)</f>
        <v>0</v>
      </c>
      <c r="Q259" s="68">
        <f>RANK(P259,$P:$P,0)-1</f>
        <v>5</v>
      </c>
      <c r="R259" s="68" t="str">
        <f>A:A&amp;D:D&amp;G:G&amp;"在"&amp;$P$1&amp;"预收"&amp;P:P&amp;"排名中支第"&amp;Q:Q&amp;"位"</f>
        <v>淮南本部沈宏荣伙伴在20210509预收0排名中支第5位</v>
      </c>
      <c r="S259" s="65">
        <f>ROUND(SUMIFS(险种!Q:Q,险种!E:E,E:E,险种!V:V,"&lt;=20210506")-SUMIFS(险种!Q:Q,险种!U:U,"终止",险种!E:E,E:E,险种!V:V,"&lt;=20210506"),1)</f>
        <v>0</v>
      </c>
      <c r="T259" s="65">
        <f>ROUND(SUMIFS(险种!Q:Q,险种!U:U,"有效",险种!E:E,E:E,险种!V:V,"&lt;=20210506"),1)</f>
        <v>0</v>
      </c>
      <c r="U259" s="65">
        <f>ROUND(SUMIFS(险种!Q:Q,险种!E:E,E:E,险种!V:V,"&lt;=20210510")-SUMIFS(险种!Q:Q,险种!U:U,"终止",险种!E:E,E:E,险种!V:V,"&lt;=20210510"),1)</f>
        <v>0</v>
      </c>
      <c r="V259" s="65">
        <f>ROUND(SUMIFS(险种!Q:Q,险种!U:U,"有效",险种!E:E,E:E,险种!V:V,"&lt;=20210510"),1)</f>
        <v>0</v>
      </c>
      <c r="W259" s="65">
        <f t="shared" si="4"/>
        <v>0</v>
      </c>
      <c r="X259" s="68">
        <f>SUMIF(险种!E:E,E:E,险种!Y:Y)</f>
        <v>0</v>
      </c>
      <c r="Y259" s="65">
        <f>MAX(_xlfn.IFS(OR(X:X=1,X:X=2),J:J*0.1,X:X&gt;=3,J:J*0.2,X:X=0,0),IF(J:J&gt;=20000,J:J*0.2,0))</f>
        <v>0</v>
      </c>
      <c r="Z259" s="65" t="str">
        <f>A259&amp;D259&amp;G259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淮南本部沈宏荣伙伴5.1-5.10预收价值保费0，首周预收3000P件数0件，预收拟加佣0元。温馨提示，保单需10日（含）前承保，目前还有0价值保费未承保,开单一件即可获得10%加佣</v>
      </c>
      <c r="AA259" s="68">
        <f>SUMIF(险种!E:E,E:E,险种!Z:Z)</f>
        <v>0</v>
      </c>
      <c r="AB259" s="65"/>
      <c r="AC259" s="68">
        <f>SUMIF(险种!E:E,E:E,险种!AA:AA)</f>
        <v>0</v>
      </c>
      <c r="AD259" s="68">
        <f>SUMIFS(险种!AA:AA,险种!U:U,"有效",险种!E:E,E:E)</f>
        <v>0</v>
      </c>
      <c r="AE259" s="68" t="str">
        <f>A259&amp;D259&amp;G259&amp;"目前获得"&amp;$AC$1&amp;AC:AC&amp;"名，获得"&amp;$AD$1&amp;AD:AD&amp;"名"</f>
        <v>淮南本部沈宏荣伙伴目前获得龙虾节预收名额0名，获得龙虾节承保名额0名</v>
      </c>
      <c r="AF259" s="68">
        <f>SUMIF(认购返还案!D:D,E:E,认购返还案!E:E)</f>
        <v>0</v>
      </c>
      <c r="AG259" s="68">
        <f>_xlfn.IFS(AND(U:U&gt;=3000,U:U&lt;5000),AF:AF*0.5,U:U&gt;=5000,AF:AF*1,U:U&lt;3000,0)</f>
        <v>0</v>
      </c>
      <c r="AH259" s="68">
        <f>_xlfn.IFS(AND(V:V&gt;=3000,V:V&lt;5000),AF:AF*0.5,V:V&gt;=5000,AF:AF*1,V:V&lt;3000,0)</f>
        <v>0</v>
      </c>
      <c r="AI259" s="68" t="str">
        <f>A:A&amp;D:D&amp;G:G&amp;$AF$1&amp;AF:AF&amp;"元，目前预收价值"&amp;U:U&amp;"，"&amp;$AG$1&amp;AG:AG&amp;"元，"&amp;$AH$1&amp;AH:AH&amp;"元"</f>
        <v>淮南本部沈宏荣伙伴冲锋队缴费金额0元，目前预收价值0，预收拟返还0元，承保拟返还0元</v>
      </c>
      <c r="AJ259" s="68">
        <f>SUMIF(保单!R:R,E:E,保单!BE:BE)*IF(AF:AF&gt;1,1,0)</f>
        <v>0</v>
      </c>
      <c r="AK259" s="68">
        <f>SUMIFS(保单!BE:BE,保单!R:R,E:E,保单!BB:BB,"有效")*IF(AF:AF&gt;1,1,0)</f>
        <v>0</v>
      </c>
      <c r="AL259" s="72" t="str">
        <f>A:A&amp;D:D&amp;G:G&amp;"只要在1-10日承保全部保单，即可获得"&amp;$AJ$1&amp;AJ:AJ&amp;"个"</f>
        <v>淮南本部沈宏荣伙伴只要在1-10日承保全部保单，即可获得冲锋队按摩仪0个</v>
      </c>
    </row>
    <row r="260" spans="1:38">
      <c r="A260" s="64" t="s">
        <v>42</v>
      </c>
      <c r="B260" s="64" t="s">
        <v>66</v>
      </c>
      <c r="C260" s="64" t="s">
        <v>343</v>
      </c>
      <c r="D260" s="64" t="s">
        <v>494</v>
      </c>
      <c r="E260" s="64">
        <v>5225001092</v>
      </c>
      <c r="F260" s="64" t="s">
        <v>174</v>
      </c>
      <c r="G260" s="64" t="str">
        <f>IF(OR(F:F="高级经理一级",F:F="业务经理一级"),"主管","伙伴")</f>
        <v>伙伴</v>
      </c>
      <c r="H260" s="65">
        <f>SUMIF(险种!E:E,E:E,险种!R:R)-SUMIFS(险种!R:R,险种!U:U,"终止",险种!E:E,E:E)</f>
        <v>0</v>
      </c>
      <c r="I260" s="65">
        <f>SUMIFS(险种!R:R,险种!U:U,"有效",险种!E:E,E:E)</f>
        <v>0</v>
      </c>
      <c r="J260" s="65">
        <f>ROUND(SUMIF(险种!E:E,E:E,险种!Q:Q)-SUMIFS(险种!Q:Q,险种!U:U,"终止",险种!E:E,E:E),1)</f>
        <v>0</v>
      </c>
      <c r="K260" s="68">
        <f>RANK(J260,J:J)</f>
        <v>22</v>
      </c>
      <c r="L260" s="65">
        <f>ROUND(SUMIFS(险种!Q:Q,险种!U:U,"有效",险种!E:E,E:E),1)</f>
        <v>0</v>
      </c>
      <c r="M260" s="68">
        <f>RANK(L260,L:L,)</f>
        <v>14</v>
      </c>
      <c r="N260" s="68">
        <f>SUMIF(险种!E:E,E:E,险种!W:W)</f>
        <v>0</v>
      </c>
      <c r="O260" s="68">
        <f>IF(N:N&gt;=1,1,0)</f>
        <v>0</v>
      </c>
      <c r="P260" s="65">
        <f>ROUND(SUMIFS(险种!Q:Q,险种!V:V,$P$1,险种!E:E,E:E),1)</f>
        <v>0</v>
      </c>
      <c r="Q260" s="68">
        <f>RANK(P260,$P:$P,0)-1</f>
        <v>5</v>
      </c>
      <c r="R260" s="68" t="str">
        <f>A:A&amp;D:D&amp;G:G&amp;"在"&amp;$P$1&amp;"预收"&amp;P:P&amp;"排名中支第"&amp;Q:Q&amp;"位"</f>
        <v>淮南本部程永华伙伴在20210509预收0排名中支第5位</v>
      </c>
      <c r="S260" s="65">
        <f>ROUND(SUMIFS(险种!Q:Q,险种!E:E,E:E,险种!V:V,"&lt;=20210506")-SUMIFS(险种!Q:Q,险种!U:U,"终止",险种!E:E,E:E,险种!V:V,"&lt;=20210506"),1)</f>
        <v>0</v>
      </c>
      <c r="T260" s="65">
        <f>ROUND(SUMIFS(险种!Q:Q,险种!U:U,"有效",险种!E:E,E:E,险种!V:V,"&lt;=20210506"),1)</f>
        <v>0</v>
      </c>
      <c r="U260" s="65">
        <f>ROUND(SUMIFS(险种!Q:Q,险种!E:E,E:E,险种!V:V,"&lt;=20210510")-SUMIFS(险种!Q:Q,险种!U:U,"终止",险种!E:E,E:E,险种!V:V,"&lt;=20210510"),1)</f>
        <v>0</v>
      </c>
      <c r="V260" s="65">
        <f>ROUND(SUMIFS(险种!Q:Q,险种!U:U,"有效",险种!E:E,E:E,险种!V:V,"&lt;=20210510"),1)</f>
        <v>0</v>
      </c>
      <c r="W260" s="65">
        <f t="shared" si="4"/>
        <v>0</v>
      </c>
      <c r="X260" s="68">
        <f>SUMIF(险种!E:E,E:E,险种!Y:Y)</f>
        <v>0</v>
      </c>
      <c r="Y260" s="65">
        <f>MAX(_xlfn.IFS(OR(X:X=1,X:X=2),J:J*0.1,X:X&gt;=3,J:J*0.2,X:X=0,0),IF(J:J&gt;=20000,J:J*0.2,0))</f>
        <v>0</v>
      </c>
      <c r="Z260" s="65" t="str">
        <f>A260&amp;D260&amp;G260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淮南本部程永华伙伴5.1-5.10预收价值保费0，首周预收3000P件数0件，预收拟加佣0元。温馨提示，保单需10日（含）前承保，目前还有0价值保费未承保,开单一件即可获得10%加佣</v>
      </c>
      <c r="AA260" s="68">
        <f>SUMIF(险种!E:E,E:E,险种!Z:Z)</f>
        <v>0</v>
      </c>
      <c r="AB260" s="65"/>
      <c r="AC260" s="68">
        <f>SUMIF(险种!E:E,E:E,险种!AA:AA)</f>
        <v>0</v>
      </c>
      <c r="AD260" s="68">
        <f>SUMIFS(险种!AA:AA,险种!U:U,"有效",险种!E:E,E:E)</f>
        <v>0</v>
      </c>
      <c r="AE260" s="68" t="str">
        <f>A260&amp;D260&amp;G260&amp;"目前获得"&amp;$AC$1&amp;AC:AC&amp;"名，获得"&amp;$AD$1&amp;AD:AD&amp;"名"</f>
        <v>淮南本部程永华伙伴目前获得龙虾节预收名额0名，获得龙虾节承保名额0名</v>
      </c>
      <c r="AF260" s="68">
        <f>SUMIF(认购返还案!D:D,E:E,认购返还案!E:E)</f>
        <v>0</v>
      </c>
      <c r="AG260" s="68">
        <f>_xlfn.IFS(AND(U:U&gt;=3000,U:U&lt;5000),AF:AF*0.5,U:U&gt;=5000,AF:AF*1,U:U&lt;3000,0)</f>
        <v>0</v>
      </c>
      <c r="AH260" s="68">
        <f>_xlfn.IFS(AND(V:V&gt;=3000,V:V&lt;5000),AF:AF*0.5,V:V&gt;=5000,AF:AF*1,V:V&lt;3000,0)</f>
        <v>0</v>
      </c>
      <c r="AI260" s="68" t="str">
        <f>A:A&amp;D:D&amp;G:G&amp;$AF$1&amp;AF:AF&amp;"元，目前预收价值"&amp;U:U&amp;"，"&amp;$AG$1&amp;AG:AG&amp;"元，"&amp;$AH$1&amp;AH:AH&amp;"元"</f>
        <v>淮南本部程永华伙伴冲锋队缴费金额0元，目前预收价值0，预收拟返还0元，承保拟返还0元</v>
      </c>
      <c r="AJ260" s="68">
        <f>SUMIF(保单!R:R,E:E,保单!BE:BE)*IF(AF:AF&gt;1,1,0)</f>
        <v>0</v>
      </c>
      <c r="AK260" s="68">
        <f>SUMIFS(保单!BE:BE,保单!R:R,E:E,保单!BB:BB,"有效")*IF(AF:AF&gt;1,1,0)</f>
        <v>0</v>
      </c>
      <c r="AL260" s="72" t="str">
        <f>A:A&amp;D:D&amp;G:G&amp;"只要在1-10日承保全部保单，即可获得"&amp;$AJ$1&amp;AJ:AJ&amp;"个"</f>
        <v>淮南本部程永华伙伴只要在1-10日承保全部保单，即可获得冲锋队按摩仪0个</v>
      </c>
    </row>
    <row r="261" spans="1:38">
      <c r="A261" s="64" t="s">
        <v>48</v>
      </c>
      <c r="B261" s="64" t="s">
        <v>49</v>
      </c>
      <c r="C261" s="64" t="s">
        <v>50</v>
      </c>
      <c r="D261" s="64" t="s">
        <v>51</v>
      </c>
      <c r="E261" s="64">
        <v>5212998502</v>
      </c>
      <c r="F261" s="64" t="s">
        <v>174</v>
      </c>
      <c r="G261" s="64" t="str">
        <f>IF(OR(F:F="高级经理一级",F:F="业务经理一级"),"主管","伙伴")</f>
        <v>伙伴</v>
      </c>
      <c r="H261" s="65">
        <f>SUMIF(险种!E:E,E:E,险种!R:R)-SUMIFS(险种!R:R,险种!U:U,"终止",险种!E:E,E:E)</f>
        <v>564</v>
      </c>
      <c r="I261" s="65">
        <f>SUMIFS(险种!R:R,险种!U:U,"有效",险种!E:E,E:E)</f>
        <v>282</v>
      </c>
      <c r="J261" s="65">
        <f>ROUND(SUMIF(险种!E:E,E:E,险种!Q:Q)-SUMIFS(险种!Q:Q,险种!U:U,"终止",险种!E:E,E:E),1)</f>
        <v>9.1</v>
      </c>
      <c r="K261" s="68">
        <f>RANK(J261,J:J)</f>
        <v>19</v>
      </c>
      <c r="L261" s="65">
        <f>ROUND(SUMIFS(险种!Q:Q,险种!U:U,"有效",险种!E:E,E:E),1)</f>
        <v>4.6</v>
      </c>
      <c r="M261" s="68">
        <f>RANK(L261,L:L,)</f>
        <v>13</v>
      </c>
      <c r="N261" s="68">
        <f>SUMIF(险种!E:E,E:E,险种!W:W)</f>
        <v>0</v>
      </c>
      <c r="O261" s="68">
        <f>IF(N:N&gt;=1,1,0)</f>
        <v>0</v>
      </c>
      <c r="P261" s="65">
        <f>ROUND(SUMIFS(险种!Q:Q,险种!V:V,$P$1,险种!E:E,E:E),1)</f>
        <v>0</v>
      </c>
      <c r="Q261" s="68">
        <f>RANK(P261,$P:$P,0)-1</f>
        <v>5</v>
      </c>
      <c r="R261" s="68" t="str">
        <f>A:A&amp;D:D&amp;G:G&amp;"在"&amp;$P$1&amp;"预收"&amp;P:P&amp;"排名中支第"&amp;Q:Q&amp;"位"</f>
        <v>谢家集张彩云伙伴在20210509预收0排名中支第5位</v>
      </c>
      <c r="S261" s="65">
        <f>ROUND(SUMIFS(险种!Q:Q,险种!E:E,E:E,险种!V:V,"&lt;=20210506")-SUMIFS(险种!Q:Q,险种!U:U,"终止",险种!E:E,E:E,险种!V:V,"&lt;=20210506"),1)</f>
        <v>0</v>
      </c>
      <c r="T261" s="65">
        <f>ROUND(SUMIFS(险种!Q:Q,险种!U:U,"有效",险种!E:E,E:E,险种!V:V,"&lt;=20210506"),1)</f>
        <v>0</v>
      </c>
      <c r="U261" s="65">
        <f>ROUND(SUMIFS(险种!Q:Q,险种!E:E,E:E,险种!V:V,"&lt;=20210510")-SUMIFS(险种!Q:Q,险种!U:U,"终止",险种!E:E,E:E,险种!V:V,"&lt;=20210510"),1)</f>
        <v>9.1</v>
      </c>
      <c r="V261" s="65">
        <f>ROUND(SUMIFS(险种!Q:Q,险种!U:U,"有效",险种!E:E,E:E,险种!V:V,"&lt;=20210510"),1)</f>
        <v>4.6</v>
      </c>
      <c r="W261" s="65">
        <f t="shared" si="4"/>
        <v>4.5</v>
      </c>
      <c r="X261" s="68">
        <f>SUMIF(险种!E:E,E:E,险种!Y:Y)</f>
        <v>0</v>
      </c>
      <c r="Y261" s="65">
        <f>MAX(_xlfn.IFS(OR(X:X=1,X:X=2),J:J*0.1,X:X&gt;=3,J:J*0.2,X:X=0,0),IF(J:J&gt;=20000,J:J*0.2,0))</f>
        <v>0</v>
      </c>
      <c r="Z261" s="65" t="str">
        <f>A261&amp;D261&amp;G261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谢家集张彩云伙伴5.1-5.10预收价值保费9，首周预收3000P件数0件，预收拟加佣0元。温馨提示，保单需10日（含）前承保，目前还有5价值保费未承保,开单一件即可获得10%加佣</v>
      </c>
      <c r="AA261" s="68">
        <f>SUMIF(险种!E:E,E:E,险种!Z:Z)</f>
        <v>0</v>
      </c>
      <c r="AB261" s="65"/>
      <c r="AC261" s="68">
        <f>SUMIF(险种!E:E,E:E,险种!AA:AA)</f>
        <v>0</v>
      </c>
      <c r="AD261" s="68">
        <f>SUMIFS(险种!AA:AA,险种!U:U,"有效",险种!E:E,E:E)</f>
        <v>0</v>
      </c>
      <c r="AE261" s="68" t="str">
        <f>A261&amp;D261&amp;G261&amp;"目前获得"&amp;$AC$1&amp;AC:AC&amp;"名，获得"&amp;$AD$1&amp;AD:AD&amp;"名"</f>
        <v>谢家集张彩云伙伴目前获得龙虾节预收名额0名，获得龙虾节承保名额0名</v>
      </c>
      <c r="AF261" s="68">
        <f>SUMIF(认购返还案!D:D,E:E,认购返还案!E:E)</f>
        <v>0</v>
      </c>
      <c r="AG261" s="68">
        <f>_xlfn.IFS(AND(U:U&gt;=3000,U:U&lt;5000),AF:AF*0.5,U:U&gt;=5000,AF:AF*1,U:U&lt;3000,0)</f>
        <v>0</v>
      </c>
      <c r="AH261" s="68">
        <f>_xlfn.IFS(AND(V:V&gt;=3000,V:V&lt;5000),AF:AF*0.5,V:V&gt;=5000,AF:AF*1,V:V&lt;3000,0)</f>
        <v>0</v>
      </c>
      <c r="AI261" s="68" t="str">
        <f>A:A&amp;D:D&amp;G:G&amp;$AF$1&amp;AF:AF&amp;"元，目前预收价值"&amp;U:U&amp;"，"&amp;$AG$1&amp;AG:AG&amp;"元，"&amp;$AH$1&amp;AH:AH&amp;"元"</f>
        <v>谢家集张彩云伙伴冲锋队缴费金额0元，目前预收价值9.1，预收拟返还0元，承保拟返还0元</v>
      </c>
      <c r="AJ261" s="68">
        <f>SUMIF(保单!R:R,E:E,保单!BE:BE)*IF(AF:AF&gt;1,1,0)</f>
        <v>0</v>
      </c>
      <c r="AK261" s="68">
        <f>SUMIFS(保单!BE:BE,保单!R:R,E:E,保单!BB:BB,"有效")*IF(AF:AF&gt;1,1,0)</f>
        <v>0</v>
      </c>
      <c r="AL261" s="72" t="str">
        <f>A:A&amp;D:D&amp;G:G&amp;"只要在1-10日承保全部保单，即可获得"&amp;$AJ$1&amp;AJ:AJ&amp;"个"</f>
        <v>谢家集张彩云伙伴只要在1-10日承保全部保单，即可获得冲锋队按摩仪0个</v>
      </c>
    </row>
    <row r="262" spans="1:38">
      <c r="A262" s="64" t="s">
        <v>48</v>
      </c>
      <c r="B262" s="64" t="s">
        <v>49</v>
      </c>
      <c r="C262" s="64" t="s">
        <v>82</v>
      </c>
      <c r="D262" s="64" t="s">
        <v>219</v>
      </c>
      <c r="E262" s="64">
        <v>5159113652</v>
      </c>
      <c r="F262" s="64" t="s">
        <v>165</v>
      </c>
      <c r="G262" s="64" t="str">
        <f>IF(OR(F:F="高级经理一级",F:F="业务经理一级"),"主管","伙伴")</f>
        <v>主管</v>
      </c>
      <c r="H262" s="65">
        <f>SUMIF(险种!E:E,E:E,险种!R:R)-SUMIFS(险种!R:R,险种!U:U,"终止",险种!E:E,E:E)</f>
        <v>0</v>
      </c>
      <c r="I262" s="65">
        <f>SUMIFS(险种!R:R,险种!U:U,"有效",险种!E:E,E:E)</f>
        <v>0</v>
      </c>
      <c r="J262" s="65">
        <f>ROUND(SUMIF(险种!E:E,E:E,险种!Q:Q)-SUMIFS(险种!Q:Q,险种!U:U,"终止",险种!E:E,E:E),1)</f>
        <v>0</v>
      </c>
      <c r="K262" s="68">
        <f>RANK(J262,J:J)</f>
        <v>22</v>
      </c>
      <c r="L262" s="65">
        <f>ROUND(SUMIFS(险种!Q:Q,险种!U:U,"有效",险种!E:E,E:E),1)</f>
        <v>0</v>
      </c>
      <c r="M262" s="68">
        <f>RANK(L262,L:L,)</f>
        <v>14</v>
      </c>
      <c r="N262" s="68">
        <f>SUMIF(险种!E:E,E:E,险种!W:W)</f>
        <v>0</v>
      </c>
      <c r="O262" s="68">
        <f>IF(N:N&gt;=1,1,0)</f>
        <v>0</v>
      </c>
      <c r="P262" s="65">
        <f>ROUND(SUMIFS(险种!Q:Q,险种!V:V,$P$1,险种!E:E,E:E),1)</f>
        <v>0</v>
      </c>
      <c r="Q262" s="68">
        <f>RANK(P262,$P:$P,0)-1</f>
        <v>5</v>
      </c>
      <c r="R262" s="68" t="str">
        <f>A:A&amp;D:D&amp;G:G&amp;"在"&amp;$P$1&amp;"预收"&amp;P:P&amp;"排名中支第"&amp;Q:Q&amp;"位"</f>
        <v>谢家集陆彬主管在20210509预收0排名中支第5位</v>
      </c>
      <c r="S262" s="65">
        <f>ROUND(SUMIFS(险种!Q:Q,险种!E:E,E:E,险种!V:V,"&lt;=20210506")-SUMIFS(险种!Q:Q,险种!U:U,"终止",险种!E:E,E:E,险种!V:V,"&lt;=20210506"),1)</f>
        <v>0</v>
      </c>
      <c r="T262" s="65">
        <f>ROUND(SUMIFS(险种!Q:Q,险种!U:U,"有效",险种!E:E,E:E,险种!V:V,"&lt;=20210506"),1)</f>
        <v>0</v>
      </c>
      <c r="U262" s="65">
        <f>ROUND(SUMIFS(险种!Q:Q,险种!E:E,E:E,险种!V:V,"&lt;=20210510")-SUMIFS(险种!Q:Q,险种!U:U,"终止",险种!E:E,E:E,险种!V:V,"&lt;=20210510"),1)</f>
        <v>0</v>
      </c>
      <c r="V262" s="65">
        <f>ROUND(SUMIFS(险种!Q:Q,险种!U:U,"有效",险种!E:E,E:E,险种!V:V,"&lt;=20210510"),1)</f>
        <v>0</v>
      </c>
      <c r="W262" s="65">
        <f t="shared" si="4"/>
        <v>0</v>
      </c>
      <c r="X262" s="68">
        <f>SUMIF(险种!E:E,E:E,险种!Y:Y)</f>
        <v>0</v>
      </c>
      <c r="Y262" s="65">
        <f>MAX(_xlfn.IFS(OR(X:X=1,X:X=2),J:J*0.1,X:X&gt;=3,J:J*0.2,X:X=0,0),IF(J:J&gt;=20000,J:J*0.2,0))</f>
        <v>0</v>
      </c>
      <c r="Z262" s="65" t="str">
        <f>A262&amp;D262&amp;G262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谢家集陆彬主管5.1-5.10预收价值保费0，首周预收3000P件数0件，预收拟加佣0元。温馨提示，保单需10日（含）前承保，目前还有0价值保费未承保,开单一件即可获得10%加佣</v>
      </c>
      <c r="AA262" s="68">
        <f>SUMIF(险种!E:E,E:E,险种!Z:Z)</f>
        <v>0</v>
      </c>
      <c r="AB262" s="65"/>
      <c r="AC262" s="68">
        <f>SUMIF(险种!E:E,E:E,险种!AA:AA)</f>
        <v>0</v>
      </c>
      <c r="AD262" s="68">
        <f>SUMIFS(险种!AA:AA,险种!U:U,"有效",险种!E:E,E:E)</f>
        <v>0</v>
      </c>
      <c r="AE262" s="68" t="str">
        <f>A262&amp;D262&amp;G262&amp;"目前获得"&amp;$AC$1&amp;AC:AC&amp;"名，获得"&amp;$AD$1&amp;AD:AD&amp;"名"</f>
        <v>谢家集陆彬主管目前获得龙虾节预收名额0名，获得龙虾节承保名额0名</v>
      </c>
      <c r="AF262" s="68">
        <f>SUMIF(认购返还案!D:D,E:E,认购返还案!E:E)</f>
        <v>400</v>
      </c>
      <c r="AG262" s="68">
        <f>_xlfn.IFS(AND(U:U&gt;=3000,U:U&lt;5000),AF:AF*0.5,U:U&gt;=5000,AF:AF*1,U:U&lt;3000,0)</f>
        <v>0</v>
      </c>
      <c r="AH262" s="68">
        <f>_xlfn.IFS(AND(V:V&gt;=3000,V:V&lt;5000),AF:AF*0.5,V:V&gt;=5000,AF:AF*1,V:V&lt;3000,0)</f>
        <v>0</v>
      </c>
      <c r="AI262" s="68" t="str">
        <f>A:A&amp;D:D&amp;G:G&amp;$AF$1&amp;AF:AF&amp;"元，目前预收价值"&amp;U:U&amp;"，"&amp;$AG$1&amp;AG:AG&amp;"元，"&amp;$AH$1&amp;AH:AH&amp;"元"</f>
        <v>谢家集陆彬主管冲锋队缴费金额400元，目前预收价值0，预收拟返还0元，承保拟返还0元</v>
      </c>
      <c r="AJ262" s="68">
        <f>SUMIF(保单!R:R,E:E,保单!BE:BE)*IF(AF:AF&gt;1,1,0)</f>
        <v>0</v>
      </c>
      <c r="AK262" s="68">
        <f>SUMIFS(保单!BE:BE,保单!R:R,E:E,保单!BB:BB,"有效")*IF(AF:AF&gt;1,1,0)</f>
        <v>0</v>
      </c>
      <c r="AL262" s="72" t="str">
        <f>A:A&amp;D:D&amp;G:G&amp;"只要在1-10日承保全部保单，即可获得"&amp;$AJ$1&amp;AJ:AJ&amp;"个"</f>
        <v>谢家集陆彬主管只要在1-10日承保全部保单，即可获得冲锋队按摩仪0个</v>
      </c>
    </row>
    <row r="263" spans="1:38">
      <c r="A263" s="64" t="s">
        <v>27</v>
      </c>
      <c r="B263" s="64" t="s">
        <v>94</v>
      </c>
      <c r="C263" s="64" t="s">
        <v>95</v>
      </c>
      <c r="D263" s="64" t="s">
        <v>495</v>
      </c>
      <c r="E263" s="64">
        <v>5154900972</v>
      </c>
      <c r="F263" s="64" t="s">
        <v>174</v>
      </c>
      <c r="G263" s="64" t="str">
        <f>IF(OR(F:F="高级经理一级",F:F="业务经理一级"),"主管","伙伴")</f>
        <v>伙伴</v>
      </c>
      <c r="H263" s="65">
        <f>SUMIF(险种!E:E,E:E,险种!R:R)-SUMIFS(险种!R:R,险种!U:U,"终止",险种!E:E,E:E)</f>
        <v>0</v>
      </c>
      <c r="I263" s="65">
        <f>SUMIFS(险种!R:R,险种!U:U,"有效",险种!E:E,E:E)</f>
        <v>0</v>
      </c>
      <c r="J263" s="65">
        <f>ROUND(SUMIF(险种!E:E,E:E,险种!Q:Q)-SUMIFS(险种!Q:Q,险种!U:U,"终止",险种!E:E,E:E),1)</f>
        <v>0</v>
      </c>
      <c r="K263" s="68">
        <f>RANK(J263,J:J)</f>
        <v>22</v>
      </c>
      <c r="L263" s="65">
        <f>ROUND(SUMIFS(险种!Q:Q,险种!U:U,"有效",险种!E:E,E:E),1)</f>
        <v>0</v>
      </c>
      <c r="M263" s="68">
        <f>RANK(L263,L:L,)</f>
        <v>14</v>
      </c>
      <c r="N263" s="68">
        <f>SUMIF(险种!E:E,E:E,险种!W:W)</f>
        <v>0</v>
      </c>
      <c r="O263" s="68">
        <f>IF(N:N&gt;=1,1,0)</f>
        <v>0</v>
      </c>
      <c r="P263" s="65">
        <f>ROUND(SUMIFS(险种!Q:Q,险种!V:V,$P$1,险种!E:E,E:E),1)</f>
        <v>0</v>
      </c>
      <c r="Q263" s="68">
        <f>RANK(P263,$P:$P,0)-1</f>
        <v>5</v>
      </c>
      <c r="R263" s="68" t="str">
        <f>A:A&amp;D:D&amp;G:G&amp;"在"&amp;$P$1&amp;"预收"&amp;P:P&amp;"排名中支第"&amp;Q:Q&amp;"位"</f>
        <v>凤台叶燕燕伙伴在20210509预收0排名中支第5位</v>
      </c>
      <c r="S263" s="65">
        <f>ROUND(SUMIFS(险种!Q:Q,险种!E:E,E:E,险种!V:V,"&lt;=20210506")-SUMIFS(险种!Q:Q,险种!U:U,"终止",险种!E:E,E:E,险种!V:V,"&lt;=20210506"),1)</f>
        <v>0</v>
      </c>
      <c r="T263" s="65">
        <f>ROUND(SUMIFS(险种!Q:Q,险种!U:U,"有效",险种!E:E,E:E,险种!V:V,"&lt;=20210506"),1)</f>
        <v>0</v>
      </c>
      <c r="U263" s="65">
        <f>ROUND(SUMIFS(险种!Q:Q,险种!E:E,E:E,险种!V:V,"&lt;=20210510")-SUMIFS(险种!Q:Q,险种!U:U,"终止",险种!E:E,E:E,险种!V:V,"&lt;=20210510"),1)</f>
        <v>0</v>
      </c>
      <c r="V263" s="65">
        <f>ROUND(SUMIFS(险种!Q:Q,险种!U:U,"有效",险种!E:E,E:E,险种!V:V,"&lt;=20210510"),1)</f>
        <v>0</v>
      </c>
      <c r="W263" s="65">
        <f t="shared" si="4"/>
        <v>0</v>
      </c>
      <c r="X263" s="68">
        <f>SUMIF(险种!E:E,E:E,险种!Y:Y)</f>
        <v>0</v>
      </c>
      <c r="Y263" s="65">
        <f>MAX(_xlfn.IFS(OR(X:X=1,X:X=2),J:J*0.1,X:X&gt;=3,J:J*0.2,X:X=0,0),IF(J:J&gt;=20000,J:J*0.2,0))</f>
        <v>0</v>
      </c>
      <c r="Z263" s="65" t="str">
        <f>A263&amp;D263&amp;G263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凤台叶燕燕伙伴5.1-5.10预收价值保费0，首周预收3000P件数0件，预收拟加佣0元。温馨提示，保单需10日（含）前承保，目前还有0价值保费未承保,开单一件即可获得10%加佣</v>
      </c>
      <c r="AA263" s="68">
        <f>SUMIF(险种!E:E,E:E,险种!Z:Z)</f>
        <v>0</v>
      </c>
      <c r="AB263" s="65"/>
      <c r="AC263" s="68">
        <f>SUMIF(险种!E:E,E:E,险种!AA:AA)</f>
        <v>0</v>
      </c>
      <c r="AD263" s="68">
        <f>SUMIFS(险种!AA:AA,险种!U:U,"有效",险种!E:E,E:E)</f>
        <v>0</v>
      </c>
      <c r="AE263" s="68" t="str">
        <f>A263&amp;D263&amp;G263&amp;"目前获得"&amp;$AC$1&amp;AC:AC&amp;"名，获得"&amp;$AD$1&amp;AD:AD&amp;"名"</f>
        <v>凤台叶燕燕伙伴目前获得龙虾节预收名额0名，获得龙虾节承保名额0名</v>
      </c>
      <c r="AF263" s="68">
        <f>SUMIF(认购返还案!D:D,E:E,认购返还案!E:E)</f>
        <v>0</v>
      </c>
      <c r="AG263" s="68">
        <f>_xlfn.IFS(AND(U:U&gt;=3000,U:U&lt;5000),AF:AF*0.5,U:U&gt;=5000,AF:AF*1,U:U&lt;3000,0)</f>
        <v>0</v>
      </c>
      <c r="AH263" s="68">
        <f>_xlfn.IFS(AND(V:V&gt;=3000,V:V&lt;5000),AF:AF*0.5,V:V&gt;=5000,AF:AF*1,V:V&lt;3000,0)</f>
        <v>0</v>
      </c>
      <c r="AI263" s="68" t="str">
        <f>A:A&amp;D:D&amp;G:G&amp;$AF$1&amp;AF:AF&amp;"元，目前预收价值"&amp;U:U&amp;"，"&amp;$AG$1&amp;AG:AG&amp;"元，"&amp;$AH$1&amp;AH:AH&amp;"元"</f>
        <v>凤台叶燕燕伙伴冲锋队缴费金额0元，目前预收价值0，预收拟返还0元，承保拟返还0元</v>
      </c>
      <c r="AJ263" s="68">
        <f>SUMIF(保单!R:R,E:E,保单!BE:BE)*IF(AF:AF&gt;1,1,0)</f>
        <v>0</v>
      </c>
      <c r="AK263" s="68">
        <f>SUMIFS(保单!BE:BE,保单!R:R,E:E,保单!BB:BB,"有效")*IF(AF:AF&gt;1,1,0)</f>
        <v>0</v>
      </c>
      <c r="AL263" s="72" t="str">
        <f>A:A&amp;D:D&amp;G:G&amp;"只要在1-10日承保全部保单，即可获得"&amp;$AJ$1&amp;AJ:AJ&amp;"个"</f>
        <v>凤台叶燕燕伙伴只要在1-10日承保全部保单，即可获得冲锋队按摩仪0个</v>
      </c>
    </row>
    <row r="264" spans="1:38">
      <c r="A264" s="64" t="s">
        <v>27</v>
      </c>
      <c r="B264" s="64" t="s">
        <v>94</v>
      </c>
      <c r="C264" s="64" t="s">
        <v>95</v>
      </c>
      <c r="D264" s="64" t="s">
        <v>496</v>
      </c>
      <c r="E264" s="64">
        <v>5153091482</v>
      </c>
      <c r="F264" s="64" t="s">
        <v>174</v>
      </c>
      <c r="G264" s="64" t="str">
        <f>IF(OR(F:F="高级经理一级",F:F="业务经理一级"),"主管","伙伴")</f>
        <v>伙伴</v>
      </c>
      <c r="H264" s="65">
        <f>SUMIF(险种!E:E,E:E,险种!R:R)-SUMIFS(险种!R:R,险种!U:U,"终止",险种!E:E,E:E)</f>
        <v>0</v>
      </c>
      <c r="I264" s="65">
        <f>SUMIFS(险种!R:R,险种!U:U,"有效",险种!E:E,E:E)</f>
        <v>0</v>
      </c>
      <c r="J264" s="65">
        <f>ROUND(SUMIF(险种!E:E,E:E,险种!Q:Q)-SUMIFS(险种!Q:Q,险种!U:U,"终止",险种!E:E,E:E),1)</f>
        <v>0</v>
      </c>
      <c r="K264" s="68">
        <f>RANK(J264,J:J)</f>
        <v>22</v>
      </c>
      <c r="L264" s="65">
        <f>ROUND(SUMIFS(险种!Q:Q,险种!U:U,"有效",险种!E:E,E:E),1)</f>
        <v>0</v>
      </c>
      <c r="M264" s="68">
        <f>RANK(L264,L:L,)</f>
        <v>14</v>
      </c>
      <c r="N264" s="68">
        <f>SUMIF(险种!E:E,E:E,险种!W:W)</f>
        <v>0</v>
      </c>
      <c r="O264" s="68">
        <f>IF(N:N&gt;=1,1,0)</f>
        <v>0</v>
      </c>
      <c r="P264" s="65">
        <f>ROUND(SUMIFS(险种!Q:Q,险种!V:V,$P$1,险种!E:E,E:E),1)</f>
        <v>0</v>
      </c>
      <c r="Q264" s="68">
        <f>RANK(P264,$P:$P,0)-1</f>
        <v>5</v>
      </c>
      <c r="R264" s="68" t="str">
        <f>A:A&amp;D:D&amp;G:G&amp;"在"&amp;$P$1&amp;"预收"&amp;P:P&amp;"排名中支第"&amp;Q:Q&amp;"位"</f>
        <v>凤台梁燕群伙伴在20210509预收0排名中支第5位</v>
      </c>
      <c r="S264" s="65">
        <f>ROUND(SUMIFS(险种!Q:Q,险种!E:E,E:E,险种!V:V,"&lt;=20210506")-SUMIFS(险种!Q:Q,险种!U:U,"终止",险种!E:E,E:E,险种!V:V,"&lt;=20210506"),1)</f>
        <v>0</v>
      </c>
      <c r="T264" s="65">
        <f>ROUND(SUMIFS(险种!Q:Q,险种!U:U,"有效",险种!E:E,E:E,险种!V:V,"&lt;=20210506"),1)</f>
        <v>0</v>
      </c>
      <c r="U264" s="65">
        <f>ROUND(SUMIFS(险种!Q:Q,险种!E:E,E:E,险种!V:V,"&lt;=20210510")-SUMIFS(险种!Q:Q,险种!U:U,"终止",险种!E:E,E:E,险种!V:V,"&lt;=20210510"),1)</f>
        <v>0</v>
      </c>
      <c r="V264" s="65">
        <f>ROUND(SUMIFS(险种!Q:Q,险种!U:U,"有效",险种!E:E,E:E,险种!V:V,"&lt;=20210510"),1)</f>
        <v>0</v>
      </c>
      <c r="W264" s="65">
        <f t="shared" si="4"/>
        <v>0</v>
      </c>
      <c r="X264" s="68">
        <f>SUMIF(险种!E:E,E:E,险种!Y:Y)</f>
        <v>0</v>
      </c>
      <c r="Y264" s="65">
        <f>MAX(_xlfn.IFS(OR(X:X=1,X:X=2),J:J*0.1,X:X&gt;=3,J:J*0.2,X:X=0,0),IF(J:J&gt;=20000,J:J*0.2,0))</f>
        <v>0</v>
      </c>
      <c r="Z264" s="65" t="str">
        <f>A264&amp;D264&amp;G264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凤台梁燕群伙伴5.1-5.10预收价值保费0，首周预收3000P件数0件，预收拟加佣0元。温馨提示，保单需10日（含）前承保，目前还有0价值保费未承保,开单一件即可获得10%加佣</v>
      </c>
      <c r="AA264" s="68">
        <f>SUMIF(险种!E:E,E:E,险种!Z:Z)</f>
        <v>0</v>
      </c>
      <c r="AB264" s="65"/>
      <c r="AC264" s="68">
        <f>SUMIF(险种!E:E,E:E,险种!AA:AA)</f>
        <v>0</v>
      </c>
      <c r="AD264" s="68">
        <f>SUMIFS(险种!AA:AA,险种!U:U,"有效",险种!E:E,E:E)</f>
        <v>0</v>
      </c>
      <c r="AE264" s="68" t="str">
        <f>A264&amp;D264&amp;G264&amp;"目前获得"&amp;$AC$1&amp;AC:AC&amp;"名，获得"&amp;$AD$1&amp;AD:AD&amp;"名"</f>
        <v>凤台梁燕群伙伴目前获得龙虾节预收名额0名，获得龙虾节承保名额0名</v>
      </c>
      <c r="AF264" s="68">
        <f>SUMIF(认购返还案!D:D,E:E,认购返还案!E:E)</f>
        <v>0</v>
      </c>
      <c r="AG264" s="68">
        <f>_xlfn.IFS(AND(U:U&gt;=3000,U:U&lt;5000),AF:AF*0.5,U:U&gt;=5000,AF:AF*1,U:U&lt;3000,0)</f>
        <v>0</v>
      </c>
      <c r="AH264" s="68">
        <f>_xlfn.IFS(AND(V:V&gt;=3000,V:V&lt;5000),AF:AF*0.5,V:V&gt;=5000,AF:AF*1,V:V&lt;3000,0)</f>
        <v>0</v>
      </c>
      <c r="AI264" s="68" t="str">
        <f>A:A&amp;D:D&amp;G:G&amp;$AF$1&amp;AF:AF&amp;"元，目前预收价值"&amp;U:U&amp;"，"&amp;$AG$1&amp;AG:AG&amp;"元，"&amp;$AH$1&amp;AH:AH&amp;"元"</f>
        <v>凤台梁燕群伙伴冲锋队缴费金额0元，目前预收价值0，预收拟返还0元，承保拟返还0元</v>
      </c>
      <c r="AJ264" s="68">
        <f>SUMIF(保单!R:R,E:E,保单!BE:BE)*IF(AF:AF&gt;1,1,0)</f>
        <v>0</v>
      </c>
      <c r="AK264" s="68">
        <f>SUMIFS(保单!BE:BE,保单!R:R,E:E,保单!BB:BB,"有效")*IF(AF:AF&gt;1,1,0)</f>
        <v>0</v>
      </c>
      <c r="AL264" s="72" t="str">
        <f>A:A&amp;D:D&amp;G:G&amp;"只要在1-10日承保全部保单，即可获得"&amp;$AJ$1&amp;AJ:AJ&amp;"个"</f>
        <v>凤台梁燕群伙伴只要在1-10日承保全部保单，即可获得冲锋队按摩仪0个</v>
      </c>
    </row>
    <row r="265" spans="1:38">
      <c r="A265" s="64" t="s">
        <v>27</v>
      </c>
      <c r="B265" s="64" t="s">
        <v>94</v>
      </c>
      <c r="C265" s="64" t="s">
        <v>95</v>
      </c>
      <c r="D265" s="64" t="s">
        <v>497</v>
      </c>
      <c r="E265" s="64">
        <v>5147890662</v>
      </c>
      <c r="F265" s="64" t="s">
        <v>174</v>
      </c>
      <c r="G265" s="64" t="str">
        <f>IF(OR(F:F="高级经理一级",F:F="业务经理一级"),"主管","伙伴")</f>
        <v>伙伴</v>
      </c>
      <c r="H265" s="65">
        <f>SUMIF(险种!E:E,E:E,险种!R:R)-SUMIFS(险种!R:R,险种!U:U,"终止",险种!E:E,E:E)</f>
        <v>0</v>
      </c>
      <c r="I265" s="65">
        <f>SUMIFS(险种!R:R,险种!U:U,"有效",险种!E:E,E:E)</f>
        <v>0</v>
      </c>
      <c r="J265" s="65">
        <f>ROUND(SUMIF(险种!E:E,E:E,险种!Q:Q)-SUMIFS(险种!Q:Q,险种!U:U,"终止",险种!E:E,E:E),1)</f>
        <v>0</v>
      </c>
      <c r="K265" s="68">
        <f>RANK(J265,J:J)</f>
        <v>22</v>
      </c>
      <c r="L265" s="65">
        <f>ROUND(SUMIFS(险种!Q:Q,险种!U:U,"有效",险种!E:E,E:E),1)</f>
        <v>0</v>
      </c>
      <c r="M265" s="68">
        <f>RANK(L265,L:L,)</f>
        <v>14</v>
      </c>
      <c r="N265" s="68">
        <f>SUMIF(险种!E:E,E:E,险种!W:W)</f>
        <v>0</v>
      </c>
      <c r="O265" s="68">
        <f>IF(N:N&gt;=1,1,0)</f>
        <v>0</v>
      </c>
      <c r="P265" s="65">
        <f>ROUND(SUMIFS(险种!Q:Q,险种!V:V,$P$1,险种!E:E,E:E),1)</f>
        <v>0</v>
      </c>
      <c r="Q265" s="68">
        <f>RANK(P265,$P:$P,0)-1</f>
        <v>5</v>
      </c>
      <c r="R265" s="68" t="str">
        <f>A:A&amp;D:D&amp;G:G&amp;"在"&amp;$P$1&amp;"预收"&amp;P:P&amp;"排名中支第"&amp;Q:Q&amp;"位"</f>
        <v>凤台叶龙伙伴在20210509预收0排名中支第5位</v>
      </c>
      <c r="S265" s="65">
        <f>ROUND(SUMIFS(险种!Q:Q,险种!E:E,E:E,险种!V:V,"&lt;=20210506")-SUMIFS(险种!Q:Q,险种!U:U,"终止",险种!E:E,E:E,险种!V:V,"&lt;=20210506"),1)</f>
        <v>0</v>
      </c>
      <c r="T265" s="65">
        <f>ROUND(SUMIFS(险种!Q:Q,险种!U:U,"有效",险种!E:E,E:E,险种!V:V,"&lt;=20210506"),1)</f>
        <v>0</v>
      </c>
      <c r="U265" s="65">
        <f>ROUND(SUMIFS(险种!Q:Q,险种!E:E,E:E,险种!V:V,"&lt;=20210510")-SUMIFS(险种!Q:Q,险种!U:U,"终止",险种!E:E,E:E,险种!V:V,"&lt;=20210510"),1)</f>
        <v>0</v>
      </c>
      <c r="V265" s="65">
        <f>ROUND(SUMIFS(险种!Q:Q,险种!U:U,"有效",险种!E:E,E:E,险种!V:V,"&lt;=20210510"),1)</f>
        <v>0</v>
      </c>
      <c r="W265" s="65">
        <f t="shared" si="4"/>
        <v>0</v>
      </c>
      <c r="X265" s="68">
        <f>SUMIF(险种!E:E,E:E,险种!Y:Y)</f>
        <v>0</v>
      </c>
      <c r="Y265" s="65">
        <f>MAX(_xlfn.IFS(OR(X:X=1,X:X=2),J:J*0.1,X:X&gt;=3,J:J*0.2,X:X=0,0),IF(J:J&gt;=20000,J:J*0.2,0))</f>
        <v>0</v>
      </c>
      <c r="Z265" s="65" t="str">
        <f>A265&amp;D265&amp;G265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凤台叶龙伙伴5.1-5.10预收价值保费0，首周预收3000P件数0件，预收拟加佣0元。温馨提示，保单需10日（含）前承保，目前还有0价值保费未承保,开单一件即可获得10%加佣</v>
      </c>
      <c r="AA265" s="68">
        <f>SUMIF(险种!E:E,E:E,险种!Z:Z)</f>
        <v>0</v>
      </c>
      <c r="AB265" s="65"/>
      <c r="AC265" s="68">
        <f>SUMIF(险种!E:E,E:E,险种!AA:AA)</f>
        <v>0</v>
      </c>
      <c r="AD265" s="68">
        <f>SUMIFS(险种!AA:AA,险种!U:U,"有效",险种!E:E,E:E)</f>
        <v>0</v>
      </c>
      <c r="AE265" s="68" t="str">
        <f>A265&amp;D265&amp;G265&amp;"目前获得"&amp;$AC$1&amp;AC:AC&amp;"名，获得"&amp;$AD$1&amp;AD:AD&amp;"名"</f>
        <v>凤台叶龙伙伴目前获得龙虾节预收名额0名，获得龙虾节承保名额0名</v>
      </c>
      <c r="AF265" s="68">
        <f>SUMIF(认购返还案!D:D,E:E,认购返还案!E:E)</f>
        <v>0</v>
      </c>
      <c r="AG265" s="68">
        <f>_xlfn.IFS(AND(U:U&gt;=3000,U:U&lt;5000),AF:AF*0.5,U:U&gt;=5000,AF:AF*1,U:U&lt;3000,0)</f>
        <v>0</v>
      </c>
      <c r="AH265" s="68">
        <f>_xlfn.IFS(AND(V:V&gt;=3000,V:V&lt;5000),AF:AF*0.5,V:V&gt;=5000,AF:AF*1,V:V&lt;3000,0)</f>
        <v>0</v>
      </c>
      <c r="AI265" s="68" t="str">
        <f>A:A&amp;D:D&amp;G:G&amp;$AF$1&amp;AF:AF&amp;"元，目前预收价值"&amp;U:U&amp;"，"&amp;$AG$1&amp;AG:AG&amp;"元，"&amp;$AH$1&amp;AH:AH&amp;"元"</f>
        <v>凤台叶龙伙伴冲锋队缴费金额0元，目前预收价值0，预收拟返还0元，承保拟返还0元</v>
      </c>
      <c r="AJ265" s="68">
        <f>SUMIF(保单!R:R,E:E,保单!BE:BE)*IF(AF:AF&gt;1,1,0)</f>
        <v>0</v>
      </c>
      <c r="AK265" s="68">
        <f>SUMIFS(保单!BE:BE,保单!R:R,E:E,保单!BB:BB,"有效")*IF(AF:AF&gt;1,1,0)</f>
        <v>0</v>
      </c>
      <c r="AL265" s="72" t="str">
        <f>A:A&amp;D:D&amp;G:G&amp;"只要在1-10日承保全部保单，即可获得"&amp;$AJ$1&amp;AJ:AJ&amp;"个"</f>
        <v>凤台叶龙伙伴只要在1-10日承保全部保单，即可获得冲锋队按摩仪0个</v>
      </c>
    </row>
    <row r="266" spans="1:38">
      <c r="A266" s="64" t="s">
        <v>42</v>
      </c>
      <c r="B266" s="64" t="s">
        <v>66</v>
      </c>
      <c r="C266" s="64" t="s">
        <v>343</v>
      </c>
      <c r="D266" s="64" t="s">
        <v>498</v>
      </c>
      <c r="E266" s="64">
        <v>5118165112</v>
      </c>
      <c r="F266" s="64" t="s">
        <v>174</v>
      </c>
      <c r="G266" s="64" t="str">
        <f>IF(OR(F:F="高级经理一级",F:F="业务经理一级"),"主管","伙伴")</f>
        <v>伙伴</v>
      </c>
      <c r="H266" s="65">
        <f>SUMIF(险种!E:E,E:E,险种!R:R)-SUMIFS(险种!R:R,险种!U:U,"终止",险种!E:E,E:E)</f>
        <v>0</v>
      </c>
      <c r="I266" s="65">
        <f>SUMIFS(险种!R:R,险种!U:U,"有效",险种!E:E,E:E)</f>
        <v>0</v>
      </c>
      <c r="J266" s="65">
        <f>ROUND(SUMIF(险种!E:E,E:E,险种!Q:Q)-SUMIFS(险种!Q:Q,险种!U:U,"终止",险种!E:E,E:E),1)</f>
        <v>0</v>
      </c>
      <c r="K266" s="68">
        <f>RANK(J266,J:J)</f>
        <v>22</v>
      </c>
      <c r="L266" s="65">
        <f>ROUND(SUMIFS(险种!Q:Q,险种!U:U,"有效",险种!E:E,E:E),1)</f>
        <v>0</v>
      </c>
      <c r="M266" s="68">
        <f>RANK(L266,L:L,)</f>
        <v>14</v>
      </c>
      <c r="N266" s="68">
        <f>SUMIF(险种!E:E,E:E,险种!W:W)</f>
        <v>0</v>
      </c>
      <c r="O266" s="68">
        <f>IF(N:N&gt;=1,1,0)</f>
        <v>0</v>
      </c>
      <c r="P266" s="65">
        <f>ROUND(SUMIFS(险种!Q:Q,险种!V:V,$P$1,险种!E:E,E:E),1)</f>
        <v>0</v>
      </c>
      <c r="Q266" s="68">
        <f>RANK(P266,$P:$P,0)-1</f>
        <v>5</v>
      </c>
      <c r="R266" s="68" t="str">
        <f>A:A&amp;D:D&amp;G:G&amp;"在"&amp;$P$1&amp;"预收"&amp;P:P&amp;"排名中支第"&amp;Q:Q&amp;"位"</f>
        <v>淮南本部柏楠伙伴在20210509预收0排名中支第5位</v>
      </c>
      <c r="S266" s="65">
        <f>ROUND(SUMIFS(险种!Q:Q,险种!E:E,E:E,险种!V:V,"&lt;=20210506")-SUMIFS(险种!Q:Q,险种!U:U,"终止",险种!E:E,E:E,险种!V:V,"&lt;=20210506"),1)</f>
        <v>0</v>
      </c>
      <c r="T266" s="65">
        <f>ROUND(SUMIFS(险种!Q:Q,险种!U:U,"有效",险种!E:E,E:E,险种!V:V,"&lt;=20210506"),1)</f>
        <v>0</v>
      </c>
      <c r="U266" s="65">
        <f>ROUND(SUMIFS(险种!Q:Q,险种!E:E,E:E,险种!V:V,"&lt;=20210510")-SUMIFS(险种!Q:Q,险种!U:U,"终止",险种!E:E,E:E,险种!V:V,"&lt;=20210510"),1)</f>
        <v>0</v>
      </c>
      <c r="V266" s="65">
        <f>ROUND(SUMIFS(险种!Q:Q,险种!U:U,"有效",险种!E:E,E:E,险种!V:V,"&lt;=20210510"),1)</f>
        <v>0</v>
      </c>
      <c r="W266" s="65">
        <f t="shared" si="4"/>
        <v>0</v>
      </c>
      <c r="X266" s="68">
        <f>SUMIF(险种!E:E,E:E,险种!Y:Y)</f>
        <v>0</v>
      </c>
      <c r="Y266" s="65">
        <f>MAX(_xlfn.IFS(OR(X:X=1,X:X=2),J:J*0.1,X:X&gt;=3,J:J*0.2,X:X=0,0),IF(J:J&gt;=20000,J:J*0.2,0))</f>
        <v>0</v>
      </c>
      <c r="Z266" s="65" t="str">
        <f>A266&amp;D266&amp;G266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淮南本部柏楠伙伴5.1-5.10预收价值保费0，首周预收3000P件数0件，预收拟加佣0元。温馨提示，保单需10日（含）前承保，目前还有0价值保费未承保,开单一件即可获得10%加佣</v>
      </c>
      <c r="AA266" s="68">
        <f>SUMIF(险种!E:E,E:E,险种!Z:Z)</f>
        <v>0</v>
      </c>
      <c r="AB266" s="65"/>
      <c r="AC266" s="68">
        <f>SUMIF(险种!E:E,E:E,险种!AA:AA)</f>
        <v>0</v>
      </c>
      <c r="AD266" s="68">
        <f>SUMIFS(险种!AA:AA,险种!U:U,"有效",险种!E:E,E:E)</f>
        <v>0</v>
      </c>
      <c r="AE266" s="68" t="str">
        <f>A266&amp;D266&amp;G266&amp;"目前获得"&amp;$AC$1&amp;AC:AC&amp;"名，获得"&amp;$AD$1&amp;AD:AD&amp;"名"</f>
        <v>淮南本部柏楠伙伴目前获得龙虾节预收名额0名，获得龙虾节承保名额0名</v>
      </c>
      <c r="AF266" s="68">
        <f>SUMIF(认购返还案!D:D,E:E,认购返还案!E:E)</f>
        <v>0</v>
      </c>
      <c r="AG266" s="68">
        <f>_xlfn.IFS(AND(U:U&gt;=3000,U:U&lt;5000),AF:AF*0.5,U:U&gt;=5000,AF:AF*1,U:U&lt;3000,0)</f>
        <v>0</v>
      </c>
      <c r="AH266" s="68">
        <f>_xlfn.IFS(AND(V:V&gt;=3000,V:V&lt;5000),AF:AF*0.5,V:V&gt;=5000,AF:AF*1,V:V&lt;3000,0)</f>
        <v>0</v>
      </c>
      <c r="AI266" s="68" t="str">
        <f>A:A&amp;D:D&amp;G:G&amp;$AF$1&amp;AF:AF&amp;"元，目前预收价值"&amp;U:U&amp;"，"&amp;$AG$1&amp;AG:AG&amp;"元，"&amp;$AH$1&amp;AH:AH&amp;"元"</f>
        <v>淮南本部柏楠伙伴冲锋队缴费金额0元，目前预收价值0，预收拟返还0元，承保拟返还0元</v>
      </c>
      <c r="AJ266" s="68">
        <f>SUMIF(保单!R:R,E:E,保单!BE:BE)*IF(AF:AF&gt;1,1,0)</f>
        <v>0</v>
      </c>
      <c r="AK266" s="68">
        <f>SUMIFS(保单!BE:BE,保单!R:R,E:E,保单!BB:BB,"有效")*IF(AF:AF&gt;1,1,0)</f>
        <v>0</v>
      </c>
      <c r="AL266" s="72" t="str">
        <f>A:A&amp;D:D&amp;G:G&amp;"只要在1-10日承保全部保单，即可获得"&amp;$AJ$1&amp;AJ:AJ&amp;"个"</f>
        <v>淮南本部柏楠伙伴只要在1-10日承保全部保单，即可获得冲锋队按摩仪0个</v>
      </c>
    </row>
    <row r="267" spans="1:38">
      <c r="A267" s="64" t="s">
        <v>42</v>
      </c>
      <c r="B267" s="64" t="s">
        <v>66</v>
      </c>
      <c r="C267" s="64" t="s">
        <v>343</v>
      </c>
      <c r="D267" s="64" t="s">
        <v>499</v>
      </c>
      <c r="E267" s="64">
        <v>5118158812</v>
      </c>
      <c r="F267" s="64" t="s">
        <v>174</v>
      </c>
      <c r="G267" s="64" t="str">
        <f>IF(OR(F:F="高级经理一级",F:F="业务经理一级"),"主管","伙伴")</f>
        <v>伙伴</v>
      </c>
      <c r="H267" s="65">
        <f>SUMIF(险种!E:E,E:E,险种!R:R)-SUMIFS(险种!R:R,险种!U:U,"终止",险种!E:E,E:E)</f>
        <v>0</v>
      </c>
      <c r="I267" s="65">
        <f>SUMIFS(险种!R:R,险种!U:U,"有效",险种!E:E,E:E)</f>
        <v>0</v>
      </c>
      <c r="J267" s="65">
        <f>ROUND(SUMIF(险种!E:E,E:E,险种!Q:Q)-SUMIFS(险种!Q:Q,险种!U:U,"终止",险种!E:E,E:E),1)</f>
        <v>0</v>
      </c>
      <c r="K267" s="68">
        <f>RANK(J267,J:J)</f>
        <v>22</v>
      </c>
      <c r="L267" s="65">
        <f>ROUND(SUMIFS(险种!Q:Q,险种!U:U,"有效",险种!E:E,E:E),1)</f>
        <v>0</v>
      </c>
      <c r="M267" s="68">
        <f>RANK(L267,L:L,)</f>
        <v>14</v>
      </c>
      <c r="N267" s="68">
        <f>SUMIF(险种!E:E,E:E,险种!W:W)</f>
        <v>0</v>
      </c>
      <c r="O267" s="68">
        <f>IF(N:N&gt;=1,1,0)</f>
        <v>0</v>
      </c>
      <c r="P267" s="65">
        <f>ROUND(SUMIFS(险种!Q:Q,险种!V:V,$P$1,险种!E:E,E:E),1)</f>
        <v>0</v>
      </c>
      <c r="Q267" s="68">
        <f>RANK(P267,$P:$P,0)-1</f>
        <v>5</v>
      </c>
      <c r="R267" s="68" t="str">
        <f>A:A&amp;D:D&amp;G:G&amp;"在"&amp;$P$1&amp;"预收"&amp;P:P&amp;"排名中支第"&amp;Q:Q&amp;"位"</f>
        <v>淮南本部况红梅伙伴在20210509预收0排名中支第5位</v>
      </c>
      <c r="S267" s="65">
        <f>ROUND(SUMIFS(险种!Q:Q,险种!E:E,E:E,险种!V:V,"&lt;=20210506")-SUMIFS(险种!Q:Q,险种!U:U,"终止",险种!E:E,E:E,险种!V:V,"&lt;=20210506"),1)</f>
        <v>0</v>
      </c>
      <c r="T267" s="65">
        <f>ROUND(SUMIFS(险种!Q:Q,险种!U:U,"有效",险种!E:E,E:E,险种!V:V,"&lt;=20210506"),1)</f>
        <v>0</v>
      </c>
      <c r="U267" s="65">
        <f>ROUND(SUMIFS(险种!Q:Q,险种!E:E,E:E,险种!V:V,"&lt;=20210510")-SUMIFS(险种!Q:Q,险种!U:U,"终止",险种!E:E,E:E,险种!V:V,"&lt;=20210510"),1)</f>
        <v>0</v>
      </c>
      <c r="V267" s="65">
        <f>ROUND(SUMIFS(险种!Q:Q,险种!U:U,"有效",险种!E:E,E:E,险种!V:V,"&lt;=20210510"),1)</f>
        <v>0</v>
      </c>
      <c r="W267" s="65">
        <f t="shared" si="4"/>
        <v>0</v>
      </c>
      <c r="X267" s="68">
        <f>SUMIF(险种!E:E,E:E,险种!Y:Y)</f>
        <v>0</v>
      </c>
      <c r="Y267" s="65">
        <f>MAX(_xlfn.IFS(OR(X:X=1,X:X=2),J:J*0.1,X:X&gt;=3,J:J*0.2,X:X=0,0),IF(J:J&gt;=20000,J:J*0.2,0))</f>
        <v>0</v>
      </c>
      <c r="Z267" s="65" t="str">
        <f>A267&amp;D267&amp;G267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淮南本部况红梅伙伴5.1-5.10预收价值保费0，首周预收3000P件数0件，预收拟加佣0元。温馨提示，保单需10日（含）前承保，目前还有0价值保费未承保,开单一件即可获得10%加佣</v>
      </c>
      <c r="AA267" s="68">
        <f>SUMIF(险种!E:E,E:E,险种!Z:Z)</f>
        <v>0</v>
      </c>
      <c r="AB267" s="65"/>
      <c r="AC267" s="68">
        <f>SUMIF(险种!E:E,E:E,险种!AA:AA)</f>
        <v>0</v>
      </c>
      <c r="AD267" s="68">
        <f>SUMIFS(险种!AA:AA,险种!U:U,"有效",险种!E:E,E:E)</f>
        <v>0</v>
      </c>
      <c r="AE267" s="68" t="str">
        <f>A267&amp;D267&amp;G267&amp;"目前获得"&amp;$AC$1&amp;AC:AC&amp;"名，获得"&amp;$AD$1&amp;AD:AD&amp;"名"</f>
        <v>淮南本部况红梅伙伴目前获得龙虾节预收名额0名，获得龙虾节承保名额0名</v>
      </c>
      <c r="AF267" s="68">
        <f>SUMIF(认购返还案!D:D,E:E,认购返还案!E:E)</f>
        <v>0</v>
      </c>
      <c r="AG267" s="68">
        <f>_xlfn.IFS(AND(U:U&gt;=3000,U:U&lt;5000),AF:AF*0.5,U:U&gt;=5000,AF:AF*1,U:U&lt;3000,0)</f>
        <v>0</v>
      </c>
      <c r="AH267" s="68">
        <f>_xlfn.IFS(AND(V:V&gt;=3000,V:V&lt;5000),AF:AF*0.5,V:V&gt;=5000,AF:AF*1,V:V&lt;3000,0)</f>
        <v>0</v>
      </c>
      <c r="AI267" s="68" t="str">
        <f>A:A&amp;D:D&amp;G:G&amp;$AF$1&amp;AF:AF&amp;"元，目前预收价值"&amp;U:U&amp;"，"&amp;$AG$1&amp;AG:AG&amp;"元，"&amp;$AH$1&amp;AH:AH&amp;"元"</f>
        <v>淮南本部况红梅伙伴冲锋队缴费金额0元，目前预收价值0，预收拟返还0元，承保拟返还0元</v>
      </c>
      <c r="AJ267" s="68">
        <f>SUMIF(保单!R:R,E:E,保单!BE:BE)*IF(AF:AF&gt;1,1,0)</f>
        <v>0</v>
      </c>
      <c r="AK267" s="68">
        <f>SUMIFS(保单!BE:BE,保单!R:R,E:E,保单!BB:BB,"有效")*IF(AF:AF&gt;1,1,0)</f>
        <v>0</v>
      </c>
      <c r="AL267" s="72" t="str">
        <f>A:A&amp;D:D&amp;G:G&amp;"只要在1-10日承保全部保单，即可获得"&amp;$AJ$1&amp;AJ:AJ&amp;"个"</f>
        <v>淮南本部况红梅伙伴只要在1-10日承保全部保单，即可获得冲锋队按摩仪0个</v>
      </c>
    </row>
    <row r="268" spans="1:38">
      <c r="A268" s="64" t="s">
        <v>27</v>
      </c>
      <c r="B268" s="64" t="s">
        <v>94</v>
      </c>
      <c r="C268" s="64" t="s">
        <v>95</v>
      </c>
      <c r="D268" s="64" t="s">
        <v>500</v>
      </c>
      <c r="E268" s="64">
        <v>5060890732</v>
      </c>
      <c r="F268" s="64" t="s">
        <v>174</v>
      </c>
      <c r="G268" s="64" t="str">
        <f>IF(OR(F:F="高级经理一级",F:F="业务经理一级"),"主管","伙伴")</f>
        <v>伙伴</v>
      </c>
      <c r="H268" s="65">
        <f>SUMIF(险种!E:E,E:E,险种!R:R)-SUMIFS(险种!R:R,险种!U:U,"终止",险种!E:E,E:E)</f>
        <v>0</v>
      </c>
      <c r="I268" s="65">
        <f>SUMIFS(险种!R:R,险种!U:U,"有效",险种!E:E,E:E)</f>
        <v>0</v>
      </c>
      <c r="J268" s="65">
        <f>ROUND(SUMIF(险种!E:E,E:E,险种!Q:Q)-SUMIFS(险种!Q:Q,险种!U:U,"终止",险种!E:E,E:E),1)</f>
        <v>0</v>
      </c>
      <c r="K268" s="68">
        <f>RANK(J268,J:J)</f>
        <v>22</v>
      </c>
      <c r="L268" s="65">
        <f>ROUND(SUMIFS(险种!Q:Q,险种!U:U,"有效",险种!E:E,E:E),1)</f>
        <v>0</v>
      </c>
      <c r="M268" s="68">
        <f>RANK(L268,L:L,)</f>
        <v>14</v>
      </c>
      <c r="N268" s="68">
        <f>SUMIF(险种!E:E,E:E,险种!W:W)</f>
        <v>0</v>
      </c>
      <c r="O268" s="68">
        <f>IF(N:N&gt;=1,1,0)</f>
        <v>0</v>
      </c>
      <c r="P268" s="65">
        <f>ROUND(SUMIFS(险种!Q:Q,险种!V:V,$P$1,险种!E:E,E:E),1)</f>
        <v>0</v>
      </c>
      <c r="Q268" s="68">
        <f>RANK(P268,$P:$P,0)-1</f>
        <v>5</v>
      </c>
      <c r="R268" s="68" t="str">
        <f>A:A&amp;D:D&amp;G:G&amp;"在"&amp;$P$1&amp;"预收"&amp;P:P&amp;"排名中支第"&amp;Q:Q&amp;"位"</f>
        <v>凤台唐晓燕伙伴在20210509预收0排名中支第5位</v>
      </c>
      <c r="S268" s="65">
        <f>ROUND(SUMIFS(险种!Q:Q,险种!E:E,E:E,险种!V:V,"&lt;=20210506")-SUMIFS(险种!Q:Q,险种!U:U,"终止",险种!E:E,E:E,险种!V:V,"&lt;=20210506"),1)</f>
        <v>0</v>
      </c>
      <c r="T268" s="65">
        <f>ROUND(SUMIFS(险种!Q:Q,险种!U:U,"有效",险种!E:E,E:E,险种!V:V,"&lt;=20210506"),1)</f>
        <v>0</v>
      </c>
      <c r="U268" s="65">
        <f>ROUND(SUMIFS(险种!Q:Q,险种!E:E,E:E,险种!V:V,"&lt;=20210510")-SUMIFS(险种!Q:Q,险种!U:U,"终止",险种!E:E,E:E,险种!V:V,"&lt;=20210510"),1)</f>
        <v>0</v>
      </c>
      <c r="V268" s="65">
        <f>ROUND(SUMIFS(险种!Q:Q,险种!U:U,"有效",险种!E:E,E:E,险种!V:V,"&lt;=20210510"),1)</f>
        <v>0</v>
      </c>
      <c r="W268" s="65">
        <f t="shared" si="4"/>
        <v>0</v>
      </c>
      <c r="X268" s="68">
        <f>SUMIF(险种!E:E,E:E,险种!Y:Y)</f>
        <v>0</v>
      </c>
      <c r="Y268" s="65">
        <f>MAX(_xlfn.IFS(OR(X:X=1,X:X=2),J:J*0.1,X:X&gt;=3,J:J*0.2,X:X=0,0),IF(J:J&gt;=20000,J:J*0.2,0))</f>
        <v>0</v>
      </c>
      <c r="Z268" s="65" t="str">
        <f>A268&amp;D268&amp;G268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凤台唐晓燕伙伴5.1-5.10预收价值保费0，首周预收3000P件数0件，预收拟加佣0元。温馨提示，保单需10日（含）前承保，目前还有0价值保费未承保,开单一件即可获得10%加佣</v>
      </c>
      <c r="AA268" s="68">
        <f>SUMIF(险种!E:E,E:E,险种!Z:Z)</f>
        <v>0</v>
      </c>
      <c r="AB268" s="65"/>
      <c r="AC268" s="68">
        <f>SUMIF(险种!E:E,E:E,险种!AA:AA)</f>
        <v>0</v>
      </c>
      <c r="AD268" s="68">
        <f>SUMIFS(险种!AA:AA,险种!U:U,"有效",险种!E:E,E:E)</f>
        <v>0</v>
      </c>
      <c r="AE268" s="68" t="str">
        <f>A268&amp;D268&amp;G268&amp;"目前获得"&amp;$AC$1&amp;AC:AC&amp;"名，获得"&amp;$AD$1&amp;AD:AD&amp;"名"</f>
        <v>凤台唐晓燕伙伴目前获得龙虾节预收名额0名，获得龙虾节承保名额0名</v>
      </c>
      <c r="AF268" s="68">
        <f>SUMIF(认购返还案!D:D,E:E,认购返还案!E:E)</f>
        <v>0</v>
      </c>
      <c r="AG268" s="68">
        <f>_xlfn.IFS(AND(U:U&gt;=3000,U:U&lt;5000),AF:AF*0.5,U:U&gt;=5000,AF:AF*1,U:U&lt;3000,0)</f>
        <v>0</v>
      </c>
      <c r="AH268" s="68">
        <f>_xlfn.IFS(AND(V:V&gt;=3000,V:V&lt;5000),AF:AF*0.5,V:V&gt;=5000,AF:AF*1,V:V&lt;3000,0)</f>
        <v>0</v>
      </c>
      <c r="AI268" s="68" t="str">
        <f>A:A&amp;D:D&amp;G:G&amp;$AF$1&amp;AF:AF&amp;"元，目前预收价值"&amp;U:U&amp;"，"&amp;$AG$1&amp;AG:AG&amp;"元，"&amp;$AH$1&amp;AH:AH&amp;"元"</f>
        <v>凤台唐晓燕伙伴冲锋队缴费金额0元，目前预收价值0，预收拟返还0元，承保拟返还0元</v>
      </c>
      <c r="AJ268" s="68">
        <f>SUMIF(保单!R:R,E:E,保单!BE:BE)*IF(AF:AF&gt;1,1,0)</f>
        <v>0</v>
      </c>
      <c r="AK268" s="68">
        <f>SUMIFS(保单!BE:BE,保单!R:R,E:E,保单!BB:BB,"有效")*IF(AF:AF&gt;1,1,0)</f>
        <v>0</v>
      </c>
      <c r="AL268" s="72" t="str">
        <f>A:A&amp;D:D&amp;G:G&amp;"只要在1-10日承保全部保单，即可获得"&amp;$AJ$1&amp;AJ:AJ&amp;"个"</f>
        <v>凤台唐晓燕伙伴只要在1-10日承保全部保单，即可获得冲锋队按摩仪0个</v>
      </c>
    </row>
    <row r="269" spans="1:38">
      <c r="A269" s="64" t="s">
        <v>42</v>
      </c>
      <c r="B269" s="64" t="s">
        <v>43</v>
      </c>
      <c r="C269" s="64" t="s">
        <v>77</v>
      </c>
      <c r="D269" s="64" t="s">
        <v>501</v>
      </c>
      <c r="E269" s="64">
        <v>5037225432</v>
      </c>
      <c r="F269" s="64" t="s">
        <v>168</v>
      </c>
      <c r="G269" s="64" t="str">
        <f>IF(OR(F:F="高级经理一级",F:F="业务经理一级"),"主管","伙伴")</f>
        <v>伙伴</v>
      </c>
      <c r="H269" s="65">
        <f>SUMIF(险种!E:E,E:E,险种!R:R)-SUMIFS(险种!R:R,险种!U:U,"终止",险种!E:E,E:E)</f>
        <v>0</v>
      </c>
      <c r="I269" s="65">
        <f>SUMIFS(险种!R:R,险种!U:U,"有效",险种!E:E,E:E)</f>
        <v>0</v>
      </c>
      <c r="J269" s="65">
        <f>ROUND(SUMIF(险种!E:E,E:E,险种!Q:Q)-SUMIFS(险种!Q:Q,险种!U:U,"终止",险种!E:E,E:E),1)</f>
        <v>0</v>
      </c>
      <c r="K269" s="68">
        <f>RANK(J269,J:J)</f>
        <v>22</v>
      </c>
      <c r="L269" s="65">
        <f>ROUND(SUMIFS(险种!Q:Q,险种!U:U,"有效",险种!E:E,E:E),1)</f>
        <v>0</v>
      </c>
      <c r="M269" s="68">
        <f>RANK(L269,L:L,)</f>
        <v>14</v>
      </c>
      <c r="N269" s="68">
        <f>SUMIF(险种!E:E,E:E,险种!W:W)</f>
        <v>0</v>
      </c>
      <c r="O269" s="68">
        <f>IF(N:N&gt;=1,1,0)</f>
        <v>0</v>
      </c>
      <c r="P269" s="65">
        <f>ROUND(SUMIFS(险种!Q:Q,险种!V:V,$P$1,险种!E:E,E:E),1)</f>
        <v>0</v>
      </c>
      <c r="Q269" s="68">
        <f>RANK(P269,$P:$P,0)-1</f>
        <v>5</v>
      </c>
      <c r="R269" s="68" t="str">
        <f>A:A&amp;D:D&amp;G:G&amp;"在"&amp;$P$1&amp;"预收"&amp;P:P&amp;"排名中支第"&amp;Q:Q&amp;"位"</f>
        <v>淮南本部宗友杰伙伴在20210509预收0排名中支第5位</v>
      </c>
      <c r="S269" s="65">
        <f>ROUND(SUMIFS(险种!Q:Q,险种!E:E,E:E,险种!V:V,"&lt;=20210506")-SUMIFS(险种!Q:Q,险种!U:U,"终止",险种!E:E,E:E,险种!V:V,"&lt;=20210506"),1)</f>
        <v>0</v>
      </c>
      <c r="T269" s="65">
        <f>ROUND(SUMIFS(险种!Q:Q,险种!U:U,"有效",险种!E:E,E:E,险种!V:V,"&lt;=20210506"),1)</f>
        <v>0</v>
      </c>
      <c r="U269" s="65">
        <f>ROUND(SUMIFS(险种!Q:Q,险种!E:E,E:E,险种!V:V,"&lt;=20210510")-SUMIFS(险种!Q:Q,险种!U:U,"终止",险种!E:E,E:E,险种!V:V,"&lt;=20210510"),1)</f>
        <v>0</v>
      </c>
      <c r="V269" s="65">
        <f>ROUND(SUMIFS(险种!Q:Q,险种!U:U,"有效",险种!E:E,E:E,险种!V:V,"&lt;=20210510"),1)</f>
        <v>0</v>
      </c>
      <c r="W269" s="65">
        <f t="shared" si="4"/>
        <v>0</v>
      </c>
      <c r="X269" s="68">
        <f>SUMIF(险种!E:E,E:E,险种!Y:Y)</f>
        <v>0</v>
      </c>
      <c r="Y269" s="65">
        <f>MAX(_xlfn.IFS(OR(X:X=1,X:X=2),J:J*0.1,X:X&gt;=3,J:J*0.2,X:X=0,0),IF(J:J&gt;=20000,J:J*0.2,0))</f>
        <v>0</v>
      </c>
      <c r="Z269" s="65" t="str">
        <f>A269&amp;D269&amp;G269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淮南本部宗友杰伙伴5.1-5.10预收价值保费0，首周预收3000P件数0件，预收拟加佣0元。温馨提示，保单需10日（含）前承保，目前还有0价值保费未承保,开单一件即可获得10%加佣</v>
      </c>
      <c r="AA269" s="68">
        <f>SUMIF(险种!E:E,E:E,险种!Z:Z)</f>
        <v>0</v>
      </c>
      <c r="AB269" s="65"/>
      <c r="AC269" s="68">
        <f>SUMIF(险种!E:E,E:E,险种!AA:AA)</f>
        <v>0</v>
      </c>
      <c r="AD269" s="68">
        <f>SUMIFS(险种!AA:AA,险种!U:U,"有效",险种!E:E,E:E)</f>
        <v>0</v>
      </c>
      <c r="AE269" s="68" t="str">
        <f>A269&amp;D269&amp;G269&amp;"目前获得"&amp;$AC$1&amp;AC:AC&amp;"名，获得"&amp;$AD$1&amp;AD:AD&amp;"名"</f>
        <v>淮南本部宗友杰伙伴目前获得龙虾节预收名额0名，获得龙虾节承保名额0名</v>
      </c>
      <c r="AF269" s="68">
        <f>SUMIF(认购返还案!D:D,E:E,认购返还案!E:E)</f>
        <v>0</v>
      </c>
      <c r="AG269" s="68">
        <f>_xlfn.IFS(AND(U:U&gt;=3000,U:U&lt;5000),AF:AF*0.5,U:U&gt;=5000,AF:AF*1,U:U&lt;3000,0)</f>
        <v>0</v>
      </c>
      <c r="AH269" s="68">
        <f>_xlfn.IFS(AND(V:V&gt;=3000,V:V&lt;5000),AF:AF*0.5,V:V&gt;=5000,AF:AF*1,V:V&lt;3000,0)</f>
        <v>0</v>
      </c>
      <c r="AI269" s="68" t="str">
        <f>A:A&amp;D:D&amp;G:G&amp;$AF$1&amp;AF:AF&amp;"元，目前预收价值"&amp;U:U&amp;"，"&amp;$AG$1&amp;AG:AG&amp;"元，"&amp;$AH$1&amp;AH:AH&amp;"元"</f>
        <v>淮南本部宗友杰伙伴冲锋队缴费金额0元，目前预收价值0，预收拟返还0元，承保拟返还0元</v>
      </c>
      <c r="AJ269" s="68">
        <f>SUMIF(保单!R:R,E:E,保单!BE:BE)*IF(AF:AF&gt;1,1,0)</f>
        <v>0</v>
      </c>
      <c r="AK269" s="68">
        <f>SUMIFS(保单!BE:BE,保单!R:R,E:E,保单!BB:BB,"有效")*IF(AF:AF&gt;1,1,0)</f>
        <v>0</v>
      </c>
      <c r="AL269" s="72" t="str">
        <f>A:A&amp;D:D&amp;G:G&amp;"只要在1-10日承保全部保单，即可获得"&amp;$AJ$1&amp;AJ:AJ&amp;"个"</f>
        <v>淮南本部宗友杰伙伴只要在1-10日承保全部保单，即可获得冲锋队按摩仪0个</v>
      </c>
    </row>
    <row r="270" spans="1:38">
      <c r="A270" s="64" t="s">
        <v>27</v>
      </c>
      <c r="B270" s="64" t="s">
        <v>94</v>
      </c>
      <c r="C270" s="64" t="s">
        <v>95</v>
      </c>
      <c r="D270" s="64" t="s">
        <v>502</v>
      </c>
      <c r="E270" s="64">
        <v>865718112</v>
      </c>
      <c r="F270" s="64" t="s">
        <v>174</v>
      </c>
      <c r="G270" s="64" t="str">
        <f>IF(OR(F:F="高级经理一级",F:F="业务经理一级"),"主管","伙伴")</f>
        <v>伙伴</v>
      </c>
      <c r="H270" s="65">
        <f>SUMIF(险种!E:E,E:E,险种!R:R)-SUMIFS(险种!R:R,险种!U:U,"终止",险种!E:E,E:E)</f>
        <v>0</v>
      </c>
      <c r="I270" s="65">
        <f>SUMIFS(险种!R:R,险种!U:U,"有效",险种!E:E,E:E)</f>
        <v>0</v>
      </c>
      <c r="J270" s="65">
        <f>ROUND(SUMIF(险种!E:E,E:E,险种!Q:Q)-SUMIFS(险种!Q:Q,险种!U:U,"终止",险种!E:E,E:E),1)</f>
        <v>0</v>
      </c>
      <c r="K270" s="68">
        <f>RANK(J270,J:J)</f>
        <v>22</v>
      </c>
      <c r="L270" s="65">
        <f>ROUND(SUMIFS(险种!Q:Q,险种!U:U,"有效",险种!E:E,E:E),1)</f>
        <v>0</v>
      </c>
      <c r="M270" s="68">
        <f>RANK(L270,L:L,)</f>
        <v>14</v>
      </c>
      <c r="N270" s="68">
        <f>SUMIF(险种!E:E,E:E,险种!W:W)</f>
        <v>0</v>
      </c>
      <c r="O270" s="68">
        <f>IF(N:N&gt;=1,1,0)</f>
        <v>0</v>
      </c>
      <c r="P270" s="65">
        <f>ROUND(SUMIFS(险种!Q:Q,险种!V:V,$P$1,险种!E:E,E:E),1)</f>
        <v>0</v>
      </c>
      <c r="Q270" s="68">
        <f>RANK(P270,$P:$P,0)-1</f>
        <v>5</v>
      </c>
      <c r="R270" s="68" t="str">
        <f>A:A&amp;D:D&amp;G:G&amp;"在"&amp;$P$1&amp;"预收"&amp;P:P&amp;"排名中支第"&amp;Q:Q&amp;"位"</f>
        <v>凤台宋玉华伙伴在20210509预收0排名中支第5位</v>
      </c>
      <c r="S270" s="65">
        <f>ROUND(SUMIFS(险种!Q:Q,险种!E:E,E:E,险种!V:V,"&lt;=20210506")-SUMIFS(险种!Q:Q,险种!U:U,"终止",险种!E:E,E:E,险种!V:V,"&lt;=20210506"),1)</f>
        <v>0</v>
      </c>
      <c r="T270" s="65">
        <f>ROUND(SUMIFS(险种!Q:Q,险种!U:U,"有效",险种!E:E,E:E,险种!V:V,"&lt;=20210506"),1)</f>
        <v>0</v>
      </c>
      <c r="U270" s="65">
        <f>ROUND(SUMIFS(险种!Q:Q,险种!E:E,E:E,险种!V:V,"&lt;=20210510")-SUMIFS(险种!Q:Q,险种!U:U,"终止",险种!E:E,E:E,险种!V:V,"&lt;=20210510"),1)</f>
        <v>0</v>
      </c>
      <c r="V270" s="65">
        <f>ROUND(SUMIFS(险种!Q:Q,险种!U:U,"有效",险种!E:E,E:E,险种!V:V,"&lt;=20210510"),1)</f>
        <v>0</v>
      </c>
      <c r="W270" s="65">
        <f t="shared" si="4"/>
        <v>0</v>
      </c>
      <c r="X270" s="68">
        <f>SUMIF(险种!E:E,E:E,险种!Y:Y)</f>
        <v>0</v>
      </c>
      <c r="Y270" s="65">
        <f>MAX(_xlfn.IFS(OR(X:X=1,X:X=2),J:J*0.1,X:X&gt;=3,J:J*0.2,X:X=0,0),IF(J:J&gt;=20000,J:J*0.2,0))</f>
        <v>0</v>
      </c>
      <c r="Z270" s="65" t="str">
        <f>A270&amp;D270&amp;G270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凤台宋玉华伙伴5.1-5.10预收价值保费0，首周预收3000P件数0件，预收拟加佣0元。温馨提示，保单需10日（含）前承保，目前还有0价值保费未承保,开单一件即可获得10%加佣</v>
      </c>
      <c r="AA270" s="68">
        <f>SUMIF(险种!E:E,E:E,险种!Z:Z)</f>
        <v>0</v>
      </c>
      <c r="AB270" s="65"/>
      <c r="AC270" s="68">
        <f>SUMIF(险种!E:E,E:E,险种!AA:AA)</f>
        <v>0</v>
      </c>
      <c r="AD270" s="68">
        <f>SUMIFS(险种!AA:AA,险种!U:U,"有效",险种!E:E,E:E)</f>
        <v>0</v>
      </c>
      <c r="AE270" s="68" t="str">
        <f>A270&amp;D270&amp;G270&amp;"目前获得"&amp;$AC$1&amp;AC:AC&amp;"名，获得"&amp;$AD$1&amp;AD:AD&amp;"名"</f>
        <v>凤台宋玉华伙伴目前获得龙虾节预收名额0名，获得龙虾节承保名额0名</v>
      </c>
      <c r="AF270" s="68">
        <f>SUMIF(认购返还案!D:D,E:E,认购返还案!E:E)</f>
        <v>0</v>
      </c>
      <c r="AG270" s="68">
        <f>_xlfn.IFS(AND(U:U&gt;=3000,U:U&lt;5000),AF:AF*0.5,U:U&gt;=5000,AF:AF*1,U:U&lt;3000,0)</f>
        <v>0</v>
      </c>
      <c r="AH270" s="68">
        <f>_xlfn.IFS(AND(V:V&gt;=3000,V:V&lt;5000),AF:AF*0.5,V:V&gt;=5000,AF:AF*1,V:V&lt;3000,0)</f>
        <v>0</v>
      </c>
      <c r="AI270" s="68" t="str">
        <f>A:A&amp;D:D&amp;G:G&amp;$AF$1&amp;AF:AF&amp;"元，目前预收价值"&amp;U:U&amp;"，"&amp;$AG$1&amp;AG:AG&amp;"元，"&amp;$AH$1&amp;AH:AH&amp;"元"</f>
        <v>凤台宋玉华伙伴冲锋队缴费金额0元，目前预收价值0，预收拟返还0元，承保拟返还0元</v>
      </c>
      <c r="AJ270" s="68">
        <f>SUMIF(保单!R:R,E:E,保单!BE:BE)*IF(AF:AF&gt;1,1,0)</f>
        <v>0</v>
      </c>
      <c r="AK270" s="68">
        <f>SUMIFS(保单!BE:BE,保单!R:R,E:E,保单!BB:BB,"有效")*IF(AF:AF&gt;1,1,0)</f>
        <v>0</v>
      </c>
      <c r="AL270" s="72" t="str">
        <f>A:A&amp;D:D&amp;G:G&amp;"只要在1-10日承保全部保单，即可获得"&amp;$AJ$1&amp;AJ:AJ&amp;"个"</f>
        <v>凤台宋玉华伙伴只要在1-10日承保全部保单，即可获得冲锋队按摩仪0个</v>
      </c>
    </row>
    <row r="271" spans="1:38">
      <c r="A271" s="64" t="s">
        <v>27</v>
      </c>
      <c r="B271" s="64" t="s">
        <v>94</v>
      </c>
      <c r="C271" s="64" t="s">
        <v>95</v>
      </c>
      <c r="D271" s="64" t="s">
        <v>503</v>
      </c>
      <c r="E271" s="64">
        <v>864735132</v>
      </c>
      <c r="F271" s="64" t="s">
        <v>174</v>
      </c>
      <c r="G271" s="64" t="str">
        <f>IF(OR(F:F="高级经理一级",F:F="业务经理一级"),"主管","伙伴")</f>
        <v>伙伴</v>
      </c>
      <c r="H271" s="65">
        <f>SUMIF(险种!E:E,E:E,险种!R:R)-SUMIFS(险种!R:R,险种!U:U,"终止",险种!E:E,E:E)</f>
        <v>0</v>
      </c>
      <c r="I271" s="65">
        <f>SUMIFS(险种!R:R,险种!U:U,"有效",险种!E:E,E:E)</f>
        <v>0</v>
      </c>
      <c r="J271" s="65">
        <f>ROUND(SUMIF(险种!E:E,E:E,险种!Q:Q)-SUMIFS(险种!Q:Q,险种!U:U,"终止",险种!E:E,E:E),1)</f>
        <v>0</v>
      </c>
      <c r="K271" s="68">
        <f>RANK(J271,J:J)</f>
        <v>22</v>
      </c>
      <c r="L271" s="65">
        <f>ROUND(SUMIFS(险种!Q:Q,险种!U:U,"有效",险种!E:E,E:E),1)</f>
        <v>0</v>
      </c>
      <c r="M271" s="68">
        <f>RANK(L271,L:L,)</f>
        <v>14</v>
      </c>
      <c r="N271" s="68">
        <f>SUMIF(险种!E:E,E:E,险种!W:W)</f>
        <v>0</v>
      </c>
      <c r="O271" s="68">
        <f>IF(N:N&gt;=1,1,0)</f>
        <v>0</v>
      </c>
      <c r="P271" s="65">
        <f>ROUND(SUMIFS(险种!Q:Q,险种!V:V,$P$1,险种!E:E,E:E),1)</f>
        <v>0</v>
      </c>
      <c r="Q271" s="68">
        <f>RANK(P271,$P:$P,0)-1</f>
        <v>5</v>
      </c>
      <c r="R271" s="68" t="str">
        <f>A:A&amp;D:D&amp;G:G&amp;"在"&amp;$P$1&amp;"预收"&amp;P:P&amp;"排名中支第"&amp;Q:Q&amp;"位"</f>
        <v>凤台常红霞伙伴在20210509预收0排名中支第5位</v>
      </c>
      <c r="S271" s="65">
        <f>ROUND(SUMIFS(险种!Q:Q,险种!E:E,E:E,险种!V:V,"&lt;=20210506")-SUMIFS(险种!Q:Q,险种!U:U,"终止",险种!E:E,E:E,险种!V:V,"&lt;=20210506"),1)</f>
        <v>0</v>
      </c>
      <c r="T271" s="65">
        <f>ROUND(SUMIFS(险种!Q:Q,险种!U:U,"有效",险种!E:E,E:E,险种!V:V,"&lt;=20210506"),1)</f>
        <v>0</v>
      </c>
      <c r="U271" s="65">
        <f>ROUND(SUMIFS(险种!Q:Q,险种!E:E,E:E,险种!V:V,"&lt;=20210510")-SUMIFS(险种!Q:Q,险种!U:U,"终止",险种!E:E,E:E,险种!V:V,"&lt;=20210510"),1)</f>
        <v>0</v>
      </c>
      <c r="V271" s="65">
        <f>ROUND(SUMIFS(险种!Q:Q,险种!U:U,"有效",险种!E:E,E:E,险种!V:V,"&lt;=20210510"),1)</f>
        <v>0</v>
      </c>
      <c r="W271" s="65">
        <f t="shared" si="4"/>
        <v>0</v>
      </c>
      <c r="X271" s="68">
        <f>SUMIF(险种!E:E,E:E,险种!Y:Y)</f>
        <v>0</v>
      </c>
      <c r="Y271" s="65">
        <f>MAX(_xlfn.IFS(OR(X:X=1,X:X=2),J:J*0.1,X:X&gt;=3,J:J*0.2,X:X=0,0),IF(J:J&gt;=20000,J:J*0.2,0))</f>
        <v>0</v>
      </c>
      <c r="Z271" s="65" t="str">
        <f>A271&amp;D271&amp;G271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凤台常红霞伙伴5.1-5.10预收价值保费0，首周预收3000P件数0件，预收拟加佣0元。温馨提示，保单需10日（含）前承保，目前还有0价值保费未承保,开单一件即可获得10%加佣</v>
      </c>
      <c r="AA271" s="68">
        <f>SUMIF(险种!E:E,E:E,险种!Z:Z)</f>
        <v>0</v>
      </c>
      <c r="AB271" s="65"/>
      <c r="AC271" s="68">
        <f>SUMIF(险种!E:E,E:E,险种!AA:AA)</f>
        <v>0</v>
      </c>
      <c r="AD271" s="68">
        <f>SUMIFS(险种!AA:AA,险种!U:U,"有效",险种!E:E,E:E)</f>
        <v>0</v>
      </c>
      <c r="AE271" s="68" t="str">
        <f>A271&amp;D271&amp;G271&amp;"目前获得"&amp;$AC$1&amp;AC:AC&amp;"名，获得"&amp;$AD$1&amp;AD:AD&amp;"名"</f>
        <v>凤台常红霞伙伴目前获得龙虾节预收名额0名，获得龙虾节承保名额0名</v>
      </c>
      <c r="AF271" s="68">
        <f>SUMIF(认购返还案!D:D,E:E,认购返还案!E:E)</f>
        <v>0</v>
      </c>
      <c r="AG271" s="68">
        <f>_xlfn.IFS(AND(U:U&gt;=3000,U:U&lt;5000),AF:AF*0.5,U:U&gt;=5000,AF:AF*1,U:U&lt;3000,0)</f>
        <v>0</v>
      </c>
      <c r="AH271" s="68">
        <f>_xlfn.IFS(AND(V:V&gt;=3000,V:V&lt;5000),AF:AF*0.5,V:V&gt;=5000,AF:AF*1,V:V&lt;3000,0)</f>
        <v>0</v>
      </c>
      <c r="AI271" s="68" t="str">
        <f>A:A&amp;D:D&amp;G:G&amp;$AF$1&amp;AF:AF&amp;"元，目前预收价值"&amp;U:U&amp;"，"&amp;$AG$1&amp;AG:AG&amp;"元，"&amp;$AH$1&amp;AH:AH&amp;"元"</f>
        <v>凤台常红霞伙伴冲锋队缴费金额0元，目前预收价值0，预收拟返还0元，承保拟返还0元</v>
      </c>
      <c r="AJ271" s="68">
        <f>SUMIF(保单!R:R,E:E,保单!BE:BE)*IF(AF:AF&gt;1,1,0)</f>
        <v>0</v>
      </c>
      <c r="AK271" s="68">
        <f>SUMIFS(保单!BE:BE,保单!R:R,E:E,保单!BB:BB,"有效")*IF(AF:AF&gt;1,1,0)</f>
        <v>0</v>
      </c>
      <c r="AL271" s="72" t="str">
        <f>A:A&amp;D:D&amp;G:G&amp;"只要在1-10日承保全部保单，即可获得"&amp;$AJ$1&amp;AJ:AJ&amp;"个"</f>
        <v>凤台常红霞伙伴只要在1-10日承保全部保单，即可获得冲锋队按摩仪0个</v>
      </c>
    </row>
    <row r="272" spans="1:38">
      <c r="A272" s="64" t="s">
        <v>27</v>
      </c>
      <c r="B272" s="64" t="s">
        <v>94</v>
      </c>
      <c r="C272" s="64" t="s">
        <v>95</v>
      </c>
      <c r="D272" s="64" t="s">
        <v>504</v>
      </c>
      <c r="E272" s="64">
        <v>846503872</v>
      </c>
      <c r="F272" s="64" t="s">
        <v>174</v>
      </c>
      <c r="G272" s="64" t="str">
        <f>IF(OR(F:F="高级经理一级",F:F="业务经理一级"),"主管","伙伴")</f>
        <v>伙伴</v>
      </c>
      <c r="H272" s="65">
        <f>SUMIF(险种!E:E,E:E,险种!R:R)-SUMIFS(险种!R:R,险种!U:U,"终止",险种!E:E,E:E)</f>
        <v>0</v>
      </c>
      <c r="I272" s="65">
        <f>SUMIFS(险种!R:R,险种!U:U,"有效",险种!E:E,E:E)</f>
        <v>0</v>
      </c>
      <c r="J272" s="65">
        <f>ROUND(SUMIF(险种!E:E,E:E,险种!Q:Q)-SUMIFS(险种!Q:Q,险种!U:U,"终止",险种!E:E,E:E),1)</f>
        <v>0</v>
      </c>
      <c r="K272" s="68">
        <f>RANK(J272,J:J)</f>
        <v>22</v>
      </c>
      <c r="L272" s="65">
        <f>ROUND(SUMIFS(险种!Q:Q,险种!U:U,"有效",险种!E:E,E:E),1)</f>
        <v>0</v>
      </c>
      <c r="M272" s="68">
        <f>RANK(L272,L:L,)</f>
        <v>14</v>
      </c>
      <c r="N272" s="68">
        <f>SUMIF(险种!E:E,E:E,险种!W:W)</f>
        <v>0</v>
      </c>
      <c r="O272" s="68">
        <f>IF(N:N&gt;=1,1,0)</f>
        <v>0</v>
      </c>
      <c r="P272" s="65">
        <f>ROUND(SUMIFS(险种!Q:Q,险种!V:V,$P$1,险种!E:E,E:E),1)</f>
        <v>0</v>
      </c>
      <c r="Q272" s="68">
        <f>RANK(P272,$P:$P,0)-1</f>
        <v>5</v>
      </c>
      <c r="R272" s="68" t="str">
        <f>A:A&amp;D:D&amp;G:G&amp;"在"&amp;$P$1&amp;"预收"&amp;P:P&amp;"排名中支第"&amp;Q:Q&amp;"位"</f>
        <v>凤台万雪梅伙伴在20210509预收0排名中支第5位</v>
      </c>
      <c r="S272" s="65">
        <f>ROUND(SUMIFS(险种!Q:Q,险种!E:E,E:E,险种!V:V,"&lt;=20210506")-SUMIFS(险种!Q:Q,险种!U:U,"终止",险种!E:E,E:E,险种!V:V,"&lt;=20210506"),1)</f>
        <v>0</v>
      </c>
      <c r="T272" s="65">
        <f>ROUND(SUMIFS(险种!Q:Q,险种!U:U,"有效",险种!E:E,E:E,险种!V:V,"&lt;=20210506"),1)</f>
        <v>0</v>
      </c>
      <c r="U272" s="65">
        <f>ROUND(SUMIFS(险种!Q:Q,险种!E:E,E:E,险种!V:V,"&lt;=20210510")-SUMIFS(险种!Q:Q,险种!U:U,"终止",险种!E:E,E:E,险种!V:V,"&lt;=20210510"),1)</f>
        <v>0</v>
      </c>
      <c r="V272" s="65">
        <f>ROUND(SUMIFS(险种!Q:Q,险种!U:U,"有效",险种!E:E,E:E,险种!V:V,"&lt;=20210510"),1)</f>
        <v>0</v>
      </c>
      <c r="W272" s="65">
        <f t="shared" si="4"/>
        <v>0</v>
      </c>
      <c r="X272" s="68">
        <f>SUMIF(险种!E:E,E:E,险种!Y:Y)</f>
        <v>0</v>
      </c>
      <c r="Y272" s="65">
        <f>MAX(_xlfn.IFS(OR(X:X=1,X:X=2),J:J*0.1,X:X&gt;=3,J:J*0.2,X:X=0,0),IF(J:J&gt;=20000,J:J*0.2,0))</f>
        <v>0</v>
      </c>
      <c r="Z272" s="65" t="str">
        <f>A272&amp;D272&amp;G272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凤台万雪梅伙伴5.1-5.10预收价值保费0，首周预收3000P件数0件，预收拟加佣0元。温馨提示，保单需10日（含）前承保，目前还有0价值保费未承保,开单一件即可获得10%加佣</v>
      </c>
      <c r="AA272" s="68">
        <f>SUMIF(险种!E:E,E:E,险种!Z:Z)</f>
        <v>0</v>
      </c>
      <c r="AB272" s="65"/>
      <c r="AC272" s="68">
        <f>SUMIF(险种!E:E,E:E,险种!AA:AA)</f>
        <v>0</v>
      </c>
      <c r="AD272" s="68">
        <f>SUMIFS(险种!AA:AA,险种!U:U,"有效",险种!E:E,E:E)</f>
        <v>0</v>
      </c>
      <c r="AE272" s="68" t="str">
        <f>A272&amp;D272&amp;G272&amp;"目前获得"&amp;$AC$1&amp;AC:AC&amp;"名，获得"&amp;$AD$1&amp;AD:AD&amp;"名"</f>
        <v>凤台万雪梅伙伴目前获得龙虾节预收名额0名，获得龙虾节承保名额0名</v>
      </c>
      <c r="AF272" s="68">
        <f>SUMIF(认购返还案!D:D,E:E,认购返还案!E:E)</f>
        <v>0</v>
      </c>
      <c r="AG272" s="68">
        <f>_xlfn.IFS(AND(U:U&gt;=3000,U:U&lt;5000),AF:AF*0.5,U:U&gt;=5000,AF:AF*1,U:U&lt;3000,0)</f>
        <v>0</v>
      </c>
      <c r="AH272" s="68">
        <f>_xlfn.IFS(AND(V:V&gt;=3000,V:V&lt;5000),AF:AF*0.5,V:V&gt;=5000,AF:AF*1,V:V&lt;3000,0)</f>
        <v>0</v>
      </c>
      <c r="AI272" s="68" t="str">
        <f>A:A&amp;D:D&amp;G:G&amp;$AF$1&amp;AF:AF&amp;"元，目前预收价值"&amp;U:U&amp;"，"&amp;$AG$1&amp;AG:AG&amp;"元，"&amp;$AH$1&amp;AH:AH&amp;"元"</f>
        <v>凤台万雪梅伙伴冲锋队缴费金额0元，目前预收价值0，预收拟返还0元，承保拟返还0元</v>
      </c>
      <c r="AJ272" s="68">
        <f>SUMIF(保单!R:R,E:E,保单!BE:BE)*IF(AF:AF&gt;1,1,0)</f>
        <v>0</v>
      </c>
      <c r="AK272" s="68">
        <f>SUMIFS(保单!BE:BE,保单!R:R,E:E,保单!BB:BB,"有效")*IF(AF:AF&gt;1,1,0)</f>
        <v>0</v>
      </c>
      <c r="AL272" s="72" t="str">
        <f>A:A&amp;D:D&amp;G:G&amp;"只要在1-10日承保全部保单，即可获得"&amp;$AJ$1&amp;AJ:AJ&amp;"个"</f>
        <v>凤台万雪梅伙伴只要在1-10日承保全部保单，即可获得冲锋队按摩仪0个</v>
      </c>
    </row>
    <row r="273" spans="1:38">
      <c r="A273" s="64" t="s">
        <v>42</v>
      </c>
      <c r="B273" s="64" t="s">
        <v>62</v>
      </c>
      <c r="C273" s="64" t="s">
        <v>228</v>
      </c>
      <c r="D273" s="64" t="s">
        <v>229</v>
      </c>
      <c r="E273" s="64">
        <v>786071202</v>
      </c>
      <c r="F273" s="64" t="s">
        <v>165</v>
      </c>
      <c r="G273" s="64" t="str">
        <f>IF(OR(F:F="高级经理一级",F:F="业务经理一级"),"主管","伙伴")</f>
        <v>主管</v>
      </c>
      <c r="H273" s="65">
        <f>SUMIF(险种!E:E,E:E,险种!R:R)-SUMIFS(险种!R:R,险种!U:U,"终止",险种!E:E,E:E)</f>
        <v>0</v>
      </c>
      <c r="I273" s="65">
        <f>SUMIFS(险种!R:R,险种!U:U,"有效",险种!E:E,E:E)</f>
        <v>0</v>
      </c>
      <c r="J273" s="65">
        <f>ROUND(SUMIF(险种!E:E,E:E,险种!Q:Q)-SUMIFS(险种!Q:Q,险种!U:U,"终止",险种!E:E,E:E),1)</f>
        <v>0</v>
      </c>
      <c r="K273" s="68">
        <f>RANK(J273,J:J)</f>
        <v>22</v>
      </c>
      <c r="L273" s="65">
        <f>ROUND(SUMIFS(险种!Q:Q,险种!U:U,"有效",险种!E:E,E:E),1)</f>
        <v>0</v>
      </c>
      <c r="M273" s="68">
        <f>RANK(L273,L:L,)</f>
        <v>14</v>
      </c>
      <c r="N273" s="68">
        <f>SUMIF(险种!E:E,E:E,险种!W:W)</f>
        <v>0</v>
      </c>
      <c r="O273" s="68">
        <f>IF(N:N&gt;=1,1,0)</f>
        <v>0</v>
      </c>
      <c r="P273" s="65">
        <f>ROUND(SUMIFS(险种!Q:Q,险种!V:V,$P$1,险种!E:E,E:E),1)</f>
        <v>0</v>
      </c>
      <c r="Q273" s="68">
        <f>RANK(P273,$P:$P,0)-1</f>
        <v>5</v>
      </c>
      <c r="R273" s="68" t="str">
        <f>A:A&amp;D:D&amp;G:G&amp;"在"&amp;$P$1&amp;"预收"&amp;P:P&amp;"排名中支第"&amp;Q:Q&amp;"位"</f>
        <v>淮南本部录爱丽主管在20210509预收0排名中支第5位</v>
      </c>
      <c r="S273" s="65">
        <f>ROUND(SUMIFS(险种!Q:Q,险种!E:E,E:E,险种!V:V,"&lt;=20210506")-SUMIFS(险种!Q:Q,险种!U:U,"终止",险种!E:E,E:E,险种!V:V,"&lt;=20210506"),1)</f>
        <v>0</v>
      </c>
      <c r="T273" s="65">
        <f>ROUND(SUMIFS(险种!Q:Q,险种!U:U,"有效",险种!E:E,E:E,险种!V:V,"&lt;=20210506"),1)</f>
        <v>0</v>
      </c>
      <c r="U273" s="65">
        <f>ROUND(SUMIFS(险种!Q:Q,险种!E:E,E:E,险种!V:V,"&lt;=20210510")-SUMIFS(险种!Q:Q,险种!U:U,"终止",险种!E:E,E:E,险种!V:V,"&lt;=20210510"),1)</f>
        <v>0</v>
      </c>
      <c r="V273" s="65">
        <f>ROUND(SUMIFS(险种!Q:Q,险种!U:U,"有效",险种!E:E,E:E,险种!V:V,"&lt;=20210510"),1)</f>
        <v>0</v>
      </c>
      <c r="W273" s="65">
        <f t="shared" si="4"/>
        <v>0</v>
      </c>
      <c r="X273" s="68">
        <f>SUMIF(险种!E:E,E:E,险种!Y:Y)</f>
        <v>0</v>
      </c>
      <c r="Y273" s="65">
        <f>MAX(_xlfn.IFS(OR(X:X=1,X:X=2),J:J*0.1,X:X&gt;=3,J:J*0.2,X:X=0,0),IF(J:J&gt;=20000,J:J*0.2,0))</f>
        <v>0</v>
      </c>
      <c r="Z273" s="65" t="str">
        <f>A273&amp;D273&amp;G273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淮南本部录爱丽主管5.1-5.10预收价值保费0，首周预收3000P件数0件，预收拟加佣0元。温馨提示，保单需10日（含）前承保，目前还有0价值保费未承保,开单一件即可获得10%加佣</v>
      </c>
      <c r="AA273" s="68">
        <f>SUMIF(险种!E:E,E:E,险种!Z:Z)</f>
        <v>0</v>
      </c>
      <c r="AB273" s="65"/>
      <c r="AC273" s="68">
        <f>SUMIF(险种!E:E,E:E,险种!AA:AA)</f>
        <v>0</v>
      </c>
      <c r="AD273" s="68">
        <f>SUMIFS(险种!AA:AA,险种!U:U,"有效",险种!E:E,E:E)</f>
        <v>0</v>
      </c>
      <c r="AE273" s="68" t="str">
        <f>A273&amp;D273&amp;G273&amp;"目前获得"&amp;$AC$1&amp;AC:AC&amp;"名，获得"&amp;$AD$1&amp;AD:AD&amp;"名"</f>
        <v>淮南本部录爱丽主管目前获得龙虾节预收名额0名，获得龙虾节承保名额0名</v>
      </c>
      <c r="AF273" s="68">
        <f>SUMIF(认购返还案!D:D,E:E,认购返还案!E:E)</f>
        <v>0</v>
      </c>
      <c r="AG273" s="68">
        <f>_xlfn.IFS(AND(U:U&gt;=3000,U:U&lt;5000),AF:AF*0.5,U:U&gt;=5000,AF:AF*1,U:U&lt;3000,0)</f>
        <v>0</v>
      </c>
      <c r="AH273" s="68">
        <f>_xlfn.IFS(AND(V:V&gt;=3000,V:V&lt;5000),AF:AF*0.5,V:V&gt;=5000,AF:AF*1,V:V&lt;3000,0)</f>
        <v>0</v>
      </c>
      <c r="AI273" s="68" t="str">
        <f>A:A&amp;D:D&amp;G:G&amp;$AF$1&amp;AF:AF&amp;"元，目前预收价值"&amp;U:U&amp;"，"&amp;$AG$1&amp;AG:AG&amp;"元，"&amp;$AH$1&amp;AH:AH&amp;"元"</f>
        <v>淮南本部录爱丽主管冲锋队缴费金额0元，目前预收价值0，预收拟返还0元，承保拟返还0元</v>
      </c>
      <c r="AJ273" s="68">
        <f>SUMIF(保单!R:R,E:E,保单!BE:BE)*IF(AF:AF&gt;1,1,0)</f>
        <v>0</v>
      </c>
      <c r="AK273" s="68">
        <f>SUMIFS(保单!BE:BE,保单!R:R,E:E,保单!BB:BB,"有效")*IF(AF:AF&gt;1,1,0)</f>
        <v>0</v>
      </c>
      <c r="AL273" s="72" t="str">
        <f>A:A&amp;D:D&amp;G:G&amp;"只要在1-10日承保全部保单，即可获得"&amp;$AJ$1&amp;AJ:AJ&amp;"个"</f>
        <v>淮南本部录爱丽主管只要在1-10日承保全部保单，即可获得冲锋队按摩仪0个</v>
      </c>
    </row>
    <row r="274" spans="1:38">
      <c r="A274" s="64" t="s">
        <v>42</v>
      </c>
      <c r="B274" s="64" t="s">
        <v>62</v>
      </c>
      <c r="C274" s="64" t="s">
        <v>86</v>
      </c>
      <c r="D274" s="64" t="s">
        <v>505</v>
      </c>
      <c r="E274" s="64">
        <v>780704102</v>
      </c>
      <c r="F274" s="64" t="s">
        <v>168</v>
      </c>
      <c r="G274" s="64" t="str">
        <f>IF(OR(F:F="高级经理一级",F:F="业务经理一级"),"主管","伙伴")</f>
        <v>伙伴</v>
      </c>
      <c r="H274" s="65">
        <f>SUMIF(险种!E:E,E:E,险种!R:R)-SUMIFS(险种!R:R,险种!U:U,"终止",险种!E:E,E:E)</f>
        <v>0</v>
      </c>
      <c r="I274" s="65">
        <f>SUMIFS(险种!R:R,险种!U:U,"有效",险种!E:E,E:E)</f>
        <v>0</v>
      </c>
      <c r="J274" s="65">
        <f>ROUND(SUMIF(险种!E:E,E:E,险种!Q:Q)-SUMIFS(险种!Q:Q,险种!U:U,"终止",险种!E:E,E:E),1)</f>
        <v>0</v>
      </c>
      <c r="K274" s="68">
        <f>RANK(J274,J:J)</f>
        <v>22</v>
      </c>
      <c r="L274" s="65">
        <f>ROUND(SUMIFS(险种!Q:Q,险种!U:U,"有效",险种!E:E,E:E),1)</f>
        <v>0</v>
      </c>
      <c r="M274" s="68">
        <f>RANK(L274,L:L,)</f>
        <v>14</v>
      </c>
      <c r="N274" s="68">
        <f>SUMIF(险种!E:E,E:E,险种!W:W)</f>
        <v>0</v>
      </c>
      <c r="O274" s="68">
        <f>IF(N:N&gt;=1,1,0)</f>
        <v>0</v>
      </c>
      <c r="P274" s="65">
        <f>ROUND(SUMIFS(险种!Q:Q,险种!V:V,$P$1,险种!E:E,E:E),1)</f>
        <v>0</v>
      </c>
      <c r="Q274" s="68">
        <f>RANK(P274,$P:$P,0)-1</f>
        <v>5</v>
      </c>
      <c r="R274" s="68" t="str">
        <f>A:A&amp;D:D&amp;G:G&amp;"在"&amp;$P$1&amp;"预收"&amp;P:P&amp;"排名中支第"&amp;Q:Q&amp;"位"</f>
        <v>淮南本部陶兰伙伴在20210509预收0排名中支第5位</v>
      </c>
      <c r="S274" s="65">
        <f>ROUND(SUMIFS(险种!Q:Q,险种!E:E,E:E,险种!V:V,"&lt;=20210506")-SUMIFS(险种!Q:Q,险种!U:U,"终止",险种!E:E,E:E,险种!V:V,"&lt;=20210506"),1)</f>
        <v>0</v>
      </c>
      <c r="T274" s="65">
        <f>ROUND(SUMIFS(险种!Q:Q,险种!U:U,"有效",险种!E:E,E:E,险种!V:V,"&lt;=20210506"),1)</f>
        <v>0</v>
      </c>
      <c r="U274" s="65">
        <f>ROUND(SUMIFS(险种!Q:Q,险种!E:E,E:E,险种!V:V,"&lt;=20210510")-SUMIFS(险种!Q:Q,险种!U:U,"终止",险种!E:E,E:E,险种!V:V,"&lt;=20210510"),1)</f>
        <v>0</v>
      </c>
      <c r="V274" s="65">
        <f>ROUND(SUMIFS(险种!Q:Q,险种!U:U,"有效",险种!E:E,E:E,险种!V:V,"&lt;=20210510"),1)</f>
        <v>0</v>
      </c>
      <c r="W274" s="65">
        <f t="shared" ref="W258:W307" si="5">U274-V274</f>
        <v>0</v>
      </c>
      <c r="X274" s="68">
        <f>SUMIF(险种!E:E,E:E,险种!Y:Y)</f>
        <v>0</v>
      </c>
      <c r="Y274" s="65">
        <f>MAX(_xlfn.IFS(OR(X:X=1,X:X=2),J:J*0.1,X:X&gt;=3,J:J*0.2,X:X=0,0),IF(J:J&gt;=20000,J:J*0.2,0))</f>
        <v>0</v>
      </c>
      <c r="Z274" s="65" t="str">
        <f>A274&amp;D274&amp;G274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淮南本部陶兰伙伴5.1-5.10预收价值保费0，首周预收3000P件数0件，预收拟加佣0元。温馨提示，保单需10日（含）前承保，目前还有0价值保费未承保,开单一件即可获得10%加佣</v>
      </c>
      <c r="AA274" s="68">
        <f>SUMIF(险种!E:E,E:E,险种!Z:Z)</f>
        <v>0</v>
      </c>
      <c r="AB274" s="65"/>
      <c r="AC274" s="68">
        <f>SUMIF(险种!E:E,E:E,险种!AA:AA)</f>
        <v>0</v>
      </c>
      <c r="AD274" s="68">
        <f>SUMIFS(险种!AA:AA,险种!U:U,"有效",险种!E:E,E:E)</f>
        <v>0</v>
      </c>
      <c r="AE274" s="68" t="str">
        <f>A274&amp;D274&amp;G274&amp;"目前获得"&amp;$AC$1&amp;AC:AC&amp;"名，获得"&amp;$AD$1&amp;AD:AD&amp;"名"</f>
        <v>淮南本部陶兰伙伴目前获得龙虾节预收名额0名，获得龙虾节承保名额0名</v>
      </c>
      <c r="AF274" s="68">
        <f>SUMIF(认购返还案!D:D,E:E,认购返还案!E:E)</f>
        <v>0</v>
      </c>
      <c r="AG274" s="68">
        <f>_xlfn.IFS(AND(U:U&gt;=3000,U:U&lt;5000),AF:AF*0.5,U:U&gt;=5000,AF:AF*1,U:U&lt;3000,0)</f>
        <v>0</v>
      </c>
      <c r="AH274" s="68">
        <f>_xlfn.IFS(AND(V:V&gt;=3000,V:V&lt;5000),AF:AF*0.5,V:V&gt;=5000,AF:AF*1,V:V&lt;3000,0)</f>
        <v>0</v>
      </c>
      <c r="AI274" s="68" t="str">
        <f>A:A&amp;D:D&amp;G:G&amp;$AF$1&amp;AF:AF&amp;"元，目前预收价值"&amp;U:U&amp;"，"&amp;$AG$1&amp;AG:AG&amp;"元，"&amp;$AH$1&amp;AH:AH&amp;"元"</f>
        <v>淮南本部陶兰伙伴冲锋队缴费金额0元，目前预收价值0，预收拟返还0元，承保拟返还0元</v>
      </c>
      <c r="AJ274" s="68">
        <f>SUMIF(保单!R:R,E:E,保单!BE:BE)*IF(AF:AF&gt;1,1,0)</f>
        <v>0</v>
      </c>
      <c r="AK274" s="68">
        <f>SUMIFS(保单!BE:BE,保单!R:R,E:E,保单!BB:BB,"有效")*IF(AF:AF&gt;1,1,0)</f>
        <v>0</v>
      </c>
      <c r="AL274" s="72" t="str">
        <f>A:A&amp;D:D&amp;G:G&amp;"只要在1-10日承保全部保单，即可获得"&amp;$AJ$1&amp;AJ:AJ&amp;"个"</f>
        <v>淮南本部陶兰伙伴只要在1-10日承保全部保单，即可获得冲锋队按摩仪0个</v>
      </c>
    </row>
    <row r="275" spans="1:38">
      <c r="A275" s="64" t="s">
        <v>42</v>
      </c>
      <c r="B275" s="64" t="s">
        <v>62</v>
      </c>
      <c r="C275" s="64" t="s">
        <v>86</v>
      </c>
      <c r="D275" s="64" t="s">
        <v>506</v>
      </c>
      <c r="E275" s="64">
        <v>756981112</v>
      </c>
      <c r="F275" s="64" t="s">
        <v>174</v>
      </c>
      <c r="G275" s="64" t="str">
        <f>IF(OR(F:F="高级经理一级",F:F="业务经理一级"),"主管","伙伴")</f>
        <v>伙伴</v>
      </c>
      <c r="H275" s="65">
        <f>SUMIF(险种!E:E,E:E,险种!R:R)-SUMIFS(险种!R:R,险种!U:U,"终止",险种!E:E,E:E)</f>
        <v>0</v>
      </c>
      <c r="I275" s="65">
        <f>SUMIFS(险种!R:R,险种!U:U,"有效",险种!E:E,E:E)</f>
        <v>0</v>
      </c>
      <c r="J275" s="65">
        <f>ROUND(SUMIF(险种!E:E,E:E,险种!Q:Q)-SUMIFS(险种!Q:Q,险种!U:U,"终止",险种!E:E,E:E),1)</f>
        <v>0</v>
      </c>
      <c r="K275" s="68">
        <f>RANK(J275,J:J)</f>
        <v>22</v>
      </c>
      <c r="L275" s="65">
        <f>ROUND(SUMIFS(险种!Q:Q,险种!U:U,"有效",险种!E:E,E:E),1)</f>
        <v>0</v>
      </c>
      <c r="M275" s="68">
        <f>RANK(L275,L:L,)</f>
        <v>14</v>
      </c>
      <c r="N275" s="68">
        <f>SUMIF(险种!E:E,E:E,险种!W:W)</f>
        <v>0</v>
      </c>
      <c r="O275" s="68">
        <f>IF(N:N&gt;=1,1,0)</f>
        <v>0</v>
      </c>
      <c r="P275" s="65">
        <f>ROUND(SUMIFS(险种!Q:Q,险种!V:V,$P$1,险种!E:E,E:E),1)</f>
        <v>0</v>
      </c>
      <c r="Q275" s="68">
        <f>RANK(P275,$P:$P,0)-1</f>
        <v>5</v>
      </c>
      <c r="R275" s="68" t="str">
        <f>A:A&amp;D:D&amp;G:G&amp;"在"&amp;$P$1&amp;"预收"&amp;P:P&amp;"排名中支第"&amp;Q:Q&amp;"位"</f>
        <v>淮南本部李娜伙伴在20210509预收0排名中支第5位</v>
      </c>
      <c r="S275" s="65">
        <f>ROUND(SUMIFS(险种!Q:Q,险种!E:E,E:E,险种!V:V,"&lt;=20210506")-SUMIFS(险种!Q:Q,险种!U:U,"终止",险种!E:E,E:E,险种!V:V,"&lt;=20210506"),1)</f>
        <v>0</v>
      </c>
      <c r="T275" s="65">
        <f>ROUND(SUMIFS(险种!Q:Q,险种!U:U,"有效",险种!E:E,E:E,险种!V:V,"&lt;=20210506"),1)</f>
        <v>0</v>
      </c>
      <c r="U275" s="65">
        <f>ROUND(SUMIFS(险种!Q:Q,险种!E:E,E:E,险种!V:V,"&lt;=20210510")-SUMIFS(险种!Q:Q,险种!U:U,"终止",险种!E:E,E:E,险种!V:V,"&lt;=20210510"),1)</f>
        <v>0</v>
      </c>
      <c r="V275" s="65">
        <f>ROUND(SUMIFS(险种!Q:Q,险种!U:U,"有效",险种!E:E,E:E,险种!V:V,"&lt;=20210510"),1)</f>
        <v>0</v>
      </c>
      <c r="W275" s="65">
        <f t="shared" si="5"/>
        <v>0</v>
      </c>
      <c r="X275" s="68">
        <f>SUMIF(险种!E:E,E:E,险种!Y:Y)</f>
        <v>0</v>
      </c>
      <c r="Y275" s="65">
        <f>MAX(_xlfn.IFS(OR(X:X=1,X:X=2),J:J*0.1,X:X&gt;=3,J:J*0.2,X:X=0,0),IF(J:J&gt;=20000,J:J*0.2,0))</f>
        <v>0</v>
      </c>
      <c r="Z275" s="65" t="str">
        <f>A275&amp;D275&amp;G275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淮南本部李娜伙伴5.1-5.10预收价值保费0，首周预收3000P件数0件，预收拟加佣0元。温馨提示，保单需10日（含）前承保，目前还有0价值保费未承保,开单一件即可获得10%加佣</v>
      </c>
      <c r="AA275" s="68">
        <f>SUMIF(险种!E:E,E:E,险种!Z:Z)</f>
        <v>0</v>
      </c>
      <c r="AB275" s="65"/>
      <c r="AC275" s="68">
        <f>SUMIF(险种!E:E,E:E,险种!AA:AA)</f>
        <v>0</v>
      </c>
      <c r="AD275" s="68">
        <f>SUMIFS(险种!AA:AA,险种!U:U,"有效",险种!E:E,E:E)</f>
        <v>0</v>
      </c>
      <c r="AE275" s="68" t="str">
        <f>A275&amp;D275&amp;G275&amp;"目前获得"&amp;$AC$1&amp;AC:AC&amp;"名，获得"&amp;$AD$1&amp;AD:AD&amp;"名"</f>
        <v>淮南本部李娜伙伴目前获得龙虾节预收名额0名，获得龙虾节承保名额0名</v>
      </c>
      <c r="AF275" s="68">
        <f>SUMIF(认购返还案!D:D,E:E,认购返还案!E:E)</f>
        <v>0</v>
      </c>
      <c r="AG275" s="68">
        <f>_xlfn.IFS(AND(U:U&gt;=3000,U:U&lt;5000),AF:AF*0.5,U:U&gt;=5000,AF:AF*1,U:U&lt;3000,0)</f>
        <v>0</v>
      </c>
      <c r="AH275" s="68">
        <f>_xlfn.IFS(AND(V:V&gt;=3000,V:V&lt;5000),AF:AF*0.5,V:V&gt;=5000,AF:AF*1,V:V&lt;3000,0)</f>
        <v>0</v>
      </c>
      <c r="AI275" s="68" t="str">
        <f>A:A&amp;D:D&amp;G:G&amp;$AF$1&amp;AF:AF&amp;"元，目前预收价值"&amp;U:U&amp;"，"&amp;$AG$1&amp;AG:AG&amp;"元，"&amp;$AH$1&amp;AH:AH&amp;"元"</f>
        <v>淮南本部李娜伙伴冲锋队缴费金额0元，目前预收价值0，预收拟返还0元，承保拟返还0元</v>
      </c>
      <c r="AJ275" s="68">
        <f>SUMIF(保单!R:R,E:E,保单!BE:BE)*IF(AF:AF&gt;1,1,0)</f>
        <v>0</v>
      </c>
      <c r="AK275" s="68">
        <f>SUMIFS(保单!BE:BE,保单!R:R,E:E,保单!BB:BB,"有效")*IF(AF:AF&gt;1,1,0)</f>
        <v>0</v>
      </c>
      <c r="AL275" s="72" t="str">
        <f>A:A&amp;D:D&amp;G:G&amp;"只要在1-10日承保全部保单，即可获得"&amp;$AJ$1&amp;AJ:AJ&amp;"个"</f>
        <v>淮南本部李娜伙伴只要在1-10日承保全部保单，即可获得冲锋队按摩仪0个</v>
      </c>
    </row>
    <row r="276" spans="1:38">
      <c r="A276" s="64" t="s">
        <v>42</v>
      </c>
      <c r="B276" s="64" t="s">
        <v>62</v>
      </c>
      <c r="C276" s="64" t="s">
        <v>86</v>
      </c>
      <c r="D276" s="64" t="s">
        <v>507</v>
      </c>
      <c r="E276" s="64">
        <v>733743122</v>
      </c>
      <c r="F276" s="64" t="s">
        <v>168</v>
      </c>
      <c r="G276" s="64" t="str">
        <f>IF(OR(F:F="高级经理一级",F:F="业务经理一级"),"主管","伙伴")</f>
        <v>伙伴</v>
      </c>
      <c r="H276" s="65">
        <f>SUMIF(险种!E:E,E:E,险种!R:R)-SUMIFS(险种!R:R,险种!U:U,"终止",险种!E:E,E:E)</f>
        <v>0</v>
      </c>
      <c r="I276" s="65">
        <f>SUMIFS(险种!R:R,险种!U:U,"有效",险种!E:E,E:E)</f>
        <v>0</v>
      </c>
      <c r="J276" s="65">
        <f>ROUND(SUMIF(险种!E:E,E:E,险种!Q:Q)-SUMIFS(险种!Q:Q,险种!U:U,"终止",险种!E:E,E:E),1)</f>
        <v>0</v>
      </c>
      <c r="K276" s="68">
        <f>RANK(J276,J:J)</f>
        <v>22</v>
      </c>
      <c r="L276" s="65">
        <f>ROUND(SUMIFS(险种!Q:Q,险种!U:U,"有效",险种!E:E,E:E),1)</f>
        <v>0</v>
      </c>
      <c r="M276" s="68">
        <f>RANK(L276,L:L,)</f>
        <v>14</v>
      </c>
      <c r="N276" s="68">
        <f>SUMIF(险种!E:E,E:E,险种!W:W)</f>
        <v>0</v>
      </c>
      <c r="O276" s="68">
        <f>IF(N:N&gt;=1,1,0)</f>
        <v>0</v>
      </c>
      <c r="P276" s="65">
        <f>ROUND(SUMIFS(险种!Q:Q,险种!V:V,$P$1,险种!E:E,E:E),1)</f>
        <v>0</v>
      </c>
      <c r="Q276" s="68">
        <f>RANK(P276,$P:$P,0)-1</f>
        <v>5</v>
      </c>
      <c r="R276" s="68" t="str">
        <f>A:A&amp;D:D&amp;G:G&amp;"在"&amp;$P$1&amp;"预收"&amp;P:P&amp;"排名中支第"&amp;Q:Q&amp;"位"</f>
        <v>淮南本部刘振云伙伴在20210509预收0排名中支第5位</v>
      </c>
      <c r="S276" s="65">
        <f>ROUND(SUMIFS(险种!Q:Q,险种!E:E,E:E,险种!V:V,"&lt;=20210506")-SUMIFS(险种!Q:Q,险种!U:U,"终止",险种!E:E,E:E,险种!V:V,"&lt;=20210506"),1)</f>
        <v>0</v>
      </c>
      <c r="T276" s="65">
        <f>ROUND(SUMIFS(险种!Q:Q,险种!U:U,"有效",险种!E:E,E:E,险种!V:V,"&lt;=20210506"),1)</f>
        <v>0</v>
      </c>
      <c r="U276" s="65">
        <f>ROUND(SUMIFS(险种!Q:Q,险种!E:E,E:E,险种!V:V,"&lt;=20210510")-SUMIFS(险种!Q:Q,险种!U:U,"终止",险种!E:E,E:E,险种!V:V,"&lt;=20210510"),1)</f>
        <v>0</v>
      </c>
      <c r="V276" s="65">
        <f>ROUND(SUMIFS(险种!Q:Q,险种!U:U,"有效",险种!E:E,E:E,险种!V:V,"&lt;=20210510"),1)</f>
        <v>0</v>
      </c>
      <c r="W276" s="65">
        <f t="shared" si="5"/>
        <v>0</v>
      </c>
      <c r="X276" s="68">
        <f>SUMIF(险种!E:E,E:E,险种!Y:Y)</f>
        <v>0</v>
      </c>
      <c r="Y276" s="65">
        <f>MAX(_xlfn.IFS(OR(X:X=1,X:X=2),J:J*0.1,X:X&gt;=3,J:J*0.2,X:X=0,0),IF(J:J&gt;=20000,J:J*0.2,0))</f>
        <v>0</v>
      </c>
      <c r="Z276" s="65" t="str">
        <f>A276&amp;D276&amp;G276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淮南本部刘振云伙伴5.1-5.10预收价值保费0，首周预收3000P件数0件，预收拟加佣0元。温馨提示，保单需10日（含）前承保，目前还有0价值保费未承保,开单一件即可获得10%加佣</v>
      </c>
      <c r="AA276" s="68">
        <f>SUMIF(险种!E:E,E:E,险种!Z:Z)</f>
        <v>0</v>
      </c>
      <c r="AB276" s="65"/>
      <c r="AC276" s="68">
        <f>SUMIF(险种!E:E,E:E,险种!AA:AA)</f>
        <v>0</v>
      </c>
      <c r="AD276" s="68">
        <f>SUMIFS(险种!AA:AA,险种!U:U,"有效",险种!E:E,E:E)</f>
        <v>0</v>
      </c>
      <c r="AE276" s="68" t="str">
        <f>A276&amp;D276&amp;G276&amp;"目前获得"&amp;$AC$1&amp;AC:AC&amp;"名，获得"&amp;$AD$1&amp;AD:AD&amp;"名"</f>
        <v>淮南本部刘振云伙伴目前获得龙虾节预收名额0名，获得龙虾节承保名额0名</v>
      </c>
      <c r="AF276" s="68">
        <f>SUMIF(认购返还案!D:D,E:E,认购返还案!E:E)</f>
        <v>0</v>
      </c>
      <c r="AG276" s="68">
        <f>_xlfn.IFS(AND(U:U&gt;=3000,U:U&lt;5000),AF:AF*0.5,U:U&gt;=5000,AF:AF*1,U:U&lt;3000,0)</f>
        <v>0</v>
      </c>
      <c r="AH276" s="68">
        <f>_xlfn.IFS(AND(V:V&gt;=3000,V:V&lt;5000),AF:AF*0.5,V:V&gt;=5000,AF:AF*1,V:V&lt;3000,0)</f>
        <v>0</v>
      </c>
      <c r="AI276" s="68" t="str">
        <f>A:A&amp;D:D&amp;G:G&amp;$AF$1&amp;AF:AF&amp;"元，目前预收价值"&amp;U:U&amp;"，"&amp;$AG$1&amp;AG:AG&amp;"元，"&amp;$AH$1&amp;AH:AH&amp;"元"</f>
        <v>淮南本部刘振云伙伴冲锋队缴费金额0元，目前预收价值0，预收拟返还0元，承保拟返还0元</v>
      </c>
      <c r="AJ276" s="68">
        <f>SUMIF(保单!R:R,E:E,保单!BE:BE)*IF(AF:AF&gt;1,1,0)</f>
        <v>0</v>
      </c>
      <c r="AK276" s="68">
        <f>SUMIFS(保单!BE:BE,保单!R:R,E:E,保单!BB:BB,"有效")*IF(AF:AF&gt;1,1,0)</f>
        <v>0</v>
      </c>
      <c r="AL276" s="72" t="str">
        <f>A:A&amp;D:D&amp;G:G&amp;"只要在1-10日承保全部保单，即可获得"&amp;$AJ$1&amp;AJ:AJ&amp;"个"</f>
        <v>淮南本部刘振云伙伴只要在1-10日承保全部保单，即可获得冲锋队按摩仪0个</v>
      </c>
    </row>
    <row r="277" spans="1:38">
      <c r="A277" s="64" t="s">
        <v>42</v>
      </c>
      <c r="B277" s="64" t="s">
        <v>62</v>
      </c>
      <c r="C277" s="64" t="s">
        <v>86</v>
      </c>
      <c r="D277" s="64" t="s">
        <v>508</v>
      </c>
      <c r="E277" s="64">
        <v>733052812</v>
      </c>
      <c r="F277" s="64" t="s">
        <v>168</v>
      </c>
      <c r="G277" s="64" t="str">
        <f>IF(OR(F:F="高级经理一级",F:F="业务经理一级"),"主管","伙伴")</f>
        <v>伙伴</v>
      </c>
      <c r="H277" s="65">
        <f>SUMIF(险种!E:E,E:E,险种!R:R)-SUMIFS(险种!R:R,险种!U:U,"终止",险种!E:E,E:E)</f>
        <v>0</v>
      </c>
      <c r="I277" s="65">
        <f>SUMIFS(险种!R:R,险种!U:U,"有效",险种!E:E,E:E)</f>
        <v>0</v>
      </c>
      <c r="J277" s="65">
        <f>ROUND(SUMIF(险种!E:E,E:E,险种!Q:Q)-SUMIFS(险种!Q:Q,险种!U:U,"终止",险种!E:E,E:E),1)</f>
        <v>0</v>
      </c>
      <c r="K277" s="68">
        <f>RANK(J277,J:J)</f>
        <v>22</v>
      </c>
      <c r="L277" s="65">
        <f>ROUND(SUMIFS(险种!Q:Q,险种!U:U,"有效",险种!E:E,E:E),1)</f>
        <v>0</v>
      </c>
      <c r="M277" s="68">
        <f>RANK(L277,L:L,)</f>
        <v>14</v>
      </c>
      <c r="N277" s="68">
        <f>SUMIF(险种!E:E,E:E,险种!W:W)</f>
        <v>0</v>
      </c>
      <c r="O277" s="68">
        <f>IF(N:N&gt;=1,1,0)</f>
        <v>0</v>
      </c>
      <c r="P277" s="65">
        <f>ROUND(SUMIFS(险种!Q:Q,险种!V:V,$P$1,险种!E:E,E:E),1)</f>
        <v>0</v>
      </c>
      <c r="Q277" s="68">
        <f>RANK(P277,$P:$P,0)-1</f>
        <v>5</v>
      </c>
      <c r="R277" s="68" t="str">
        <f>A:A&amp;D:D&amp;G:G&amp;"在"&amp;$P$1&amp;"预收"&amp;P:P&amp;"排名中支第"&amp;Q:Q&amp;"位"</f>
        <v>淮南本部姚文俊伙伴在20210509预收0排名中支第5位</v>
      </c>
      <c r="S277" s="65">
        <f>ROUND(SUMIFS(险种!Q:Q,险种!E:E,E:E,险种!V:V,"&lt;=20210506")-SUMIFS(险种!Q:Q,险种!U:U,"终止",险种!E:E,E:E,险种!V:V,"&lt;=20210506"),1)</f>
        <v>0</v>
      </c>
      <c r="T277" s="65">
        <f>ROUND(SUMIFS(险种!Q:Q,险种!U:U,"有效",险种!E:E,E:E,险种!V:V,"&lt;=20210506"),1)</f>
        <v>0</v>
      </c>
      <c r="U277" s="65">
        <f>ROUND(SUMIFS(险种!Q:Q,险种!E:E,E:E,险种!V:V,"&lt;=20210510")-SUMIFS(险种!Q:Q,险种!U:U,"终止",险种!E:E,E:E,险种!V:V,"&lt;=20210510"),1)</f>
        <v>0</v>
      </c>
      <c r="V277" s="65">
        <f>ROUND(SUMIFS(险种!Q:Q,险种!U:U,"有效",险种!E:E,E:E,险种!V:V,"&lt;=20210510"),1)</f>
        <v>0</v>
      </c>
      <c r="W277" s="65">
        <f t="shared" si="5"/>
        <v>0</v>
      </c>
      <c r="X277" s="68">
        <f>SUMIF(险种!E:E,E:E,险种!Y:Y)</f>
        <v>0</v>
      </c>
      <c r="Y277" s="65">
        <f>MAX(_xlfn.IFS(OR(X:X=1,X:X=2),J:J*0.1,X:X&gt;=3,J:J*0.2,X:X=0,0),IF(J:J&gt;=20000,J:J*0.2,0))</f>
        <v>0</v>
      </c>
      <c r="Z277" s="65" t="str">
        <f>A277&amp;D277&amp;G277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淮南本部姚文俊伙伴5.1-5.10预收价值保费0，首周预收3000P件数0件，预收拟加佣0元。温馨提示，保单需10日（含）前承保，目前还有0价值保费未承保,开单一件即可获得10%加佣</v>
      </c>
      <c r="AA277" s="68">
        <f>SUMIF(险种!E:E,E:E,险种!Z:Z)</f>
        <v>0</v>
      </c>
      <c r="AB277" s="65"/>
      <c r="AC277" s="68">
        <f>SUMIF(险种!E:E,E:E,险种!AA:AA)</f>
        <v>0</v>
      </c>
      <c r="AD277" s="68">
        <f>SUMIFS(险种!AA:AA,险种!U:U,"有效",险种!E:E,E:E)</f>
        <v>0</v>
      </c>
      <c r="AE277" s="68" t="str">
        <f>A277&amp;D277&amp;G277&amp;"目前获得"&amp;$AC$1&amp;AC:AC&amp;"名，获得"&amp;$AD$1&amp;AD:AD&amp;"名"</f>
        <v>淮南本部姚文俊伙伴目前获得龙虾节预收名额0名，获得龙虾节承保名额0名</v>
      </c>
      <c r="AF277" s="68">
        <f>SUMIF(认购返还案!D:D,E:E,认购返还案!E:E)</f>
        <v>0</v>
      </c>
      <c r="AG277" s="68">
        <f>_xlfn.IFS(AND(U:U&gt;=3000,U:U&lt;5000),AF:AF*0.5,U:U&gt;=5000,AF:AF*1,U:U&lt;3000,0)</f>
        <v>0</v>
      </c>
      <c r="AH277" s="68">
        <f>_xlfn.IFS(AND(V:V&gt;=3000,V:V&lt;5000),AF:AF*0.5,V:V&gt;=5000,AF:AF*1,V:V&lt;3000,0)</f>
        <v>0</v>
      </c>
      <c r="AI277" s="68" t="str">
        <f>A:A&amp;D:D&amp;G:G&amp;$AF$1&amp;AF:AF&amp;"元，目前预收价值"&amp;U:U&amp;"，"&amp;$AG$1&amp;AG:AG&amp;"元，"&amp;$AH$1&amp;AH:AH&amp;"元"</f>
        <v>淮南本部姚文俊伙伴冲锋队缴费金额0元，目前预收价值0，预收拟返还0元，承保拟返还0元</v>
      </c>
      <c r="AJ277" s="68">
        <f>SUMIF(保单!R:R,E:E,保单!BE:BE)*IF(AF:AF&gt;1,1,0)</f>
        <v>0</v>
      </c>
      <c r="AK277" s="68">
        <f>SUMIFS(保单!BE:BE,保单!R:R,E:E,保单!BB:BB,"有效")*IF(AF:AF&gt;1,1,0)</f>
        <v>0</v>
      </c>
      <c r="AL277" s="72" t="str">
        <f>A:A&amp;D:D&amp;G:G&amp;"只要在1-10日承保全部保单，即可获得"&amp;$AJ$1&amp;AJ:AJ&amp;"个"</f>
        <v>淮南本部姚文俊伙伴只要在1-10日承保全部保单，即可获得冲锋队按摩仪0个</v>
      </c>
    </row>
    <row r="278" spans="1:38">
      <c r="A278" s="64" t="s">
        <v>27</v>
      </c>
      <c r="B278" s="64" t="s">
        <v>37</v>
      </c>
      <c r="C278" s="64" t="s">
        <v>38</v>
      </c>
      <c r="D278" s="64" t="s">
        <v>509</v>
      </c>
      <c r="E278" s="64">
        <v>695577042</v>
      </c>
      <c r="F278" s="64" t="s">
        <v>174</v>
      </c>
      <c r="G278" s="64" t="str">
        <f>IF(OR(F:F="高级经理一级",F:F="业务经理一级"),"主管","伙伴")</f>
        <v>伙伴</v>
      </c>
      <c r="H278" s="65">
        <f>SUMIF(险种!E:E,E:E,险种!R:R)-SUMIFS(险种!R:R,险种!U:U,"终止",险种!E:E,E:E)</f>
        <v>0</v>
      </c>
      <c r="I278" s="65">
        <f>SUMIFS(险种!R:R,险种!U:U,"有效",险种!E:E,E:E)</f>
        <v>0</v>
      </c>
      <c r="J278" s="65">
        <f>ROUND(SUMIF(险种!E:E,E:E,险种!Q:Q)-SUMIFS(险种!Q:Q,险种!U:U,"终止",险种!E:E,E:E),1)</f>
        <v>0</v>
      </c>
      <c r="K278" s="68">
        <f>RANK(J278,J:J)</f>
        <v>22</v>
      </c>
      <c r="L278" s="65">
        <f>ROUND(SUMIFS(险种!Q:Q,险种!U:U,"有效",险种!E:E,E:E),1)</f>
        <v>0</v>
      </c>
      <c r="M278" s="68">
        <f>RANK(L278,L:L,)</f>
        <v>14</v>
      </c>
      <c r="N278" s="68">
        <f>SUMIF(险种!E:E,E:E,险种!W:W)</f>
        <v>0</v>
      </c>
      <c r="O278" s="68">
        <f>IF(N:N&gt;=1,1,0)</f>
        <v>0</v>
      </c>
      <c r="P278" s="65">
        <f>ROUND(SUMIFS(险种!Q:Q,险种!V:V,$P$1,险种!E:E,E:E),1)</f>
        <v>0</v>
      </c>
      <c r="Q278" s="68">
        <f>RANK(P278,$P:$P,0)-1</f>
        <v>5</v>
      </c>
      <c r="R278" s="68" t="str">
        <f>A:A&amp;D:D&amp;G:G&amp;"在"&amp;$P$1&amp;"预收"&amp;P:P&amp;"排名中支第"&amp;Q:Q&amp;"位"</f>
        <v>凤台王康玉伙伴在20210509预收0排名中支第5位</v>
      </c>
      <c r="S278" s="65">
        <f>ROUND(SUMIFS(险种!Q:Q,险种!E:E,E:E,险种!V:V,"&lt;=20210506")-SUMIFS(险种!Q:Q,险种!U:U,"终止",险种!E:E,E:E,险种!V:V,"&lt;=20210506"),1)</f>
        <v>0</v>
      </c>
      <c r="T278" s="65">
        <f>ROUND(SUMIFS(险种!Q:Q,险种!U:U,"有效",险种!E:E,E:E,险种!V:V,"&lt;=20210506"),1)</f>
        <v>0</v>
      </c>
      <c r="U278" s="65">
        <f>ROUND(SUMIFS(险种!Q:Q,险种!E:E,E:E,险种!V:V,"&lt;=20210510")-SUMIFS(险种!Q:Q,险种!U:U,"终止",险种!E:E,E:E,险种!V:V,"&lt;=20210510"),1)</f>
        <v>0</v>
      </c>
      <c r="V278" s="65">
        <f>ROUND(SUMIFS(险种!Q:Q,险种!U:U,"有效",险种!E:E,E:E,险种!V:V,"&lt;=20210510"),1)</f>
        <v>0</v>
      </c>
      <c r="W278" s="65">
        <f t="shared" si="5"/>
        <v>0</v>
      </c>
      <c r="X278" s="68">
        <f>SUMIF(险种!E:E,E:E,险种!Y:Y)</f>
        <v>0</v>
      </c>
      <c r="Y278" s="65">
        <f>MAX(_xlfn.IFS(OR(X:X=1,X:X=2),J:J*0.1,X:X&gt;=3,J:J*0.2,X:X=0,0),IF(J:J&gt;=20000,J:J*0.2,0))</f>
        <v>0</v>
      </c>
      <c r="Z278" s="65" t="str">
        <f>A278&amp;D278&amp;G278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凤台王康玉伙伴5.1-5.10预收价值保费0，首周预收3000P件数0件，预收拟加佣0元。温馨提示，保单需10日（含）前承保，目前还有0价值保费未承保,开单一件即可获得10%加佣</v>
      </c>
      <c r="AA278" s="68">
        <f>SUMIF(险种!E:E,E:E,险种!Z:Z)</f>
        <v>0</v>
      </c>
      <c r="AB278" s="65"/>
      <c r="AC278" s="68">
        <f>SUMIF(险种!E:E,E:E,险种!AA:AA)</f>
        <v>0</v>
      </c>
      <c r="AD278" s="68">
        <f>SUMIFS(险种!AA:AA,险种!U:U,"有效",险种!E:E,E:E)</f>
        <v>0</v>
      </c>
      <c r="AE278" s="68" t="str">
        <f>A278&amp;D278&amp;G278&amp;"目前获得"&amp;$AC$1&amp;AC:AC&amp;"名，获得"&amp;$AD$1&amp;AD:AD&amp;"名"</f>
        <v>凤台王康玉伙伴目前获得龙虾节预收名额0名，获得龙虾节承保名额0名</v>
      </c>
      <c r="AF278" s="68">
        <f>SUMIF(认购返还案!D:D,E:E,认购返还案!E:E)</f>
        <v>0</v>
      </c>
      <c r="AG278" s="68">
        <f>_xlfn.IFS(AND(U:U&gt;=3000,U:U&lt;5000),AF:AF*0.5,U:U&gt;=5000,AF:AF*1,U:U&lt;3000,0)</f>
        <v>0</v>
      </c>
      <c r="AH278" s="68">
        <f>_xlfn.IFS(AND(V:V&gt;=3000,V:V&lt;5000),AF:AF*0.5,V:V&gt;=5000,AF:AF*1,V:V&lt;3000,0)</f>
        <v>0</v>
      </c>
      <c r="AI278" s="68" t="str">
        <f>A:A&amp;D:D&amp;G:G&amp;$AF$1&amp;AF:AF&amp;"元，目前预收价值"&amp;U:U&amp;"，"&amp;$AG$1&amp;AG:AG&amp;"元，"&amp;$AH$1&amp;AH:AH&amp;"元"</f>
        <v>凤台王康玉伙伴冲锋队缴费金额0元，目前预收价值0，预收拟返还0元，承保拟返还0元</v>
      </c>
      <c r="AJ278" s="68">
        <f>SUMIF(保单!R:R,E:E,保单!BE:BE)*IF(AF:AF&gt;1,1,0)</f>
        <v>0</v>
      </c>
      <c r="AK278" s="68">
        <f>SUMIFS(保单!BE:BE,保单!R:R,E:E,保单!BB:BB,"有效")*IF(AF:AF&gt;1,1,0)</f>
        <v>0</v>
      </c>
      <c r="AL278" s="72" t="str">
        <f>A:A&amp;D:D&amp;G:G&amp;"只要在1-10日承保全部保单，即可获得"&amp;$AJ$1&amp;AJ:AJ&amp;"个"</f>
        <v>凤台王康玉伙伴只要在1-10日承保全部保单，即可获得冲锋队按摩仪0个</v>
      </c>
    </row>
    <row r="279" spans="1:38">
      <c r="A279" s="64" t="s">
        <v>42</v>
      </c>
      <c r="B279" s="64" t="s">
        <v>66</v>
      </c>
      <c r="C279" s="64" t="s">
        <v>343</v>
      </c>
      <c r="D279" s="64" t="s">
        <v>510</v>
      </c>
      <c r="E279" s="64">
        <v>628868672</v>
      </c>
      <c r="F279" s="64" t="s">
        <v>174</v>
      </c>
      <c r="G279" s="64" t="str">
        <f>IF(OR(F:F="高级经理一级",F:F="业务经理一级"),"主管","伙伴")</f>
        <v>伙伴</v>
      </c>
      <c r="H279" s="65">
        <f>SUMIF(险种!E:E,E:E,险种!R:R)-SUMIFS(险种!R:R,险种!U:U,"终止",险种!E:E,E:E)</f>
        <v>0</v>
      </c>
      <c r="I279" s="65">
        <f>SUMIFS(险种!R:R,险种!U:U,"有效",险种!E:E,E:E)</f>
        <v>0</v>
      </c>
      <c r="J279" s="65">
        <f>ROUND(SUMIF(险种!E:E,E:E,险种!Q:Q)-SUMIFS(险种!Q:Q,险种!U:U,"终止",险种!E:E,E:E),1)</f>
        <v>0</v>
      </c>
      <c r="K279" s="68">
        <f>RANK(J279,J:J)</f>
        <v>22</v>
      </c>
      <c r="L279" s="65">
        <f>ROUND(SUMIFS(险种!Q:Q,险种!U:U,"有效",险种!E:E,E:E),1)</f>
        <v>0</v>
      </c>
      <c r="M279" s="68">
        <f>RANK(L279,L:L,)</f>
        <v>14</v>
      </c>
      <c r="N279" s="68">
        <f>SUMIF(险种!E:E,E:E,险种!W:W)</f>
        <v>0</v>
      </c>
      <c r="O279" s="68">
        <f>IF(N:N&gt;=1,1,0)</f>
        <v>0</v>
      </c>
      <c r="P279" s="65">
        <f>ROUND(SUMIFS(险种!Q:Q,险种!V:V,$P$1,险种!E:E,E:E),1)</f>
        <v>0</v>
      </c>
      <c r="Q279" s="68">
        <f>RANK(P279,$P:$P,0)-1</f>
        <v>5</v>
      </c>
      <c r="R279" s="68" t="str">
        <f>A:A&amp;D:D&amp;G:G&amp;"在"&amp;$P$1&amp;"预收"&amp;P:P&amp;"排名中支第"&amp;Q:Q&amp;"位"</f>
        <v>淮南本部尹淑玉伙伴在20210509预收0排名中支第5位</v>
      </c>
      <c r="S279" s="65">
        <f>ROUND(SUMIFS(险种!Q:Q,险种!E:E,E:E,险种!V:V,"&lt;=20210506")-SUMIFS(险种!Q:Q,险种!U:U,"终止",险种!E:E,E:E,险种!V:V,"&lt;=20210506"),1)</f>
        <v>0</v>
      </c>
      <c r="T279" s="65">
        <f>ROUND(SUMIFS(险种!Q:Q,险种!U:U,"有效",险种!E:E,E:E,险种!V:V,"&lt;=20210506"),1)</f>
        <v>0</v>
      </c>
      <c r="U279" s="65">
        <f>ROUND(SUMIFS(险种!Q:Q,险种!E:E,E:E,险种!V:V,"&lt;=20210510")-SUMIFS(险种!Q:Q,险种!U:U,"终止",险种!E:E,E:E,险种!V:V,"&lt;=20210510"),1)</f>
        <v>0</v>
      </c>
      <c r="V279" s="65">
        <f>ROUND(SUMIFS(险种!Q:Q,险种!U:U,"有效",险种!E:E,E:E,险种!V:V,"&lt;=20210510"),1)</f>
        <v>0</v>
      </c>
      <c r="W279" s="65">
        <f t="shared" si="5"/>
        <v>0</v>
      </c>
      <c r="X279" s="68">
        <f>SUMIF(险种!E:E,E:E,险种!Y:Y)</f>
        <v>0</v>
      </c>
      <c r="Y279" s="65">
        <f>MAX(_xlfn.IFS(OR(X:X=1,X:X=2),J:J*0.1,X:X&gt;=3,J:J*0.2,X:X=0,0),IF(J:J&gt;=20000,J:J*0.2,0))</f>
        <v>0</v>
      </c>
      <c r="Z279" s="65" t="str">
        <f>A279&amp;D279&amp;G279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淮南本部尹淑玉伙伴5.1-5.10预收价值保费0，首周预收3000P件数0件，预收拟加佣0元。温馨提示，保单需10日（含）前承保，目前还有0价值保费未承保,开单一件即可获得10%加佣</v>
      </c>
      <c r="AA279" s="68">
        <f>SUMIF(险种!E:E,E:E,险种!Z:Z)</f>
        <v>0</v>
      </c>
      <c r="AB279" s="65"/>
      <c r="AC279" s="68">
        <f>SUMIF(险种!E:E,E:E,险种!AA:AA)</f>
        <v>0</v>
      </c>
      <c r="AD279" s="68">
        <f>SUMIFS(险种!AA:AA,险种!U:U,"有效",险种!E:E,E:E)</f>
        <v>0</v>
      </c>
      <c r="AE279" s="68" t="str">
        <f>A279&amp;D279&amp;G279&amp;"目前获得"&amp;$AC$1&amp;AC:AC&amp;"名，获得"&amp;$AD$1&amp;AD:AD&amp;"名"</f>
        <v>淮南本部尹淑玉伙伴目前获得龙虾节预收名额0名，获得龙虾节承保名额0名</v>
      </c>
      <c r="AF279" s="68">
        <f>SUMIF(认购返还案!D:D,E:E,认购返还案!E:E)</f>
        <v>0</v>
      </c>
      <c r="AG279" s="68">
        <f>_xlfn.IFS(AND(U:U&gt;=3000,U:U&lt;5000),AF:AF*0.5,U:U&gt;=5000,AF:AF*1,U:U&lt;3000,0)</f>
        <v>0</v>
      </c>
      <c r="AH279" s="68">
        <f>_xlfn.IFS(AND(V:V&gt;=3000,V:V&lt;5000),AF:AF*0.5,V:V&gt;=5000,AF:AF*1,V:V&lt;3000,0)</f>
        <v>0</v>
      </c>
      <c r="AI279" s="68" t="str">
        <f>A:A&amp;D:D&amp;G:G&amp;$AF$1&amp;AF:AF&amp;"元，目前预收价值"&amp;U:U&amp;"，"&amp;$AG$1&amp;AG:AG&amp;"元，"&amp;$AH$1&amp;AH:AH&amp;"元"</f>
        <v>淮南本部尹淑玉伙伴冲锋队缴费金额0元，目前预收价值0，预收拟返还0元，承保拟返还0元</v>
      </c>
      <c r="AJ279" s="68">
        <f>SUMIF(保单!R:R,E:E,保单!BE:BE)*IF(AF:AF&gt;1,1,0)</f>
        <v>0</v>
      </c>
      <c r="AK279" s="68">
        <f>SUMIFS(保单!BE:BE,保单!R:R,E:E,保单!BB:BB,"有效")*IF(AF:AF&gt;1,1,0)</f>
        <v>0</v>
      </c>
      <c r="AL279" s="72" t="str">
        <f>A:A&amp;D:D&amp;G:G&amp;"只要在1-10日承保全部保单，即可获得"&amp;$AJ$1&amp;AJ:AJ&amp;"个"</f>
        <v>淮南本部尹淑玉伙伴只要在1-10日承保全部保单，即可获得冲锋队按摩仪0个</v>
      </c>
    </row>
    <row r="280" spans="1:38">
      <c r="A280" s="64" t="s">
        <v>42</v>
      </c>
      <c r="B280" s="64" t="s">
        <v>62</v>
      </c>
      <c r="C280" s="64" t="s">
        <v>86</v>
      </c>
      <c r="D280" s="64" t="s">
        <v>511</v>
      </c>
      <c r="E280" s="64">
        <v>623618392</v>
      </c>
      <c r="F280" s="64" t="s">
        <v>168</v>
      </c>
      <c r="G280" s="64" t="str">
        <f>IF(OR(F:F="高级经理一级",F:F="业务经理一级"),"主管","伙伴")</f>
        <v>伙伴</v>
      </c>
      <c r="H280" s="65">
        <f>SUMIF(险种!E:E,E:E,险种!R:R)-SUMIFS(险种!R:R,险种!U:U,"终止",险种!E:E,E:E)</f>
        <v>0</v>
      </c>
      <c r="I280" s="65">
        <f>SUMIFS(险种!R:R,险种!U:U,"有效",险种!E:E,E:E)</f>
        <v>0</v>
      </c>
      <c r="J280" s="65">
        <f>ROUND(SUMIF(险种!E:E,E:E,险种!Q:Q)-SUMIFS(险种!Q:Q,险种!U:U,"终止",险种!E:E,E:E),1)</f>
        <v>0</v>
      </c>
      <c r="K280" s="68">
        <f>RANK(J280,J:J)</f>
        <v>22</v>
      </c>
      <c r="L280" s="65">
        <f>ROUND(SUMIFS(险种!Q:Q,险种!U:U,"有效",险种!E:E,E:E),1)</f>
        <v>0</v>
      </c>
      <c r="M280" s="68">
        <f>RANK(L280,L:L,)</f>
        <v>14</v>
      </c>
      <c r="N280" s="68">
        <f>SUMIF(险种!E:E,E:E,险种!W:W)</f>
        <v>0</v>
      </c>
      <c r="O280" s="68">
        <f>IF(N:N&gt;=1,1,0)</f>
        <v>0</v>
      </c>
      <c r="P280" s="65">
        <f>ROUND(SUMIFS(险种!Q:Q,险种!V:V,$P$1,险种!E:E,E:E),1)</f>
        <v>0</v>
      </c>
      <c r="Q280" s="68">
        <f>RANK(P280,$P:$P,0)-1</f>
        <v>5</v>
      </c>
      <c r="R280" s="68" t="str">
        <f>A:A&amp;D:D&amp;G:G&amp;"在"&amp;$P$1&amp;"预收"&amp;P:P&amp;"排名中支第"&amp;Q:Q&amp;"位"</f>
        <v>淮南本部王娜伙伴在20210509预收0排名中支第5位</v>
      </c>
      <c r="S280" s="65">
        <f>ROUND(SUMIFS(险种!Q:Q,险种!E:E,E:E,险种!V:V,"&lt;=20210506")-SUMIFS(险种!Q:Q,险种!U:U,"终止",险种!E:E,E:E,险种!V:V,"&lt;=20210506"),1)</f>
        <v>0</v>
      </c>
      <c r="T280" s="65">
        <f>ROUND(SUMIFS(险种!Q:Q,险种!U:U,"有效",险种!E:E,E:E,险种!V:V,"&lt;=20210506"),1)</f>
        <v>0</v>
      </c>
      <c r="U280" s="65">
        <f>ROUND(SUMIFS(险种!Q:Q,险种!E:E,E:E,险种!V:V,"&lt;=20210510")-SUMIFS(险种!Q:Q,险种!U:U,"终止",险种!E:E,E:E,险种!V:V,"&lt;=20210510"),1)</f>
        <v>0</v>
      </c>
      <c r="V280" s="65">
        <f>ROUND(SUMIFS(险种!Q:Q,险种!U:U,"有效",险种!E:E,E:E,险种!V:V,"&lt;=20210510"),1)</f>
        <v>0</v>
      </c>
      <c r="W280" s="65">
        <f t="shared" si="5"/>
        <v>0</v>
      </c>
      <c r="X280" s="68">
        <f>SUMIF(险种!E:E,E:E,险种!Y:Y)</f>
        <v>0</v>
      </c>
      <c r="Y280" s="65">
        <f>MAX(_xlfn.IFS(OR(X:X=1,X:X=2),J:J*0.1,X:X&gt;=3,J:J*0.2,X:X=0,0),IF(J:J&gt;=20000,J:J*0.2,0))</f>
        <v>0</v>
      </c>
      <c r="Z280" s="65" t="str">
        <f>A280&amp;D280&amp;G280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淮南本部王娜伙伴5.1-5.10预收价值保费0，首周预收3000P件数0件，预收拟加佣0元。温馨提示，保单需10日（含）前承保，目前还有0价值保费未承保,开单一件即可获得10%加佣</v>
      </c>
      <c r="AA280" s="68">
        <f>SUMIF(险种!E:E,E:E,险种!Z:Z)</f>
        <v>0</v>
      </c>
      <c r="AB280" s="65"/>
      <c r="AC280" s="68">
        <f>SUMIF(险种!E:E,E:E,险种!AA:AA)</f>
        <v>0</v>
      </c>
      <c r="AD280" s="68">
        <f>SUMIFS(险种!AA:AA,险种!U:U,"有效",险种!E:E,E:E)</f>
        <v>0</v>
      </c>
      <c r="AE280" s="68" t="str">
        <f>A280&amp;D280&amp;G280&amp;"目前获得"&amp;$AC$1&amp;AC:AC&amp;"名，获得"&amp;$AD$1&amp;AD:AD&amp;"名"</f>
        <v>淮南本部王娜伙伴目前获得龙虾节预收名额0名，获得龙虾节承保名额0名</v>
      </c>
      <c r="AF280" s="68">
        <f>SUMIF(认购返还案!D:D,E:E,认购返还案!E:E)</f>
        <v>0</v>
      </c>
      <c r="AG280" s="68">
        <f>_xlfn.IFS(AND(U:U&gt;=3000,U:U&lt;5000),AF:AF*0.5,U:U&gt;=5000,AF:AF*1,U:U&lt;3000,0)</f>
        <v>0</v>
      </c>
      <c r="AH280" s="68">
        <f>_xlfn.IFS(AND(V:V&gt;=3000,V:V&lt;5000),AF:AF*0.5,V:V&gt;=5000,AF:AF*1,V:V&lt;3000,0)</f>
        <v>0</v>
      </c>
      <c r="AI280" s="68" t="str">
        <f>A:A&amp;D:D&amp;G:G&amp;$AF$1&amp;AF:AF&amp;"元，目前预收价值"&amp;U:U&amp;"，"&amp;$AG$1&amp;AG:AG&amp;"元，"&amp;$AH$1&amp;AH:AH&amp;"元"</f>
        <v>淮南本部王娜伙伴冲锋队缴费金额0元，目前预收价值0，预收拟返还0元，承保拟返还0元</v>
      </c>
      <c r="AJ280" s="68">
        <f>SUMIF(保单!R:R,E:E,保单!BE:BE)*IF(AF:AF&gt;1,1,0)</f>
        <v>0</v>
      </c>
      <c r="AK280" s="68">
        <f>SUMIFS(保单!BE:BE,保单!R:R,E:E,保单!BB:BB,"有效")*IF(AF:AF&gt;1,1,0)</f>
        <v>0</v>
      </c>
      <c r="AL280" s="72" t="str">
        <f>A:A&amp;D:D&amp;G:G&amp;"只要在1-10日承保全部保单，即可获得"&amp;$AJ$1&amp;AJ:AJ&amp;"个"</f>
        <v>淮南本部王娜伙伴只要在1-10日承保全部保单，即可获得冲锋队按摩仪0个</v>
      </c>
    </row>
    <row r="281" spans="1:38">
      <c r="A281" s="64" t="s">
        <v>42</v>
      </c>
      <c r="B281" s="64" t="s">
        <v>66</v>
      </c>
      <c r="C281" s="64" t="s">
        <v>67</v>
      </c>
      <c r="D281" s="64" t="s">
        <v>512</v>
      </c>
      <c r="E281" s="64">
        <v>604820212</v>
      </c>
      <c r="F281" s="64" t="s">
        <v>174</v>
      </c>
      <c r="G281" s="64" t="str">
        <f>IF(OR(F:F="高级经理一级",F:F="业务经理一级"),"主管","伙伴")</f>
        <v>伙伴</v>
      </c>
      <c r="H281" s="65">
        <f>SUMIF(险种!E:E,E:E,险种!R:R)-SUMIFS(险种!R:R,险种!U:U,"终止",险种!E:E,E:E)</f>
        <v>0</v>
      </c>
      <c r="I281" s="65">
        <f>SUMIFS(险种!R:R,险种!U:U,"有效",险种!E:E,E:E)</f>
        <v>0</v>
      </c>
      <c r="J281" s="65">
        <f>ROUND(SUMIF(险种!E:E,E:E,险种!Q:Q)-SUMIFS(险种!Q:Q,险种!U:U,"终止",险种!E:E,E:E),1)</f>
        <v>0</v>
      </c>
      <c r="K281" s="68">
        <f>RANK(J281,J:J)</f>
        <v>22</v>
      </c>
      <c r="L281" s="65">
        <f>ROUND(SUMIFS(险种!Q:Q,险种!U:U,"有效",险种!E:E,E:E),1)</f>
        <v>0</v>
      </c>
      <c r="M281" s="68">
        <f>RANK(L281,L:L,)</f>
        <v>14</v>
      </c>
      <c r="N281" s="68">
        <f>SUMIF(险种!E:E,E:E,险种!W:W)</f>
        <v>0</v>
      </c>
      <c r="O281" s="68">
        <f>IF(N:N&gt;=1,1,0)</f>
        <v>0</v>
      </c>
      <c r="P281" s="65">
        <f>ROUND(SUMIFS(险种!Q:Q,险种!V:V,$P$1,险种!E:E,E:E),1)</f>
        <v>0</v>
      </c>
      <c r="Q281" s="68">
        <f>RANK(P281,$P:$P,0)-1</f>
        <v>5</v>
      </c>
      <c r="R281" s="68" t="str">
        <f>A:A&amp;D:D&amp;G:G&amp;"在"&amp;$P$1&amp;"预收"&amp;P:P&amp;"排名中支第"&amp;Q:Q&amp;"位"</f>
        <v>淮南本部王道格伙伴在20210509预收0排名中支第5位</v>
      </c>
      <c r="S281" s="65">
        <f>ROUND(SUMIFS(险种!Q:Q,险种!E:E,E:E,险种!V:V,"&lt;=20210506")-SUMIFS(险种!Q:Q,险种!U:U,"终止",险种!E:E,E:E,险种!V:V,"&lt;=20210506"),1)</f>
        <v>0</v>
      </c>
      <c r="T281" s="65">
        <f>ROUND(SUMIFS(险种!Q:Q,险种!U:U,"有效",险种!E:E,E:E,险种!V:V,"&lt;=20210506"),1)</f>
        <v>0</v>
      </c>
      <c r="U281" s="65">
        <f>ROUND(SUMIFS(险种!Q:Q,险种!E:E,E:E,险种!V:V,"&lt;=20210510")-SUMIFS(险种!Q:Q,险种!U:U,"终止",险种!E:E,E:E,险种!V:V,"&lt;=20210510"),1)</f>
        <v>0</v>
      </c>
      <c r="V281" s="65">
        <f>ROUND(SUMIFS(险种!Q:Q,险种!U:U,"有效",险种!E:E,E:E,险种!V:V,"&lt;=20210510"),1)</f>
        <v>0</v>
      </c>
      <c r="W281" s="65">
        <f t="shared" si="5"/>
        <v>0</v>
      </c>
      <c r="X281" s="68">
        <f>SUMIF(险种!E:E,E:E,险种!Y:Y)</f>
        <v>0</v>
      </c>
      <c r="Y281" s="65">
        <f>MAX(_xlfn.IFS(OR(X:X=1,X:X=2),J:J*0.1,X:X&gt;=3,J:J*0.2,X:X=0,0),IF(J:J&gt;=20000,J:J*0.2,0))</f>
        <v>0</v>
      </c>
      <c r="Z281" s="65" t="str">
        <f>A281&amp;D281&amp;G281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淮南本部王道格伙伴5.1-5.10预收价值保费0，首周预收3000P件数0件，预收拟加佣0元。温馨提示，保单需10日（含）前承保，目前还有0价值保费未承保,开单一件即可获得10%加佣</v>
      </c>
      <c r="AA281" s="68">
        <f>SUMIF(险种!E:E,E:E,险种!Z:Z)</f>
        <v>0</v>
      </c>
      <c r="AB281" s="65"/>
      <c r="AC281" s="68">
        <f>SUMIF(险种!E:E,E:E,险种!AA:AA)</f>
        <v>0</v>
      </c>
      <c r="AD281" s="68">
        <f>SUMIFS(险种!AA:AA,险种!U:U,"有效",险种!E:E,E:E)</f>
        <v>0</v>
      </c>
      <c r="AE281" s="68" t="str">
        <f>A281&amp;D281&amp;G281&amp;"目前获得"&amp;$AC$1&amp;AC:AC&amp;"名，获得"&amp;$AD$1&amp;AD:AD&amp;"名"</f>
        <v>淮南本部王道格伙伴目前获得龙虾节预收名额0名，获得龙虾节承保名额0名</v>
      </c>
      <c r="AF281" s="68">
        <f>SUMIF(认购返还案!D:D,E:E,认购返还案!E:E)</f>
        <v>0</v>
      </c>
      <c r="AG281" s="68">
        <f>_xlfn.IFS(AND(U:U&gt;=3000,U:U&lt;5000),AF:AF*0.5,U:U&gt;=5000,AF:AF*1,U:U&lt;3000,0)</f>
        <v>0</v>
      </c>
      <c r="AH281" s="68">
        <f>_xlfn.IFS(AND(V:V&gt;=3000,V:V&lt;5000),AF:AF*0.5,V:V&gt;=5000,AF:AF*1,V:V&lt;3000,0)</f>
        <v>0</v>
      </c>
      <c r="AI281" s="68" t="str">
        <f>A:A&amp;D:D&amp;G:G&amp;$AF$1&amp;AF:AF&amp;"元，目前预收价值"&amp;U:U&amp;"，"&amp;$AG$1&amp;AG:AG&amp;"元，"&amp;$AH$1&amp;AH:AH&amp;"元"</f>
        <v>淮南本部王道格伙伴冲锋队缴费金额0元，目前预收价值0，预收拟返还0元，承保拟返还0元</v>
      </c>
      <c r="AJ281" s="68">
        <f>SUMIF(保单!R:R,E:E,保单!BE:BE)*IF(AF:AF&gt;1,1,0)</f>
        <v>0</v>
      </c>
      <c r="AK281" s="68">
        <f>SUMIFS(保单!BE:BE,保单!R:R,E:E,保单!BB:BB,"有效")*IF(AF:AF&gt;1,1,0)</f>
        <v>0</v>
      </c>
      <c r="AL281" s="72" t="str">
        <f>A:A&amp;D:D&amp;G:G&amp;"只要在1-10日承保全部保单，即可获得"&amp;$AJ$1&amp;AJ:AJ&amp;"个"</f>
        <v>淮南本部王道格伙伴只要在1-10日承保全部保单，即可获得冲锋队按摩仪0个</v>
      </c>
    </row>
    <row r="282" spans="1:38">
      <c r="A282" s="64" t="s">
        <v>48</v>
      </c>
      <c r="B282" s="64" t="s">
        <v>49</v>
      </c>
      <c r="C282" s="64" t="s">
        <v>50</v>
      </c>
      <c r="D282" s="64" t="s">
        <v>513</v>
      </c>
      <c r="E282" s="64">
        <v>601246562</v>
      </c>
      <c r="F282" s="64" t="s">
        <v>174</v>
      </c>
      <c r="G282" s="64" t="str">
        <f>IF(OR(F:F="高级经理一级",F:F="业务经理一级"),"主管","伙伴")</f>
        <v>伙伴</v>
      </c>
      <c r="H282" s="65">
        <f>SUMIF(险种!E:E,E:E,险种!R:R)-SUMIFS(险种!R:R,险种!U:U,"终止",险种!E:E,E:E)</f>
        <v>0</v>
      </c>
      <c r="I282" s="65">
        <f>SUMIFS(险种!R:R,险种!U:U,"有效",险种!E:E,E:E)</f>
        <v>0</v>
      </c>
      <c r="J282" s="65">
        <f>ROUND(SUMIF(险种!E:E,E:E,险种!Q:Q)-SUMIFS(险种!Q:Q,险种!U:U,"终止",险种!E:E,E:E),1)</f>
        <v>0</v>
      </c>
      <c r="K282" s="68">
        <f>RANK(J282,J:J)</f>
        <v>22</v>
      </c>
      <c r="L282" s="65">
        <f>ROUND(SUMIFS(险种!Q:Q,险种!U:U,"有效",险种!E:E,E:E),1)</f>
        <v>0</v>
      </c>
      <c r="M282" s="68">
        <f>RANK(L282,L:L,)</f>
        <v>14</v>
      </c>
      <c r="N282" s="68">
        <f>SUMIF(险种!E:E,E:E,险种!W:W)</f>
        <v>0</v>
      </c>
      <c r="O282" s="68">
        <f>IF(N:N&gt;=1,1,0)</f>
        <v>0</v>
      </c>
      <c r="P282" s="65">
        <f>ROUND(SUMIFS(险种!Q:Q,险种!V:V,$P$1,险种!E:E,E:E),1)</f>
        <v>0</v>
      </c>
      <c r="Q282" s="68">
        <f>RANK(P282,$P:$P,0)-1</f>
        <v>5</v>
      </c>
      <c r="R282" s="68" t="str">
        <f>A:A&amp;D:D&amp;G:G&amp;"在"&amp;$P$1&amp;"预收"&amp;P:P&amp;"排名中支第"&amp;Q:Q&amp;"位"</f>
        <v>谢家集周游伙伴在20210509预收0排名中支第5位</v>
      </c>
      <c r="S282" s="65">
        <f>ROUND(SUMIFS(险种!Q:Q,险种!E:E,E:E,险种!V:V,"&lt;=20210506")-SUMIFS(险种!Q:Q,险种!U:U,"终止",险种!E:E,E:E,险种!V:V,"&lt;=20210506"),1)</f>
        <v>0</v>
      </c>
      <c r="T282" s="65">
        <f>ROUND(SUMIFS(险种!Q:Q,险种!U:U,"有效",险种!E:E,E:E,险种!V:V,"&lt;=20210506"),1)</f>
        <v>0</v>
      </c>
      <c r="U282" s="65">
        <f>ROUND(SUMIFS(险种!Q:Q,险种!E:E,E:E,险种!V:V,"&lt;=20210510")-SUMIFS(险种!Q:Q,险种!U:U,"终止",险种!E:E,E:E,险种!V:V,"&lt;=20210510"),1)</f>
        <v>0</v>
      </c>
      <c r="V282" s="65">
        <f>ROUND(SUMIFS(险种!Q:Q,险种!U:U,"有效",险种!E:E,E:E,险种!V:V,"&lt;=20210510"),1)</f>
        <v>0</v>
      </c>
      <c r="W282" s="65">
        <f t="shared" si="5"/>
        <v>0</v>
      </c>
      <c r="X282" s="68">
        <f>SUMIF(险种!E:E,E:E,险种!Y:Y)</f>
        <v>0</v>
      </c>
      <c r="Y282" s="65">
        <f>MAX(_xlfn.IFS(OR(X:X=1,X:X=2),J:J*0.1,X:X&gt;=3,J:J*0.2,X:X=0,0),IF(J:J&gt;=20000,J:J*0.2,0))</f>
        <v>0</v>
      </c>
      <c r="Z282" s="65" t="str">
        <f>A282&amp;D282&amp;G282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谢家集周游伙伴5.1-5.10预收价值保费0，首周预收3000P件数0件，预收拟加佣0元。温馨提示，保单需10日（含）前承保，目前还有0价值保费未承保,开单一件即可获得10%加佣</v>
      </c>
      <c r="AA282" s="68">
        <f>SUMIF(险种!E:E,E:E,险种!Z:Z)</f>
        <v>0</v>
      </c>
      <c r="AB282" s="65"/>
      <c r="AC282" s="68">
        <f>SUMIF(险种!E:E,E:E,险种!AA:AA)</f>
        <v>0</v>
      </c>
      <c r="AD282" s="68">
        <f>SUMIFS(险种!AA:AA,险种!U:U,"有效",险种!E:E,E:E)</f>
        <v>0</v>
      </c>
      <c r="AE282" s="68" t="str">
        <f>A282&amp;D282&amp;G282&amp;"目前获得"&amp;$AC$1&amp;AC:AC&amp;"名，获得"&amp;$AD$1&amp;AD:AD&amp;"名"</f>
        <v>谢家集周游伙伴目前获得龙虾节预收名额0名，获得龙虾节承保名额0名</v>
      </c>
      <c r="AF282" s="68">
        <f>SUMIF(认购返还案!D:D,E:E,认购返还案!E:E)</f>
        <v>0</v>
      </c>
      <c r="AG282" s="68">
        <f>_xlfn.IFS(AND(U:U&gt;=3000,U:U&lt;5000),AF:AF*0.5,U:U&gt;=5000,AF:AF*1,U:U&lt;3000,0)</f>
        <v>0</v>
      </c>
      <c r="AH282" s="68">
        <f>_xlfn.IFS(AND(V:V&gt;=3000,V:V&lt;5000),AF:AF*0.5,V:V&gt;=5000,AF:AF*1,V:V&lt;3000,0)</f>
        <v>0</v>
      </c>
      <c r="AI282" s="68" t="str">
        <f>A:A&amp;D:D&amp;G:G&amp;$AF$1&amp;AF:AF&amp;"元，目前预收价值"&amp;U:U&amp;"，"&amp;$AG$1&amp;AG:AG&amp;"元，"&amp;$AH$1&amp;AH:AH&amp;"元"</f>
        <v>谢家集周游伙伴冲锋队缴费金额0元，目前预收价值0，预收拟返还0元，承保拟返还0元</v>
      </c>
      <c r="AJ282" s="68">
        <f>SUMIF(保单!R:R,E:E,保单!BE:BE)*IF(AF:AF&gt;1,1,0)</f>
        <v>0</v>
      </c>
      <c r="AK282" s="68">
        <f>SUMIFS(保单!BE:BE,保单!R:R,E:E,保单!BB:BB,"有效")*IF(AF:AF&gt;1,1,0)</f>
        <v>0</v>
      </c>
      <c r="AL282" s="72" t="str">
        <f>A:A&amp;D:D&amp;G:G&amp;"只要在1-10日承保全部保单，即可获得"&amp;$AJ$1&amp;AJ:AJ&amp;"个"</f>
        <v>谢家集周游伙伴只要在1-10日承保全部保单，即可获得冲锋队按摩仪0个</v>
      </c>
    </row>
    <row r="283" spans="1:38">
      <c r="A283" s="64" t="s">
        <v>42</v>
      </c>
      <c r="B283" s="64" t="s">
        <v>62</v>
      </c>
      <c r="C283" s="64" t="s">
        <v>86</v>
      </c>
      <c r="D283" s="64" t="s">
        <v>514</v>
      </c>
      <c r="E283" s="64">
        <v>591227232</v>
      </c>
      <c r="F283" s="64" t="s">
        <v>174</v>
      </c>
      <c r="G283" s="64" t="str">
        <f>IF(OR(F:F="高级经理一级",F:F="业务经理一级"),"主管","伙伴")</f>
        <v>伙伴</v>
      </c>
      <c r="H283" s="65">
        <f>SUMIF(险种!E:E,E:E,险种!R:R)-SUMIFS(险种!R:R,险种!U:U,"终止",险种!E:E,E:E)</f>
        <v>0</v>
      </c>
      <c r="I283" s="65">
        <f>SUMIFS(险种!R:R,险种!U:U,"有效",险种!E:E,E:E)</f>
        <v>0</v>
      </c>
      <c r="J283" s="65">
        <f>ROUND(SUMIF(险种!E:E,E:E,险种!Q:Q)-SUMIFS(险种!Q:Q,险种!U:U,"终止",险种!E:E,E:E),1)</f>
        <v>0</v>
      </c>
      <c r="K283" s="68">
        <f>RANK(J283,J:J)</f>
        <v>22</v>
      </c>
      <c r="L283" s="65">
        <f>ROUND(SUMIFS(险种!Q:Q,险种!U:U,"有效",险种!E:E,E:E),1)</f>
        <v>0</v>
      </c>
      <c r="M283" s="68">
        <f>RANK(L283,L:L,)</f>
        <v>14</v>
      </c>
      <c r="N283" s="68">
        <f>SUMIF(险种!E:E,E:E,险种!W:W)</f>
        <v>0</v>
      </c>
      <c r="O283" s="68">
        <f>IF(N:N&gt;=1,1,0)</f>
        <v>0</v>
      </c>
      <c r="P283" s="65">
        <f>ROUND(SUMIFS(险种!Q:Q,险种!V:V,$P$1,险种!E:E,E:E),1)</f>
        <v>0</v>
      </c>
      <c r="Q283" s="68">
        <f>RANK(P283,$P:$P,0)-1</f>
        <v>5</v>
      </c>
      <c r="R283" s="68" t="str">
        <f>A:A&amp;D:D&amp;G:G&amp;"在"&amp;$P$1&amp;"预收"&amp;P:P&amp;"排名中支第"&amp;Q:Q&amp;"位"</f>
        <v>淮南本部张静伙伴在20210509预收0排名中支第5位</v>
      </c>
      <c r="S283" s="65">
        <f>ROUND(SUMIFS(险种!Q:Q,险种!E:E,E:E,险种!V:V,"&lt;=20210506")-SUMIFS(险种!Q:Q,险种!U:U,"终止",险种!E:E,E:E,险种!V:V,"&lt;=20210506"),1)</f>
        <v>0</v>
      </c>
      <c r="T283" s="65">
        <f>ROUND(SUMIFS(险种!Q:Q,险种!U:U,"有效",险种!E:E,E:E,险种!V:V,"&lt;=20210506"),1)</f>
        <v>0</v>
      </c>
      <c r="U283" s="65">
        <f>ROUND(SUMIFS(险种!Q:Q,险种!E:E,E:E,险种!V:V,"&lt;=20210510")-SUMIFS(险种!Q:Q,险种!U:U,"终止",险种!E:E,E:E,险种!V:V,"&lt;=20210510"),1)</f>
        <v>0</v>
      </c>
      <c r="V283" s="65">
        <f>ROUND(SUMIFS(险种!Q:Q,险种!U:U,"有效",险种!E:E,E:E,险种!V:V,"&lt;=20210510"),1)</f>
        <v>0</v>
      </c>
      <c r="W283" s="65">
        <f t="shared" si="5"/>
        <v>0</v>
      </c>
      <c r="X283" s="68">
        <f>SUMIF(险种!E:E,E:E,险种!Y:Y)</f>
        <v>0</v>
      </c>
      <c r="Y283" s="65">
        <f>MAX(_xlfn.IFS(OR(X:X=1,X:X=2),J:J*0.1,X:X&gt;=3,J:J*0.2,X:X=0,0),IF(J:J&gt;=20000,J:J*0.2,0))</f>
        <v>0</v>
      </c>
      <c r="Z283" s="65" t="str">
        <f>A283&amp;D283&amp;G283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淮南本部张静伙伴5.1-5.10预收价值保费0，首周预收3000P件数0件，预收拟加佣0元。温馨提示，保单需10日（含）前承保，目前还有0价值保费未承保,开单一件即可获得10%加佣</v>
      </c>
      <c r="AA283" s="68">
        <f>SUMIF(险种!E:E,E:E,险种!Z:Z)</f>
        <v>0</v>
      </c>
      <c r="AB283" s="65"/>
      <c r="AC283" s="68">
        <f>SUMIF(险种!E:E,E:E,险种!AA:AA)</f>
        <v>0</v>
      </c>
      <c r="AD283" s="68">
        <f>SUMIFS(险种!AA:AA,险种!U:U,"有效",险种!E:E,E:E)</f>
        <v>0</v>
      </c>
      <c r="AE283" s="68" t="str">
        <f>A283&amp;D283&amp;G283&amp;"目前获得"&amp;$AC$1&amp;AC:AC&amp;"名，获得"&amp;$AD$1&amp;AD:AD&amp;"名"</f>
        <v>淮南本部张静伙伴目前获得龙虾节预收名额0名，获得龙虾节承保名额0名</v>
      </c>
      <c r="AF283" s="68">
        <f>SUMIF(认购返还案!D:D,E:E,认购返还案!E:E)</f>
        <v>0</v>
      </c>
      <c r="AG283" s="68">
        <f>_xlfn.IFS(AND(U:U&gt;=3000,U:U&lt;5000),AF:AF*0.5,U:U&gt;=5000,AF:AF*1,U:U&lt;3000,0)</f>
        <v>0</v>
      </c>
      <c r="AH283" s="68">
        <f>_xlfn.IFS(AND(V:V&gt;=3000,V:V&lt;5000),AF:AF*0.5,V:V&gt;=5000,AF:AF*1,V:V&lt;3000,0)</f>
        <v>0</v>
      </c>
      <c r="AI283" s="68" t="str">
        <f>A:A&amp;D:D&amp;G:G&amp;$AF$1&amp;AF:AF&amp;"元，目前预收价值"&amp;U:U&amp;"，"&amp;$AG$1&amp;AG:AG&amp;"元，"&amp;$AH$1&amp;AH:AH&amp;"元"</f>
        <v>淮南本部张静伙伴冲锋队缴费金额0元，目前预收价值0，预收拟返还0元，承保拟返还0元</v>
      </c>
      <c r="AJ283" s="68">
        <f>SUMIF(保单!R:R,E:E,保单!BE:BE)*IF(AF:AF&gt;1,1,0)</f>
        <v>0</v>
      </c>
      <c r="AK283" s="68">
        <f>SUMIFS(保单!BE:BE,保单!R:R,E:E,保单!BB:BB,"有效")*IF(AF:AF&gt;1,1,0)</f>
        <v>0</v>
      </c>
      <c r="AL283" s="72" t="str">
        <f>A:A&amp;D:D&amp;G:G&amp;"只要在1-10日承保全部保单，即可获得"&amp;$AJ$1&amp;AJ:AJ&amp;"个"</f>
        <v>淮南本部张静伙伴只要在1-10日承保全部保单，即可获得冲锋队按摩仪0个</v>
      </c>
    </row>
    <row r="284" spans="1:38">
      <c r="A284" s="64" t="s">
        <v>27</v>
      </c>
      <c r="B284" s="64" t="s">
        <v>28</v>
      </c>
      <c r="C284" s="64" t="s">
        <v>29</v>
      </c>
      <c r="D284" s="64" t="s">
        <v>30</v>
      </c>
      <c r="E284" s="64">
        <v>588442562</v>
      </c>
      <c r="F284" s="64" t="s">
        <v>167</v>
      </c>
      <c r="G284" s="64" t="str">
        <f>IF(OR(F:F="高级经理一级",F:F="业务经理一级"),"主管","伙伴")</f>
        <v>主管</v>
      </c>
      <c r="H284" s="65">
        <f>SUMIF(险种!E:E,E:E,险种!R:R)-SUMIFS(险种!R:R,险种!U:U,"终止",险种!E:E,E:E)</f>
        <v>6443</v>
      </c>
      <c r="I284" s="65">
        <f>SUMIFS(险种!R:R,险种!U:U,"有效",险种!E:E,E:E)</f>
        <v>0</v>
      </c>
      <c r="J284" s="65">
        <f>ROUND(SUMIF(险种!E:E,E:E,险种!Q:Q)-SUMIFS(险种!Q:Q,险种!U:U,"终止",险种!E:E,E:E),1)</f>
        <v>0</v>
      </c>
      <c r="K284" s="68">
        <f>RANK(J284,J:J)</f>
        <v>22</v>
      </c>
      <c r="L284" s="65">
        <f>ROUND(SUMIFS(险种!Q:Q,险种!U:U,"有效",险种!E:E,E:E),1)</f>
        <v>0</v>
      </c>
      <c r="M284" s="68">
        <f>RANK(L284,L:L,)</f>
        <v>14</v>
      </c>
      <c r="N284" s="68">
        <f>SUMIF(险种!E:E,E:E,险种!W:W)</f>
        <v>1</v>
      </c>
      <c r="O284" s="68">
        <f>IF(N:N&gt;=1,1,0)</f>
        <v>1</v>
      </c>
      <c r="P284" s="65">
        <f>ROUND(SUMIFS(险种!Q:Q,险种!V:V,$P$1,险种!E:E,E:E),1)</f>
        <v>0</v>
      </c>
      <c r="Q284" s="68">
        <f>RANK(P284,$P:$P,0)-1</f>
        <v>5</v>
      </c>
      <c r="R284" s="68" t="str">
        <f>A:A&amp;D:D&amp;G:G&amp;"在"&amp;$P$1&amp;"预收"&amp;P:P&amp;"排名中支第"&amp;Q:Q&amp;"位"</f>
        <v>凤台陈桂美主管在20210509预收0排名中支第5位</v>
      </c>
      <c r="S284" s="65">
        <f>ROUND(SUMIFS(险种!Q:Q,险种!E:E,E:E,险种!V:V,"&lt;=20210506")-SUMIFS(险种!Q:Q,险种!U:U,"终止",险种!E:E,E:E,险种!V:V,"&lt;=20210506"),1)</f>
        <v>0</v>
      </c>
      <c r="T284" s="65">
        <f>ROUND(SUMIFS(险种!Q:Q,险种!U:U,"有效",险种!E:E,E:E,险种!V:V,"&lt;=20210506"),1)</f>
        <v>0</v>
      </c>
      <c r="U284" s="65">
        <f>ROUND(SUMIFS(险种!Q:Q,险种!E:E,E:E,险种!V:V,"&lt;=20210510")-SUMIFS(险种!Q:Q,险种!U:U,"终止",险种!E:E,E:E,险种!V:V,"&lt;=20210510"),1)</f>
        <v>0</v>
      </c>
      <c r="V284" s="65">
        <f>ROUND(SUMIFS(险种!Q:Q,险种!U:U,"有效",险种!E:E,E:E,险种!V:V,"&lt;=20210510"),1)</f>
        <v>0</v>
      </c>
      <c r="W284" s="65">
        <f t="shared" si="5"/>
        <v>0</v>
      </c>
      <c r="X284" s="68">
        <f>SUMIF(险种!E:E,E:E,险种!Y:Y)</f>
        <v>1</v>
      </c>
      <c r="Y284" s="65">
        <f>MAX(_xlfn.IFS(OR(X:X=1,X:X=2),J:J*0.1,X:X&gt;=3,J:J*0.2,X:X=0,0),IF(J:J&gt;=20000,J:J*0.2,0))</f>
        <v>0</v>
      </c>
      <c r="Z284" s="65" t="str">
        <f>A284&amp;D284&amp;G284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凤台陈桂美主管5.1-5.10预收价值保费0，首周预收3000P件数1件，预收拟加佣0元。温馨提示，保单需10日（含）前承保，目前还有0价值保费未承保,距离20%提档差距2件</v>
      </c>
      <c r="AA284" s="68">
        <f>SUMIF(险种!E:E,E:E,险种!Z:Z)</f>
        <v>0</v>
      </c>
      <c r="AB284" s="65"/>
      <c r="AC284" s="68">
        <f>SUMIF(险种!E:E,E:E,险种!AA:AA)</f>
        <v>4</v>
      </c>
      <c r="AD284" s="68">
        <f>SUMIFS(险种!AA:AA,险种!U:U,"有效",险种!E:E,E:E)</f>
        <v>0</v>
      </c>
      <c r="AE284" s="68" t="str">
        <f>A284&amp;D284&amp;G284&amp;"目前获得"&amp;$AC$1&amp;AC:AC&amp;"名，获得"&amp;$AD$1&amp;AD:AD&amp;"名"</f>
        <v>凤台陈桂美主管目前获得龙虾节预收名额4名，获得龙虾节承保名额0名</v>
      </c>
      <c r="AF284" s="68">
        <f>SUMIF(认购返还案!D:D,E:E,认购返还案!E:E)</f>
        <v>400</v>
      </c>
      <c r="AG284" s="68">
        <f>_xlfn.IFS(AND(U:U&gt;=3000,U:U&lt;5000),AF:AF*0.5,U:U&gt;=5000,AF:AF*1,U:U&lt;3000,0)</f>
        <v>0</v>
      </c>
      <c r="AH284" s="68">
        <f>_xlfn.IFS(AND(V:V&gt;=3000,V:V&lt;5000),AF:AF*0.5,V:V&gt;=5000,AF:AF*1,V:V&lt;3000,0)</f>
        <v>0</v>
      </c>
      <c r="AI284" s="68" t="str">
        <f>A:A&amp;D:D&amp;G:G&amp;$AF$1&amp;AF:AF&amp;"元，目前预收价值"&amp;U:U&amp;"，"&amp;$AG$1&amp;AG:AG&amp;"元，"&amp;$AH$1&amp;AH:AH&amp;"元"</f>
        <v>凤台陈桂美主管冲锋队缴费金额400元，目前预收价值0，预收拟返还0元，承保拟返还0元</v>
      </c>
      <c r="AJ284" s="68">
        <f>SUMIF(保单!R:R,E:E,保单!BE:BE)*IF(AF:AF&gt;1,1,0)</f>
        <v>0</v>
      </c>
      <c r="AK284" s="68">
        <f>SUMIFS(保单!BE:BE,保单!R:R,E:E,保单!BB:BB,"有效")*IF(AF:AF&gt;1,1,0)</f>
        <v>0</v>
      </c>
      <c r="AL284" s="72" t="str">
        <f>A:A&amp;D:D&amp;G:G&amp;"只要在1-10日承保全部保单，即可获得"&amp;$AJ$1&amp;AJ:AJ&amp;"个"</f>
        <v>凤台陈桂美主管只要在1-10日承保全部保单，即可获得冲锋队按摩仪0个</v>
      </c>
    </row>
    <row r="285" spans="1:38">
      <c r="A285" s="64" t="s">
        <v>27</v>
      </c>
      <c r="B285" s="64" t="s">
        <v>294</v>
      </c>
      <c r="C285" s="64" t="s">
        <v>295</v>
      </c>
      <c r="D285" s="64" t="s">
        <v>515</v>
      </c>
      <c r="E285" s="64">
        <v>553691302</v>
      </c>
      <c r="F285" s="64" t="s">
        <v>168</v>
      </c>
      <c r="G285" s="64" t="str">
        <f>IF(OR(F:F="高级经理一级",F:F="业务经理一级"),"主管","伙伴")</f>
        <v>伙伴</v>
      </c>
      <c r="H285" s="65">
        <f>SUMIF(险种!E:E,E:E,险种!R:R)-SUMIFS(险种!R:R,险种!U:U,"终止",险种!E:E,E:E)</f>
        <v>0</v>
      </c>
      <c r="I285" s="65">
        <f>SUMIFS(险种!R:R,险种!U:U,"有效",险种!E:E,E:E)</f>
        <v>0</v>
      </c>
      <c r="J285" s="65">
        <f>ROUND(SUMIF(险种!E:E,E:E,险种!Q:Q)-SUMIFS(险种!Q:Q,险种!U:U,"终止",险种!E:E,E:E),1)</f>
        <v>0</v>
      </c>
      <c r="K285" s="68">
        <f>RANK(J285,J:J)</f>
        <v>22</v>
      </c>
      <c r="L285" s="65">
        <f>ROUND(SUMIFS(险种!Q:Q,险种!U:U,"有效",险种!E:E,E:E),1)</f>
        <v>0</v>
      </c>
      <c r="M285" s="68">
        <f>RANK(L285,L:L,)</f>
        <v>14</v>
      </c>
      <c r="N285" s="68">
        <f>SUMIF(险种!E:E,E:E,险种!W:W)</f>
        <v>0</v>
      </c>
      <c r="O285" s="68">
        <f>IF(N:N&gt;=1,1,0)</f>
        <v>0</v>
      </c>
      <c r="P285" s="65">
        <f>ROUND(SUMIFS(险种!Q:Q,险种!V:V,$P$1,险种!E:E,E:E),1)</f>
        <v>0</v>
      </c>
      <c r="Q285" s="68">
        <f>RANK(P285,$P:$P,0)-1</f>
        <v>5</v>
      </c>
      <c r="R285" s="68" t="str">
        <f>A:A&amp;D:D&amp;G:G&amp;"在"&amp;$P$1&amp;"预收"&amp;P:P&amp;"排名中支第"&amp;Q:Q&amp;"位"</f>
        <v>凤台万传秀伙伴在20210509预收0排名中支第5位</v>
      </c>
      <c r="S285" s="65">
        <f>ROUND(SUMIFS(险种!Q:Q,险种!E:E,E:E,险种!V:V,"&lt;=20210506")-SUMIFS(险种!Q:Q,险种!U:U,"终止",险种!E:E,E:E,险种!V:V,"&lt;=20210506"),1)</f>
        <v>0</v>
      </c>
      <c r="T285" s="65">
        <f>ROUND(SUMIFS(险种!Q:Q,险种!U:U,"有效",险种!E:E,E:E,险种!V:V,"&lt;=20210506"),1)</f>
        <v>0</v>
      </c>
      <c r="U285" s="65">
        <f>ROUND(SUMIFS(险种!Q:Q,险种!E:E,E:E,险种!V:V,"&lt;=20210510")-SUMIFS(险种!Q:Q,险种!U:U,"终止",险种!E:E,E:E,险种!V:V,"&lt;=20210510"),1)</f>
        <v>0</v>
      </c>
      <c r="V285" s="65">
        <f>ROUND(SUMIFS(险种!Q:Q,险种!U:U,"有效",险种!E:E,E:E,险种!V:V,"&lt;=20210510"),1)</f>
        <v>0</v>
      </c>
      <c r="W285" s="65">
        <f t="shared" si="5"/>
        <v>0</v>
      </c>
      <c r="X285" s="68">
        <f>SUMIF(险种!E:E,E:E,险种!Y:Y)</f>
        <v>0</v>
      </c>
      <c r="Y285" s="65">
        <f>MAX(_xlfn.IFS(OR(X:X=1,X:X=2),J:J*0.1,X:X&gt;=3,J:J*0.2,X:X=0,0),IF(J:J&gt;=20000,J:J*0.2,0))</f>
        <v>0</v>
      </c>
      <c r="Z285" s="65" t="str">
        <f>A285&amp;D285&amp;G285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凤台万传秀伙伴5.1-5.10预收价值保费0，首周预收3000P件数0件，预收拟加佣0元。温馨提示，保单需10日（含）前承保，目前还有0价值保费未承保,开单一件即可获得10%加佣</v>
      </c>
      <c r="AA285" s="68">
        <f>SUMIF(险种!E:E,E:E,险种!Z:Z)</f>
        <v>0</v>
      </c>
      <c r="AB285" s="65"/>
      <c r="AC285" s="68">
        <f>SUMIF(险种!E:E,E:E,险种!AA:AA)</f>
        <v>0</v>
      </c>
      <c r="AD285" s="68">
        <f>SUMIFS(险种!AA:AA,险种!U:U,"有效",险种!E:E,E:E)</f>
        <v>0</v>
      </c>
      <c r="AE285" s="68" t="str">
        <f>A285&amp;D285&amp;G285&amp;"目前获得"&amp;$AC$1&amp;AC:AC&amp;"名，获得"&amp;$AD$1&amp;AD:AD&amp;"名"</f>
        <v>凤台万传秀伙伴目前获得龙虾节预收名额0名，获得龙虾节承保名额0名</v>
      </c>
      <c r="AF285" s="68">
        <f>SUMIF(认购返还案!D:D,E:E,认购返还案!E:E)</f>
        <v>200</v>
      </c>
      <c r="AG285" s="68">
        <f>_xlfn.IFS(AND(U:U&gt;=3000,U:U&lt;5000),AF:AF*0.5,U:U&gt;=5000,AF:AF*1,U:U&lt;3000,0)</f>
        <v>0</v>
      </c>
      <c r="AH285" s="68">
        <f>_xlfn.IFS(AND(V:V&gt;=3000,V:V&lt;5000),AF:AF*0.5,V:V&gt;=5000,AF:AF*1,V:V&lt;3000,0)</f>
        <v>0</v>
      </c>
      <c r="AI285" s="68" t="str">
        <f>A:A&amp;D:D&amp;G:G&amp;$AF$1&amp;AF:AF&amp;"元，目前预收价值"&amp;U:U&amp;"，"&amp;$AG$1&amp;AG:AG&amp;"元，"&amp;$AH$1&amp;AH:AH&amp;"元"</f>
        <v>凤台万传秀伙伴冲锋队缴费金额200元，目前预收价值0，预收拟返还0元，承保拟返还0元</v>
      </c>
      <c r="AJ285" s="68">
        <f>SUMIF(保单!R:R,E:E,保单!BE:BE)*IF(AF:AF&gt;1,1,0)</f>
        <v>0</v>
      </c>
      <c r="AK285" s="68">
        <f>SUMIFS(保单!BE:BE,保单!R:R,E:E,保单!BB:BB,"有效")*IF(AF:AF&gt;1,1,0)</f>
        <v>0</v>
      </c>
      <c r="AL285" s="72" t="str">
        <f>A:A&amp;D:D&amp;G:G&amp;"只要在1-10日承保全部保单，即可获得"&amp;$AJ$1&amp;AJ:AJ&amp;"个"</f>
        <v>凤台万传秀伙伴只要在1-10日承保全部保单，即可获得冲锋队按摩仪0个</v>
      </c>
    </row>
    <row r="286" spans="1:38">
      <c r="A286" s="64" t="s">
        <v>27</v>
      </c>
      <c r="B286" s="64" t="s">
        <v>37</v>
      </c>
      <c r="C286" s="64" t="s">
        <v>38</v>
      </c>
      <c r="D286" s="64" t="s">
        <v>516</v>
      </c>
      <c r="E286" s="64">
        <v>481828952</v>
      </c>
      <c r="F286" s="64" t="s">
        <v>174</v>
      </c>
      <c r="G286" s="64" t="str">
        <f>IF(OR(F:F="高级经理一级",F:F="业务经理一级"),"主管","伙伴")</f>
        <v>伙伴</v>
      </c>
      <c r="H286" s="65">
        <f>SUMIF(险种!E:E,E:E,险种!R:R)-SUMIFS(险种!R:R,险种!U:U,"终止",险种!E:E,E:E)</f>
        <v>0</v>
      </c>
      <c r="I286" s="65">
        <f>SUMIFS(险种!R:R,险种!U:U,"有效",险种!E:E,E:E)</f>
        <v>0</v>
      </c>
      <c r="J286" s="65">
        <f>ROUND(SUMIF(险种!E:E,E:E,险种!Q:Q)-SUMIFS(险种!Q:Q,险种!U:U,"终止",险种!E:E,E:E),1)</f>
        <v>0</v>
      </c>
      <c r="K286" s="68">
        <f>RANK(J286,J:J)</f>
        <v>22</v>
      </c>
      <c r="L286" s="65">
        <f>ROUND(SUMIFS(险种!Q:Q,险种!U:U,"有效",险种!E:E,E:E),1)</f>
        <v>0</v>
      </c>
      <c r="M286" s="68">
        <f>RANK(L286,L:L,)</f>
        <v>14</v>
      </c>
      <c r="N286" s="68">
        <f>SUMIF(险种!E:E,E:E,险种!W:W)</f>
        <v>0</v>
      </c>
      <c r="O286" s="68">
        <f>IF(N:N&gt;=1,1,0)</f>
        <v>0</v>
      </c>
      <c r="P286" s="65">
        <f>ROUND(SUMIFS(险种!Q:Q,险种!V:V,$P$1,险种!E:E,E:E),1)</f>
        <v>0</v>
      </c>
      <c r="Q286" s="68">
        <f>RANK(P286,$P:$P,0)-1</f>
        <v>5</v>
      </c>
      <c r="R286" s="68" t="str">
        <f>A:A&amp;D:D&amp;G:G&amp;"在"&amp;$P$1&amp;"预收"&amp;P:P&amp;"排名中支第"&amp;Q:Q&amp;"位"</f>
        <v>凤台张银银伙伴在20210509预收0排名中支第5位</v>
      </c>
      <c r="S286" s="65">
        <f>ROUND(SUMIFS(险种!Q:Q,险种!E:E,E:E,险种!V:V,"&lt;=20210506")-SUMIFS(险种!Q:Q,险种!U:U,"终止",险种!E:E,E:E,险种!V:V,"&lt;=20210506"),1)</f>
        <v>0</v>
      </c>
      <c r="T286" s="65">
        <f>ROUND(SUMIFS(险种!Q:Q,险种!U:U,"有效",险种!E:E,E:E,险种!V:V,"&lt;=20210506"),1)</f>
        <v>0</v>
      </c>
      <c r="U286" s="65">
        <f>ROUND(SUMIFS(险种!Q:Q,险种!E:E,E:E,险种!V:V,"&lt;=20210510")-SUMIFS(险种!Q:Q,险种!U:U,"终止",险种!E:E,E:E,险种!V:V,"&lt;=20210510"),1)</f>
        <v>0</v>
      </c>
      <c r="V286" s="65">
        <f>ROUND(SUMIFS(险种!Q:Q,险种!U:U,"有效",险种!E:E,E:E,险种!V:V,"&lt;=20210510"),1)</f>
        <v>0</v>
      </c>
      <c r="W286" s="65">
        <f t="shared" si="5"/>
        <v>0</v>
      </c>
      <c r="X286" s="68">
        <f>SUMIF(险种!E:E,E:E,险种!Y:Y)</f>
        <v>0</v>
      </c>
      <c r="Y286" s="65">
        <f>MAX(_xlfn.IFS(OR(X:X=1,X:X=2),J:J*0.1,X:X&gt;=3,J:J*0.2,X:X=0,0),IF(J:J&gt;=20000,J:J*0.2,0))</f>
        <v>0</v>
      </c>
      <c r="Z286" s="65" t="str">
        <f>A286&amp;D286&amp;G286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凤台张银银伙伴5.1-5.10预收价值保费0，首周预收3000P件数0件，预收拟加佣0元。温馨提示，保单需10日（含）前承保，目前还有0价值保费未承保,开单一件即可获得10%加佣</v>
      </c>
      <c r="AA286" s="68">
        <f>SUMIF(险种!E:E,E:E,险种!Z:Z)</f>
        <v>0</v>
      </c>
      <c r="AB286" s="65"/>
      <c r="AC286" s="68">
        <f>SUMIF(险种!E:E,E:E,险种!AA:AA)</f>
        <v>0</v>
      </c>
      <c r="AD286" s="68">
        <f>SUMIFS(险种!AA:AA,险种!U:U,"有效",险种!E:E,E:E)</f>
        <v>0</v>
      </c>
      <c r="AE286" s="68" t="str">
        <f>A286&amp;D286&amp;G286&amp;"目前获得"&amp;$AC$1&amp;AC:AC&amp;"名，获得"&amp;$AD$1&amp;AD:AD&amp;"名"</f>
        <v>凤台张银银伙伴目前获得龙虾节预收名额0名，获得龙虾节承保名额0名</v>
      </c>
      <c r="AF286" s="68">
        <f>SUMIF(认购返还案!D:D,E:E,认购返还案!E:E)</f>
        <v>0</v>
      </c>
      <c r="AG286" s="68">
        <f>_xlfn.IFS(AND(U:U&gt;=3000,U:U&lt;5000),AF:AF*0.5,U:U&gt;=5000,AF:AF*1,U:U&lt;3000,0)</f>
        <v>0</v>
      </c>
      <c r="AH286" s="68">
        <f>_xlfn.IFS(AND(V:V&gt;=3000,V:V&lt;5000),AF:AF*0.5,V:V&gt;=5000,AF:AF*1,V:V&lt;3000,0)</f>
        <v>0</v>
      </c>
      <c r="AI286" s="68" t="str">
        <f>A:A&amp;D:D&amp;G:G&amp;$AF$1&amp;AF:AF&amp;"元，目前预收价值"&amp;U:U&amp;"，"&amp;$AG$1&amp;AG:AG&amp;"元，"&amp;$AH$1&amp;AH:AH&amp;"元"</f>
        <v>凤台张银银伙伴冲锋队缴费金额0元，目前预收价值0，预收拟返还0元，承保拟返还0元</v>
      </c>
      <c r="AJ286" s="68">
        <f>SUMIF(保单!R:R,E:E,保单!BE:BE)*IF(AF:AF&gt;1,1,0)</f>
        <v>0</v>
      </c>
      <c r="AK286" s="68">
        <f>SUMIFS(保单!BE:BE,保单!R:R,E:E,保单!BB:BB,"有效")*IF(AF:AF&gt;1,1,0)</f>
        <v>0</v>
      </c>
      <c r="AL286" s="72" t="str">
        <f>A:A&amp;D:D&amp;G:G&amp;"只要在1-10日承保全部保单，即可获得"&amp;$AJ$1&amp;AJ:AJ&amp;"个"</f>
        <v>凤台张银银伙伴只要在1-10日承保全部保单，即可获得冲锋队按摩仪0个</v>
      </c>
    </row>
    <row r="287" spans="1:38">
      <c r="A287" s="64" t="s">
        <v>48</v>
      </c>
      <c r="B287" s="64" t="s">
        <v>49</v>
      </c>
      <c r="C287" s="64" t="s">
        <v>50</v>
      </c>
      <c r="D287" s="64" t="s">
        <v>517</v>
      </c>
      <c r="E287" s="64">
        <v>475904142</v>
      </c>
      <c r="F287" s="64" t="s">
        <v>174</v>
      </c>
      <c r="G287" s="64" t="str">
        <f>IF(OR(F:F="高级经理一级",F:F="业务经理一级"),"主管","伙伴")</f>
        <v>伙伴</v>
      </c>
      <c r="H287" s="65">
        <f>SUMIF(险种!E:E,E:E,险种!R:R)-SUMIFS(险种!R:R,险种!U:U,"终止",险种!E:E,E:E)</f>
        <v>0</v>
      </c>
      <c r="I287" s="65">
        <f>SUMIFS(险种!R:R,险种!U:U,"有效",险种!E:E,E:E)</f>
        <v>0</v>
      </c>
      <c r="J287" s="65">
        <f>ROUND(SUMIF(险种!E:E,E:E,险种!Q:Q)-SUMIFS(险种!Q:Q,险种!U:U,"终止",险种!E:E,E:E),1)</f>
        <v>0</v>
      </c>
      <c r="K287" s="68">
        <f>RANK(J287,J:J)</f>
        <v>22</v>
      </c>
      <c r="L287" s="65">
        <f>ROUND(SUMIFS(险种!Q:Q,险种!U:U,"有效",险种!E:E,E:E),1)</f>
        <v>0</v>
      </c>
      <c r="M287" s="68">
        <f>RANK(L287,L:L,)</f>
        <v>14</v>
      </c>
      <c r="N287" s="68">
        <f>SUMIF(险种!E:E,E:E,险种!W:W)</f>
        <v>0</v>
      </c>
      <c r="O287" s="68">
        <f>IF(N:N&gt;=1,1,0)</f>
        <v>0</v>
      </c>
      <c r="P287" s="65">
        <f>ROUND(SUMIFS(险种!Q:Q,险种!V:V,$P$1,险种!E:E,E:E),1)</f>
        <v>0</v>
      </c>
      <c r="Q287" s="68">
        <f>RANK(P287,$P:$P,0)-1</f>
        <v>5</v>
      </c>
      <c r="R287" s="68" t="str">
        <f>A:A&amp;D:D&amp;G:G&amp;"在"&amp;$P$1&amp;"预收"&amp;P:P&amp;"排名中支第"&amp;Q:Q&amp;"位"</f>
        <v>谢家集何建军伙伴在20210509预收0排名中支第5位</v>
      </c>
      <c r="S287" s="65">
        <f>ROUND(SUMIFS(险种!Q:Q,险种!E:E,E:E,险种!V:V,"&lt;=20210506")-SUMIFS(险种!Q:Q,险种!U:U,"终止",险种!E:E,E:E,险种!V:V,"&lt;=20210506"),1)</f>
        <v>0</v>
      </c>
      <c r="T287" s="65">
        <f>ROUND(SUMIFS(险种!Q:Q,险种!U:U,"有效",险种!E:E,E:E,险种!V:V,"&lt;=20210506"),1)</f>
        <v>0</v>
      </c>
      <c r="U287" s="65">
        <f>ROUND(SUMIFS(险种!Q:Q,险种!E:E,E:E,险种!V:V,"&lt;=20210510")-SUMIFS(险种!Q:Q,险种!U:U,"终止",险种!E:E,E:E,险种!V:V,"&lt;=20210510"),1)</f>
        <v>0</v>
      </c>
      <c r="V287" s="65">
        <f>ROUND(SUMIFS(险种!Q:Q,险种!U:U,"有效",险种!E:E,E:E,险种!V:V,"&lt;=20210510"),1)</f>
        <v>0</v>
      </c>
      <c r="W287" s="65">
        <f t="shared" si="5"/>
        <v>0</v>
      </c>
      <c r="X287" s="68">
        <f>SUMIF(险种!E:E,E:E,险种!Y:Y)</f>
        <v>0</v>
      </c>
      <c r="Y287" s="65">
        <f>MAX(_xlfn.IFS(OR(X:X=1,X:X=2),J:J*0.1,X:X&gt;=3,J:J*0.2,X:X=0,0),IF(J:J&gt;=20000,J:J*0.2,0))</f>
        <v>0</v>
      </c>
      <c r="Z287" s="65" t="str">
        <f>A287&amp;D287&amp;G287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谢家集何建军伙伴5.1-5.10预收价值保费0，首周预收3000P件数0件，预收拟加佣0元。温馨提示，保单需10日（含）前承保，目前还有0价值保费未承保,开单一件即可获得10%加佣</v>
      </c>
      <c r="AA287" s="68">
        <f>SUMIF(险种!E:E,E:E,险种!Z:Z)</f>
        <v>0</v>
      </c>
      <c r="AB287" s="65"/>
      <c r="AC287" s="68">
        <f>SUMIF(险种!E:E,E:E,险种!AA:AA)</f>
        <v>0</v>
      </c>
      <c r="AD287" s="68">
        <f>SUMIFS(险种!AA:AA,险种!U:U,"有效",险种!E:E,E:E)</f>
        <v>0</v>
      </c>
      <c r="AE287" s="68" t="str">
        <f>A287&amp;D287&amp;G287&amp;"目前获得"&amp;$AC$1&amp;AC:AC&amp;"名，获得"&amp;$AD$1&amp;AD:AD&amp;"名"</f>
        <v>谢家集何建军伙伴目前获得龙虾节预收名额0名，获得龙虾节承保名额0名</v>
      </c>
      <c r="AF287" s="68">
        <f>SUMIF(认购返还案!D:D,E:E,认购返还案!E:E)</f>
        <v>0</v>
      </c>
      <c r="AG287" s="68">
        <f>_xlfn.IFS(AND(U:U&gt;=3000,U:U&lt;5000),AF:AF*0.5,U:U&gt;=5000,AF:AF*1,U:U&lt;3000,0)</f>
        <v>0</v>
      </c>
      <c r="AH287" s="68">
        <f>_xlfn.IFS(AND(V:V&gt;=3000,V:V&lt;5000),AF:AF*0.5,V:V&gt;=5000,AF:AF*1,V:V&lt;3000,0)</f>
        <v>0</v>
      </c>
      <c r="AI287" s="68" t="str">
        <f>A:A&amp;D:D&amp;G:G&amp;$AF$1&amp;AF:AF&amp;"元，目前预收价值"&amp;U:U&amp;"，"&amp;$AG$1&amp;AG:AG&amp;"元，"&amp;$AH$1&amp;AH:AH&amp;"元"</f>
        <v>谢家集何建军伙伴冲锋队缴费金额0元，目前预收价值0，预收拟返还0元，承保拟返还0元</v>
      </c>
      <c r="AJ287" s="68">
        <f>SUMIF(保单!R:R,E:E,保单!BE:BE)*IF(AF:AF&gt;1,1,0)</f>
        <v>0</v>
      </c>
      <c r="AK287" s="68">
        <f>SUMIFS(保单!BE:BE,保单!R:R,E:E,保单!BB:BB,"有效")*IF(AF:AF&gt;1,1,0)</f>
        <v>0</v>
      </c>
      <c r="AL287" s="72" t="str">
        <f>A:A&amp;D:D&amp;G:G&amp;"只要在1-10日承保全部保单，即可获得"&amp;$AJ$1&amp;AJ:AJ&amp;"个"</f>
        <v>谢家集何建军伙伴只要在1-10日承保全部保单，即可获得冲锋队按摩仪0个</v>
      </c>
    </row>
    <row r="288" spans="1:38">
      <c r="A288" s="64" t="s">
        <v>42</v>
      </c>
      <c r="B288" s="64" t="s">
        <v>518</v>
      </c>
      <c r="C288" s="64" t="s">
        <v>519</v>
      </c>
      <c r="D288" s="64" t="s">
        <v>520</v>
      </c>
      <c r="E288" s="64">
        <v>456088782</v>
      </c>
      <c r="F288" s="64" t="s">
        <v>174</v>
      </c>
      <c r="G288" s="64" t="str">
        <f>IF(OR(F:F="高级经理一级",F:F="业务经理一级"),"主管","伙伴")</f>
        <v>伙伴</v>
      </c>
      <c r="H288" s="65">
        <f>SUMIF(险种!E:E,E:E,险种!R:R)-SUMIFS(险种!R:R,险种!U:U,"终止",险种!E:E,E:E)</f>
        <v>0</v>
      </c>
      <c r="I288" s="65">
        <f>SUMIFS(险种!R:R,险种!U:U,"有效",险种!E:E,E:E)</f>
        <v>0</v>
      </c>
      <c r="J288" s="65">
        <f>ROUND(SUMIF(险种!E:E,E:E,险种!Q:Q)-SUMIFS(险种!Q:Q,险种!U:U,"终止",险种!E:E,E:E),1)</f>
        <v>0</v>
      </c>
      <c r="K288" s="68">
        <f>RANK(J288,J:J)</f>
        <v>22</v>
      </c>
      <c r="L288" s="65">
        <f>ROUND(SUMIFS(险种!Q:Q,险种!U:U,"有效",险种!E:E,E:E),1)</f>
        <v>0</v>
      </c>
      <c r="M288" s="68">
        <f>RANK(L288,L:L,)</f>
        <v>14</v>
      </c>
      <c r="N288" s="68">
        <f>SUMIF(险种!E:E,E:E,险种!W:W)</f>
        <v>0</v>
      </c>
      <c r="O288" s="68">
        <f>IF(N:N&gt;=1,1,0)</f>
        <v>0</v>
      </c>
      <c r="P288" s="65">
        <f>ROUND(SUMIFS(险种!Q:Q,险种!V:V,$P$1,险种!E:E,E:E),1)</f>
        <v>0</v>
      </c>
      <c r="Q288" s="68">
        <f>RANK(P288,$P:$P,0)-1</f>
        <v>5</v>
      </c>
      <c r="R288" s="68" t="str">
        <f>A:A&amp;D:D&amp;G:G&amp;"在"&amp;$P$1&amp;"预收"&amp;P:P&amp;"排名中支第"&amp;Q:Q&amp;"位"</f>
        <v>淮南本部邹怀霞伙伴在20210509预收0排名中支第5位</v>
      </c>
      <c r="S288" s="65">
        <f>ROUND(SUMIFS(险种!Q:Q,险种!E:E,E:E,险种!V:V,"&lt;=20210506")-SUMIFS(险种!Q:Q,险种!U:U,"终止",险种!E:E,E:E,险种!V:V,"&lt;=20210506"),1)</f>
        <v>0</v>
      </c>
      <c r="T288" s="65">
        <f>ROUND(SUMIFS(险种!Q:Q,险种!U:U,"有效",险种!E:E,E:E,险种!V:V,"&lt;=20210506"),1)</f>
        <v>0</v>
      </c>
      <c r="U288" s="65">
        <f>ROUND(SUMIFS(险种!Q:Q,险种!E:E,E:E,险种!V:V,"&lt;=20210510")-SUMIFS(险种!Q:Q,险种!U:U,"终止",险种!E:E,E:E,险种!V:V,"&lt;=20210510"),1)</f>
        <v>0</v>
      </c>
      <c r="V288" s="65">
        <f>ROUND(SUMIFS(险种!Q:Q,险种!U:U,"有效",险种!E:E,E:E,险种!V:V,"&lt;=20210510"),1)</f>
        <v>0</v>
      </c>
      <c r="W288" s="65">
        <f t="shared" si="5"/>
        <v>0</v>
      </c>
      <c r="X288" s="68">
        <f>SUMIF(险种!E:E,E:E,险种!Y:Y)</f>
        <v>0</v>
      </c>
      <c r="Y288" s="65">
        <f>MAX(_xlfn.IFS(OR(X:X=1,X:X=2),J:J*0.1,X:X&gt;=3,J:J*0.2,X:X=0,0),IF(J:J&gt;=20000,J:J*0.2,0))</f>
        <v>0</v>
      </c>
      <c r="Z288" s="65" t="str">
        <f>A288&amp;D288&amp;G288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淮南本部邹怀霞伙伴5.1-5.10预收价值保费0，首周预收3000P件数0件，预收拟加佣0元。温馨提示，保单需10日（含）前承保，目前还有0价值保费未承保,开单一件即可获得10%加佣</v>
      </c>
      <c r="AA288" s="68">
        <f>SUMIF(险种!E:E,E:E,险种!Z:Z)</f>
        <v>0</v>
      </c>
      <c r="AB288" s="65"/>
      <c r="AC288" s="68">
        <f>SUMIF(险种!E:E,E:E,险种!AA:AA)</f>
        <v>0</v>
      </c>
      <c r="AD288" s="68">
        <f>SUMIFS(险种!AA:AA,险种!U:U,"有效",险种!E:E,E:E)</f>
        <v>0</v>
      </c>
      <c r="AE288" s="68" t="str">
        <f>A288&amp;D288&amp;G288&amp;"目前获得"&amp;$AC$1&amp;AC:AC&amp;"名，获得"&amp;$AD$1&amp;AD:AD&amp;"名"</f>
        <v>淮南本部邹怀霞伙伴目前获得龙虾节预收名额0名，获得龙虾节承保名额0名</v>
      </c>
      <c r="AF288" s="68">
        <f>SUMIF(认购返还案!D:D,E:E,认购返还案!E:E)</f>
        <v>0</v>
      </c>
      <c r="AG288" s="68">
        <f>_xlfn.IFS(AND(U:U&gt;=3000,U:U&lt;5000),AF:AF*0.5,U:U&gt;=5000,AF:AF*1,U:U&lt;3000,0)</f>
        <v>0</v>
      </c>
      <c r="AH288" s="68">
        <f>_xlfn.IFS(AND(V:V&gt;=3000,V:V&lt;5000),AF:AF*0.5,V:V&gt;=5000,AF:AF*1,V:V&lt;3000,0)</f>
        <v>0</v>
      </c>
      <c r="AI288" s="68" t="str">
        <f>A:A&amp;D:D&amp;G:G&amp;$AF$1&amp;AF:AF&amp;"元，目前预收价值"&amp;U:U&amp;"，"&amp;$AG$1&amp;AG:AG&amp;"元，"&amp;$AH$1&amp;AH:AH&amp;"元"</f>
        <v>淮南本部邹怀霞伙伴冲锋队缴费金额0元，目前预收价值0，预收拟返还0元，承保拟返还0元</v>
      </c>
      <c r="AJ288" s="68">
        <f>SUMIF(保单!R:R,E:E,保单!BE:BE)*IF(AF:AF&gt;1,1,0)</f>
        <v>0</v>
      </c>
      <c r="AK288" s="68">
        <f>SUMIFS(保单!BE:BE,保单!R:R,E:E,保单!BB:BB,"有效")*IF(AF:AF&gt;1,1,0)</f>
        <v>0</v>
      </c>
      <c r="AL288" s="72" t="str">
        <f>A:A&amp;D:D&amp;G:G&amp;"只要在1-10日承保全部保单，即可获得"&amp;$AJ$1&amp;AJ:AJ&amp;"个"</f>
        <v>淮南本部邹怀霞伙伴只要在1-10日承保全部保单，即可获得冲锋队按摩仪0个</v>
      </c>
    </row>
    <row r="289" spans="1:38">
      <c r="A289" s="64" t="s">
        <v>42</v>
      </c>
      <c r="B289" s="64" t="s">
        <v>43</v>
      </c>
      <c r="C289" s="64" t="s">
        <v>77</v>
      </c>
      <c r="D289" s="64" t="s">
        <v>78</v>
      </c>
      <c r="E289" s="64">
        <v>430700742</v>
      </c>
      <c r="F289" s="64" t="s">
        <v>174</v>
      </c>
      <c r="G289" s="64" t="str">
        <f>IF(OR(F:F="高级经理一级",F:F="业务经理一级"),"主管","伙伴")</f>
        <v>伙伴</v>
      </c>
      <c r="H289" s="65">
        <f>SUMIF(险种!E:E,E:E,险种!R:R)-SUMIFS(险种!R:R,险种!U:U,"终止",险种!E:E,E:E)</f>
        <v>1803</v>
      </c>
      <c r="I289" s="65">
        <f>SUMIFS(险种!R:R,险种!U:U,"有效",险种!E:E,E:E)</f>
        <v>0</v>
      </c>
      <c r="J289" s="65">
        <f>ROUND(SUMIF(险种!E:E,E:E,险种!Q:Q)-SUMIFS(险种!Q:Q,险种!U:U,"终止",险种!E:E,E:E),1)</f>
        <v>157.7</v>
      </c>
      <c r="K289" s="68">
        <f>RANK(J289,J:J)</f>
        <v>14</v>
      </c>
      <c r="L289" s="65">
        <f>ROUND(SUMIFS(险种!Q:Q,险种!U:U,"有效",险种!E:E,E:E),1)</f>
        <v>0</v>
      </c>
      <c r="M289" s="68">
        <f>RANK(L289,L:L,)</f>
        <v>14</v>
      </c>
      <c r="N289" s="68">
        <f>SUMIF(险种!E:E,E:E,险种!W:W)</f>
        <v>0</v>
      </c>
      <c r="O289" s="68">
        <f>IF(N:N&gt;=1,1,0)</f>
        <v>0</v>
      </c>
      <c r="P289" s="65">
        <f>ROUND(SUMIFS(险种!Q:Q,险种!V:V,$P$1,险种!E:E,E:E),1)</f>
        <v>0</v>
      </c>
      <c r="Q289" s="68">
        <f>RANK(P289,$P:$P,0)-1</f>
        <v>5</v>
      </c>
      <c r="R289" s="68" t="str">
        <f>A:A&amp;D:D&amp;G:G&amp;"在"&amp;$P$1&amp;"预收"&amp;P:P&amp;"排名中支第"&amp;Q:Q&amp;"位"</f>
        <v>淮南本部宗林伙伴在20210509预收0排名中支第5位</v>
      </c>
      <c r="S289" s="65">
        <f>ROUND(SUMIFS(险种!Q:Q,险种!E:E,E:E,险种!V:V,"&lt;=20210506")-SUMIFS(险种!Q:Q,险种!U:U,"终止",险种!E:E,E:E,险种!V:V,"&lt;=20210506"),1)</f>
        <v>0</v>
      </c>
      <c r="T289" s="65">
        <f>ROUND(SUMIFS(险种!Q:Q,险种!U:U,"有效",险种!E:E,E:E,险种!V:V,"&lt;=20210506"),1)</f>
        <v>0</v>
      </c>
      <c r="U289" s="65">
        <f>ROUND(SUMIFS(险种!Q:Q,险种!E:E,E:E,险种!V:V,"&lt;=20210510")-SUMIFS(险种!Q:Q,险种!U:U,"终止",险种!E:E,E:E,险种!V:V,"&lt;=20210510"),1)</f>
        <v>157.7</v>
      </c>
      <c r="V289" s="65">
        <f>ROUND(SUMIFS(险种!Q:Q,险种!U:U,"有效",险种!E:E,E:E,险种!V:V,"&lt;=20210510"),1)</f>
        <v>0</v>
      </c>
      <c r="W289" s="65">
        <f t="shared" si="5"/>
        <v>157.7</v>
      </c>
      <c r="X289" s="68">
        <f>SUMIF(险种!E:E,E:E,险种!Y:Y)</f>
        <v>0</v>
      </c>
      <c r="Y289" s="65">
        <f>MAX(_xlfn.IFS(OR(X:X=1,X:X=2),J:J*0.1,X:X&gt;=3,J:J*0.2,X:X=0,0),IF(J:J&gt;=20000,J:J*0.2,0))</f>
        <v>0</v>
      </c>
      <c r="Z289" s="65" t="str">
        <f>A289&amp;D289&amp;G289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淮南本部宗林伙伴5.1-5.10预收价值保费158，首周预收3000P件数0件，预收拟加佣0元。温馨提示，保单需10日（含）前承保，目前还有158价值保费未承保,开单一件即可获得10%加佣</v>
      </c>
      <c r="AA289" s="68">
        <f>SUMIF(险种!E:E,E:E,险种!Z:Z)</f>
        <v>0</v>
      </c>
      <c r="AB289" s="65"/>
      <c r="AC289" s="68">
        <f>SUMIF(险种!E:E,E:E,险种!AA:AA)</f>
        <v>0</v>
      </c>
      <c r="AD289" s="68">
        <f>SUMIFS(险种!AA:AA,险种!U:U,"有效",险种!E:E,E:E)</f>
        <v>0</v>
      </c>
      <c r="AE289" s="68" t="str">
        <f>A289&amp;D289&amp;G289&amp;"目前获得"&amp;$AC$1&amp;AC:AC&amp;"名，获得"&amp;$AD$1&amp;AD:AD&amp;"名"</f>
        <v>淮南本部宗林伙伴目前获得龙虾节预收名额0名，获得龙虾节承保名额0名</v>
      </c>
      <c r="AF289" s="68">
        <f>SUMIF(认购返还案!D:D,E:E,认购返还案!E:E)</f>
        <v>200</v>
      </c>
      <c r="AG289" s="68">
        <f>_xlfn.IFS(AND(U:U&gt;=3000,U:U&lt;5000),AF:AF*0.5,U:U&gt;=5000,AF:AF*1,U:U&lt;3000,0)</f>
        <v>0</v>
      </c>
      <c r="AH289" s="68">
        <f>_xlfn.IFS(AND(V:V&gt;=3000,V:V&lt;5000),AF:AF*0.5,V:V&gt;=5000,AF:AF*1,V:V&lt;3000,0)</f>
        <v>0</v>
      </c>
      <c r="AI289" s="68" t="str">
        <f>A:A&amp;D:D&amp;G:G&amp;$AF$1&amp;AF:AF&amp;"元，目前预收价值"&amp;U:U&amp;"，"&amp;$AG$1&amp;AG:AG&amp;"元，"&amp;$AH$1&amp;AH:AH&amp;"元"</f>
        <v>淮南本部宗林伙伴冲锋队缴费金额200元，目前预收价值157.7，预收拟返还0元，承保拟返还0元</v>
      </c>
      <c r="AJ289" s="68">
        <f>SUMIF(保单!R:R,E:E,保单!BE:BE)*IF(AF:AF&gt;1,1,0)</f>
        <v>0</v>
      </c>
      <c r="AK289" s="68">
        <f>SUMIFS(保单!BE:BE,保单!R:R,E:E,保单!BB:BB,"有效")*IF(AF:AF&gt;1,1,0)</f>
        <v>0</v>
      </c>
      <c r="AL289" s="72" t="str">
        <f>A:A&amp;D:D&amp;G:G&amp;"只要在1-10日承保全部保单，即可获得"&amp;$AJ$1&amp;AJ:AJ&amp;"个"</f>
        <v>淮南本部宗林伙伴只要在1-10日承保全部保单，即可获得冲锋队按摩仪0个</v>
      </c>
    </row>
    <row r="290" spans="1:38">
      <c r="A290" s="64" t="s">
        <v>42</v>
      </c>
      <c r="B290" s="64" t="s">
        <v>43</v>
      </c>
      <c r="C290" s="64" t="s">
        <v>77</v>
      </c>
      <c r="D290" s="64" t="s">
        <v>220</v>
      </c>
      <c r="E290" s="64">
        <v>362775482</v>
      </c>
      <c r="F290" s="64" t="s">
        <v>165</v>
      </c>
      <c r="G290" s="64" t="str">
        <f>IF(OR(F:F="高级经理一级",F:F="业务经理一级"),"主管","伙伴")</f>
        <v>主管</v>
      </c>
      <c r="H290" s="65">
        <f>SUMIF(险种!E:E,E:E,险种!R:R)-SUMIFS(险种!R:R,险种!U:U,"终止",险种!E:E,E:E)</f>
        <v>0</v>
      </c>
      <c r="I290" s="65">
        <f>SUMIFS(险种!R:R,险种!U:U,"有效",险种!E:E,E:E)</f>
        <v>0</v>
      </c>
      <c r="J290" s="65">
        <f>ROUND(SUMIF(险种!E:E,E:E,险种!Q:Q)-SUMIFS(险种!Q:Q,险种!U:U,"终止",险种!E:E,E:E),1)</f>
        <v>0</v>
      </c>
      <c r="K290" s="68">
        <f>RANK(J290,J:J)</f>
        <v>22</v>
      </c>
      <c r="L290" s="65">
        <f>ROUND(SUMIFS(险种!Q:Q,险种!U:U,"有效",险种!E:E,E:E),1)</f>
        <v>0</v>
      </c>
      <c r="M290" s="68">
        <f>RANK(L290,L:L,)</f>
        <v>14</v>
      </c>
      <c r="N290" s="68">
        <f>SUMIF(险种!E:E,E:E,险种!W:W)</f>
        <v>0</v>
      </c>
      <c r="O290" s="68">
        <f>IF(N:N&gt;=1,1,0)</f>
        <v>0</v>
      </c>
      <c r="P290" s="65">
        <f>ROUND(SUMIFS(险种!Q:Q,险种!V:V,$P$1,险种!E:E,E:E),1)</f>
        <v>0</v>
      </c>
      <c r="Q290" s="68">
        <f>RANK(P290,$P:$P,0)-1</f>
        <v>5</v>
      </c>
      <c r="R290" s="68" t="str">
        <f>A:A&amp;D:D&amp;G:G&amp;"在"&amp;$P$1&amp;"预收"&amp;P:P&amp;"排名中支第"&amp;Q:Q&amp;"位"</f>
        <v>淮南本部刘继英主管在20210509预收0排名中支第5位</v>
      </c>
      <c r="S290" s="65">
        <f>ROUND(SUMIFS(险种!Q:Q,险种!E:E,E:E,险种!V:V,"&lt;=20210506")-SUMIFS(险种!Q:Q,险种!U:U,"终止",险种!E:E,E:E,险种!V:V,"&lt;=20210506"),1)</f>
        <v>0</v>
      </c>
      <c r="T290" s="65">
        <f>ROUND(SUMIFS(险种!Q:Q,险种!U:U,"有效",险种!E:E,E:E,险种!V:V,"&lt;=20210506"),1)</f>
        <v>0</v>
      </c>
      <c r="U290" s="65">
        <f>ROUND(SUMIFS(险种!Q:Q,险种!E:E,E:E,险种!V:V,"&lt;=20210510")-SUMIFS(险种!Q:Q,险种!U:U,"终止",险种!E:E,E:E,险种!V:V,"&lt;=20210510"),1)</f>
        <v>0</v>
      </c>
      <c r="V290" s="65">
        <f>ROUND(SUMIFS(险种!Q:Q,险种!U:U,"有效",险种!E:E,E:E,险种!V:V,"&lt;=20210510"),1)</f>
        <v>0</v>
      </c>
      <c r="W290" s="65">
        <f t="shared" si="5"/>
        <v>0</v>
      </c>
      <c r="X290" s="68">
        <f>SUMIF(险种!E:E,E:E,险种!Y:Y)</f>
        <v>0</v>
      </c>
      <c r="Y290" s="65">
        <f>MAX(_xlfn.IFS(OR(X:X=1,X:X=2),J:J*0.1,X:X&gt;=3,J:J*0.2,X:X=0,0),IF(J:J&gt;=20000,J:J*0.2,0))</f>
        <v>0</v>
      </c>
      <c r="Z290" s="65" t="str">
        <f>A290&amp;D290&amp;G290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淮南本部刘继英主管5.1-5.10预收价值保费0，首周预收3000P件数0件，预收拟加佣0元。温馨提示，保单需10日（含）前承保，目前还有0价值保费未承保,开单一件即可获得10%加佣</v>
      </c>
      <c r="AA290" s="68">
        <f>SUMIF(险种!E:E,E:E,险种!Z:Z)</f>
        <v>0</v>
      </c>
      <c r="AB290" s="65"/>
      <c r="AC290" s="68">
        <f>SUMIF(险种!E:E,E:E,险种!AA:AA)</f>
        <v>0</v>
      </c>
      <c r="AD290" s="68">
        <f>SUMIFS(险种!AA:AA,险种!U:U,"有效",险种!E:E,E:E)</f>
        <v>0</v>
      </c>
      <c r="AE290" s="68" t="str">
        <f>A290&amp;D290&amp;G290&amp;"目前获得"&amp;$AC$1&amp;AC:AC&amp;"名，获得"&amp;$AD$1&amp;AD:AD&amp;"名"</f>
        <v>淮南本部刘继英主管目前获得龙虾节预收名额0名，获得龙虾节承保名额0名</v>
      </c>
      <c r="AF290" s="68">
        <f>SUMIF(认购返还案!D:D,E:E,认购返还案!E:E)</f>
        <v>200</v>
      </c>
      <c r="AG290" s="68">
        <f>_xlfn.IFS(AND(U:U&gt;=3000,U:U&lt;5000),AF:AF*0.5,U:U&gt;=5000,AF:AF*1,U:U&lt;3000,0)</f>
        <v>0</v>
      </c>
      <c r="AH290" s="68">
        <f>_xlfn.IFS(AND(V:V&gt;=3000,V:V&lt;5000),AF:AF*0.5,V:V&gt;=5000,AF:AF*1,V:V&lt;3000,0)</f>
        <v>0</v>
      </c>
      <c r="AI290" s="68" t="str">
        <f>A:A&amp;D:D&amp;G:G&amp;$AF$1&amp;AF:AF&amp;"元，目前预收价值"&amp;U:U&amp;"，"&amp;$AG$1&amp;AG:AG&amp;"元，"&amp;$AH$1&amp;AH:AH&amp;"元"</f>
        <v>淮南本部刘继英主管冲锋队缴费金额200元，目前预收价值0，预收拟返还0元，承保拟返还0元</v>
      </c>
      <c r="AJ290" s="68">
        <f>SUMIF(保单!R:R,E:E,保单!BE:BE)*IF(AF:AF&gt;1,1,0)</f>
        <v>0</v>
      </c>
      <c r="AK290" s="68">
        <f>SUMIFS(保单!BE:BE,保单!R:R,E:E,保单!BB:BB,"有效")*IF(AF:AF&gt;1,1,0)</f>
        <v>0</v>
      </c>
      <c r="AL290" s="72" t="str">
        <f>A:A&amp;D:D&amp;G:G&amp;"只要在1-10日承保全部保单，即可获得"&amp;$AJ$1&amp;AJ:AJ&amp;"个"</f>
        <v>淮南本部刘继英主管只要在1-10日承保全部保单，即可获得冲锋队按摩仪0个</v>
      </c>
    </row>
    <row r="291" spans="1:38">
      <c r="A291" s="64" t="s">
        <v>27</v>
      </c>
      <c r="B291" s="64" t="s">
        <v>294</v>
      </c>
      <c r="C291" s="64" t="s">
        <v>295</v>
      </c>
      <c r="D291" s="64" t="s">
        <v>521</v>
      </c>
      <c r="E291" s="64">
        <v>360264092</v>
      </c>
      <c r="F291" s="64" t="s">
        <v>168</v>
      </c>
      <c r="G291" s="64" t="str">
        <f>IF(OR(F:F="高级经理一级",F:F="业务经理一级"),"主管","伙伴")</f>
        <v>伙伴</v>
      </c>
      <c r="H291" s="65">
        <f>SUMIF(险种!E:E,E:E,险种!R:R)-SUMIFS(险种!R:R,险种!U:U,"终止",险种!E:E,E:E)</f>
        <v>0</v>
      </c>
      <c r="I291" s="65">
        <f>SUMIFS(险种!R:R,险种!U:U,"有效",险种!E:E,E:E)</f>
        <v>0</v>
      </c>
      <c r="J291" s="65">
        <f>ROUND(SUMIF(险种!E:E,E:E,险种!Q:Q)-SUMIFS(险种!Q:Q,险种!U:U,"终止",险种!E:E,E:E),1)</f>
        <v>0</v>
      </c>
      <c r="K291" s="68">
        <f>RANK(J291,J:J)</f>
        <v>22</v>
      </c>
      <c r="L291" s="65">
        <f>ROUND(SUMIFS(险种!Q:Q,险种!U:U,"有效",险种!E:E,E:E),1)</f>
        <v>0</v>
      </c>
      <c r="M291" s="68">
        <f>RANK(L291,L:L,)</f>
        <v>14</v>
      </c>
      <c r="N291" s="68">
        <f>SUMIF(险种!E:E,E:E,险种!W:W)</f>
        <v>0</v>
      </c>
      <c r="O291" s="68">
        <f>IF(N:N&gt;=1,1,0)</f>
        <v>0</v>
      </c>
      <c r="P291" s="65">
        <f>ROUND(SUMIFS(险种!Q:Q,险种!V:V,$P$1,险种!E:E,E:E),1)</f>
        <v>0</v>
      </c>
      <c r="Q291" s="68">
        <f>RANK(P291,$P:$P,0)-1</f>
        <v>5</v>
      </c>
      <c r="R291" s="68" t="str">
        <f>A:A&amp;D:D&amp;G:G&amp;"在"&amp;$P$1&amp;"预收"&amp;P:P&amp;"排名中支第"&amp;Q:Q&amp;"位"</f>
        <v>凤台许广纺伙伴在20210509预收0排名中支第5位</v>
      </c>
      <c r="S291" s="65">
        <f>ROUND(SUMIFS(险种!Q:Q,险种!E:E,E:E,险种!V:V,"&lt;=20210506")-SUMIFS(险种!Q:Q,险种!U:U,"终止",险种!E:E,E:E,险种!V:V,"&lt;=20210506"),1)</f>
        <v>0</v>
      </c>
      <c r="T291" s="65">
        <f>ROUND(SUMIFS(险种!Q:Q,险种!U:U,"有效",险种!E:E,E:E,险种!V:V,"&lt;=20210506"),1)</f>
        <v>0</v>
      </c>
      <c r="U291" s="65">
        <f>ROUND(SUMIFS(险种!Q:Q,险种!E:E,E:E,险种!V:V,"&lt;=20210510")-SUMIFS(险种!Q:Q,险种!U:U,"终止",险种!E:E,E:E,险种!V:V,"&lt;=20210510"),1)</f>
        <v>0</v>
      </c>
      <c r="V291" s="65">
        <f>ROUND(SUMIFS(险种!Q:Q,险种!U:U,"有效",险种!E:E,E:E,险种!V:V,"&lt;=20210510"),1)</f>
        <v>0</v>
      </c>
      <c r="W291" s="65">
        <f t="shared" si="5"/>
        <v>0</v>
      </c>
      <c r="X291" s="68">
        <f>SUMIF(险种!E:E,E:E,险种!Y:Y)</f>
        <v>0</v>
      </c>
      <c r="Y291" s="65">
        <f>MAX(_xlfn.IFS(OR(X:X=1,X:X=2),J:J*0.1,X:X&gt;=3,J:J*0.2,X:X=0,0),IF(J:J&gt;=20000,J:J*0.2,0))</f>
        <v>0</v>
      </c>
      <c r="Z291" s="65" t="str">
        <f>A291&amp;D291&amp;G291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凤台许广纺伙伴5.1-5.10预收价值保费0，首周预收3000P件数0件，预收拟加佣0元。温馨提示，保单需10日（含）前承保，目前还有0价值保费未承保,开单一件即可获得10%加佣</v>
      </c>
      <c r="AA291" s="68">
        <f>SUMIF(险种!E:E,E:E,险种!Z:Z)</f>
        <v>0</v>
      </c>
      <c r="AB291" s="65"/>
      <c r="AC291" s="68">
        <f>SUMIF(险种!E:E,E:E,险种!AA:AA)</f>
        <v>0</v>
      </c>
      <c r="AD291" s="68">
        <f>SUMIFS(险种!AA:AA,险种!U:U,"有效",险种!E:E,E:E)</f>
        <v>0</v>
      </c>
      <c r="AE291" s="68" t="str">
        <f>A291&amp;D291&amp;G291&amp;"目前获得"&amp;$AC$1&amp;AC:AC&amp;"名，获得"&amp;$AD$1&amp;AD:AD&amp;"名"</f>
        <v>凤台许广纺伙伴目前获得龙虾节预收名额0名，获得龙虾节承保名额0名</v>
      </c>
      <c r="AF291" s="68">
        <f>SUMIF(认购返还案!D:D,E:E,认购返还案!E:E)</f>
        <v>0</v>
      </c>
      <c r="AG291" s="68">
        <f>_xlfn.IFS(AND(U:U&gt;=3000,U:U&lt;5000),AF:AF*0.5,U:U&gt;=5000,AF:AF*1,U:U&lt;3000,0)</f>
        <v>0</v>
      </c>
      <c r="AH291" s="68">
        <f>_xlfn.IFS(AND(V:V&gt;=3000,V:V&lt;5000),AF:AF*0.5,V:V&gt;=5000,AF:AF*1,V:V&lt;3000,0)</f>
        <v>0</v>
      </c>
      <c r="AI291" s="68" t="str">
        <f>A:A&amp;D:D&amp;G:G&amp;$AF$1&amp;AF:AF&amp;"元，目前预收价值"&amp;U:U&amp;"，"&amp;$AG$1&amp;AG:AG&amp;"元，"&amp;$AH$1&amp;AH:AH&amp;"元"</f>
        <v>凤台许广纺伙伴冲锋队缴费金额0元，目前预收价值0，预收拟返还0元，承保拟返还0元</v>
      </c>
      <c r="AJ291" s="68">
        <f>SUMIF(保单!R:R,E:E,保单!BE:BE)*IF(AF:AF&gt;1,1,0)</f>
        <v>0</v>
      </c>
      <c r="AK291" s="68">
        <f>SUMIFS(保单!BE:BE,保单!R:R,E:E,保单!BB:BB,"有效")*IF(AF:AF&gt;1,1,0)</f>
        <v>0</v>
      </c>
      <c r="AL291" s="72" t="str">
        <f>A:A&amp;D:D&amp;G:G&amp;"只要在1-10日承保全部保单，即可获得"&amp;$AJ$1&amp;AJ:AJ&amp;"个"</f>
        <v>凤台许广纺伙伴只要在1-10日承保全部保单，即可获得冲锋队按摩仪0个</v>
      </c>
    </row>
    <row r="292" spans="1:38">
      <c r="A292" s="64" t="s">
        <v>27</v>
      </c>
      <c r="B292" s="64" t="s">
        <v>100</v>
      </c>
      <c r="C292" s="64" t="s">
        <v>101</v>
      </c>
      <c r="D292" s="64" t="s">
        <v>221</v>
      </c>
      <c r="E292" s="64">
        <v>283558582</v>
      </c>
      <c r="F292" s="64" t="s">
        <v>165</v>
      </c>
      <c r="G292" s="64" t="str">
        <f>IF(OR(F:F="高级经理一级",F:F="业务经理一级"),"主管","伙伴")</f>
        <v>主管</v>
      </c>
      <c r="H292" s="65">
        <f>SUMIF(险种!E:E,E:E,险种!R:R)-SUMIFS(险种!R:R,险种!U:U,"终止",险种!E:E,E:E)</f>
        <v>0</v>
      </c>
      <c r="I292" s="65">
        <f>SUMIFS(险种!R:R,险种!U:U,"有效",险种!E:E,E:E)</f>
        <v>0</v>
      </c>
      <c r="J292" s="65">
        <f>ROUND(SUMIF(险种!E:E,E:E,险种!Q:Q)-SUMIFS(险种!Q:Q,险种!U:U,"终止",险种!E:E,E:E),1)</f>
        <v>0</v>
      </c>
      <c r="K292" s="68">
        <f>RANK(J292,J:J)</f>
        <v>22</v>
      </c>
      <c r="L292" s="65">
        <f>ROUND(SUMIFS(险种!Q:Q,险种!U:U,"有效",险种!E:E,E:E),1)</f>
        <v>0</v>
      </c>
      <c r="M292" s="68">
        <f>RANK(L292,L:L,)</f>
        <v>14</v>
      </c>
      <c r="N292" s="68">
        <f>SUMIF(险种!E:E,E:E,险种!W:W)</f>
        <v>0</v>
      </c>
      <c r="O292" s="68">
        <f>IF(N:N&gt;=1,1,0)</f>
        <v>0</v>
      </c>
      <c r="P292" s="65">
        <f>ROUND(SUMIFS(险种!Q:Q,险种!V:V,$P$1,险种!E:E,E:E),1)</f>
        <v>0</v>
      </c>
      <c r="Q292" s="68">
        <f>RANK(P292,$P:$P,0)-1</f>
        <v>5</v>
      </c>
      <c r="R292" s="68" t="str">
        <f>A:A&amp;D:D&amp;G:G&amp;"在"&amp;$P$1&amp;"预收"&amp;P:P&amp;"排名中支第"&amp;Q:Q&amp;"位"</f>
        <v>凤台左颖主管在20210509预收0排名中支第5位</v>
      </c>
      <c r="S292" s="65">
        <f>ROUND(SUMIFS(险种!Q:Q,险种!E:E,E:E,险种!V:V,"&lt;=20210506")-SUMIFS(险种!Q:Q,险种!U:U,"终止",险种!E:E,E:E,险种!V:V,"&lt;=20210506"),1)</f>
        <v>0</v>
      </c>
      <c r="T292" s="65">
        <f>ROUND(SUMIFS(险种!Q:Q,险种!U:U,"有效",险种!E:E,E:E,险种!V:V,"&lt;=20210506"),1)</f>
        <v>0</v>
      </c>
      <c r="U292" s="65">
        <f>ROUND(SUMIFS(险种!Q:Q,险种!E:E,E:E,险种!V:V,"&lt;=20210510")-SUMIFS(险种!Q:Q,险种!U:U,"终止",险种!E:E,E:E,险种!V:V,"&lt;=20210510"),1)</f>
        <v>0</v>
      </c>
      <c r="V292" s="65">
        <f>ROUND(SUMIFS(险种!Q:Q,险种!U:U,"有效",险种!E:E,E:E,险种!V:V,"&lt;=20210510"),1)</f>
        <v>0</v>
      </c>
      <c r="W292" s="65">
        <f t="shared" si="5"/>
        <v>0</v>
      </c>
      <c r="X292" s="68">
        <f>SUMIF(险种!E:E,E:E,险种!Y:Y)</f>
        <v>0</v>
      </c>
      <c r="Y292" s="65">
        <f>MAX(_xlfn.IFS(OR(X:X=1,X:X=2),J:J*0.1,X:X&gt;=3,J:J*0.2,X:X=0,0),IF(J:J&gt;=20000,J:J*0.2,0))</f>
        <v>0</v>
      </c>
      <c r="Z292" s="65" t="str">
        <f>A292&amp;D292&amp;G292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凤台左颖主管5.1-5.10预收价值保费0，首周预收3000P件数0件，预收拟加佣0元。温馨提示，保单需10日（含）前承保，目前还有0价值保费未承保,开单一件即可获得10%加佣</v>
      </c>
      <c r="AA292" s="68">
        <f>SUMIF(险种!E:E,E:E,险种!Z:Z)</f>
        <v>0</v>
      </c>
      <c r="AB292" s="65"/>
      <c r="AC292" s="68">
        <f>SUMIF(险种!E:E,E:E,险种!AA:AA)</f>
        <v>0</v>
      </c>
      <c r="AD292" s="68">
        <f>SUMIFS(险种!AA:AA,险种!U:U,"有效",险种!E:E,E:E)</f>
        <v>0</v>
      </c>
      <c r="AE292" s="68" t="str">
        <f>A292&amp;D292&amp;G292&amp;"目前获得"&amp;$AC$1&amp;AC:AC&amp;"名，获得"&amp;$AD$1&amp;AD:AD&amp;"名"</f>
        <v>凤台左颖主管目前获得龙虾节预收名额0名，获得龙虾节承保名额0名</v>
      </c>
      <c r="AF292" s="68">
        <f>SUMIF(认购返还案!D:D,E:E,认购返还案!E:E)</f>
        <v>200</v>
      </c>
      <c r="AG292" s="68">
        <f>_xlfn.IFS(AND(U:U&gt;=3000,U:U&lt;5000),AF:AF*0.5,U:U&gt;=5000,AF:AF*1,U:U&lt;3000,0)</f>
        <v>0</v>
      </c>
      <c r="AH292" s="68">
        <f>_xlfn.IFS(AND(V:V&gt;=3000,V:V&lt;5000),AF:AF*0.5,V:V&gt;=5000,AF:AF*1,V:V&lt;3000,0)</f>
        <v>0</v>
      </c>
      <c r="AI292" s="68" t="str">
        <f>A:A&amp;D:D&amp;G:G&amp;$AF$1&amp;AF:AF&amp;"元，目前预收价值"&amp;U:U&amp;"，"&amp;$AG$1&amp;AG:AG&amp;"元，"&amp;$AH$1&amp;AH:AH&amp;"元"</f>
        <v>凤台左颖主管冲锋队缴费金额200元，目前预收价值0，预收拟返还0元，承保拟返还0元</v>
      </c>
      <c r="AJ292" s="68">
        <f>SUMIF(保单!R:R,E:E,保单!BE:BE)*IF(AF:AF&gt;1,1,0)</f>
        <v>0</v>
      </c>
      <c r="AK292" s="68">
        <f>SUMIFS(保单!BE:BE,保单!R:R,E:E,保单!BB:BB,"有效")*IF(AF:AF&gt;1,1,0)</f>
        <v>0</v>
      </c>
      <c r="AL292" s="72" t="str">
        <f>A:A&amp;D:D&amp;G:G&amp;"只要在1-10日承保全部保单，即可获得"&amp;$AJ$1&amp;AJ:AJ&amp;"个"</f>
        <v>凤台左颖主管只要在1-10日承保全部保单，即可获得冲锋队按摩仪0个</v>
      </c>
    </row>
    <row r="293" spans="1:38">
      <c r="A293" s="64" t="s">
        <v>42</v>
      </c>
      <c r="B293" s="64" t="s">
        <v>518</v>
      </c>
      <c r="C293" s="64" t="s">
        <v>519</v>
      </c>
      <c r="D293" s="64" t="s">
        <v>522</v>
      </c>
      <c r="E293" s="64">
        <v>217723912</v>
      </c>
      <c r="F293" s="64" t="s">
        <v>174</v>
      </c>
      <c r="G293" s="64" t="str">
        <f>IF(OR(F:F="高级经理一级",F:F="业务经理一级"),"主管","伙伴")</f>
        <v>伙伴</v>
      </c>
      <c r="H293" s="65">
        <f>SUMIF(险种!E:E,E:E,险种!R:R)-SUMIFS(险种!R:R,险种!U:U,"终止",险种!E:E,E:E)</f>
        <v>0</v>
      </c>
      <c r="I293" s="65">
        <f>SUMIFS(险种!R:R,险种!U:U,"有效",险种!E:E,E:E)</f>
        <v>0</v>
      </c>
      <c r="J293" s="65">
        <f>ROUND(SUMIF(险种!E:E,E:E,险种!Q:Q)-SUMIFS(险种!Q:Q,险种!U:U,"终止",险种!E:E,E:E),1)</f>
        <v>0</v>
      </c>
      <c r="K293" s="68">
        <f>RANK(J293,J:J)</f>
        <v>22</v>
      </c>
      <c r="L293" s="65">
        <f>ROUND(SUMIFS(险种!Q:Q,险种!U:U,"有效",险种!E:E,E:E),1)</f>
        <v>0</v>
      </c>
      <c r="M293" s="68">
        <f>RANK(L293,L:L,)</f>
        <v>14</v>
      </c>
      <c r="N293" s="68">
        <f>SUMIF(险种!E:E,E:E,险种!W:W)</f>
        <v>0</v>
      </c>
      <c r="O293" s="68">
        <f>IF(N:N&gt;=1,1,0)</f>
        <v>0</v>
      </c>
      <c r="P293" s="65">
        <f>ROUND(SUMIFS(险种!Q:Q,险种!V:V,$P$1,险种!E:E,E:E),1)</f>
        <v>0</v>
      </c>
      <c r="Q293" s="68">
        <f>RANK(P293,$P:$P,0)-1</f>
        <v>5</v>
      </c>
      <c r="R293" s="68" t="str">
        <f>A:A&amp;D:D&amp;G:G&amp;"在"&amp;$P$1&amp;"预收"&amp;P:P&amp;"排名中支第"&amp;Q:Q&amp;"位"</f>
        <v>淮南本部韦丽丽伙伴在20210509预收0排名中支第5位</v>
      </c>
      <c r="S293" s="65">
        <f>ROUND(SUMIFS(险种!Q:Q,险种!E:E,E:E,险种!V:V,"&lt;=20210506")-SUMIFS(险种!Q:Q,险种!U:U,"终止",险种!E:E,E:E,险种!V:V,"&lt;=20210506"),1)</f>
        <v>0</v>
      </c>
      <c r="T293" s="65">
        <f>ROUND(SUMIFS(险种!Q:Q,险种!U:U,"有效",险种!E:E,E:E,险种!V:V,"&lt;=20210506"),1)</f>
        <v>0</v>
      </c>
      <c r="U293" s="65">
        <f>ROUND(SUMIFS(险种!Q:Q,险种!E:E,E:E,险种!V:V,"&lt;=20210510")-SUMIFS(险种!Q:Q,险种!U:U,"终止",险种!E:E,E:E,险种!V:V,"&lt;=20210510"),1)</f>
        <v>0</v>
      </c>
      <c r="V293" s="65">
        <f>ROUND(SUMIFS(险种!Q:Q,险种!U:U,"有效",险种!E:E,E:E,险种!V:V,"&lt;=20210510"),1)</f>
        <v>0</v>
      </c>
      <c r="W293" s="65">
        <f t="shared" si="5"/>
        <v>0</v>
      </c>
      <c r="X293" s="68">
        <f>SUMIF(险种!E:E,E:E,险种!Y:Y)</f>
        <v>0</v>
      </c>
      <c r="Y293" s="65">
        <f>MAX(_xlfn.IFS(OR(X:X=1,X:X=2),J:J*0.1,X:X&gt;=3,J:J*0.2,X:X=0,0),IF(J:J&gt;=20000,J:J*0.2,0))</f>
        <v>0</v>
      </c>
      <c r="Z293" s="65" t="str">
        <f>A293&amp;D293&amp;G293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淮南本部韦丽丽伙伴5.1-5.10预收价值保费0，首周预收3000P件数0件，预收拟加佣0元。温馨提示，保单需10日（含）前承保，目前还有0价值保费未承保,开单一件即可获得10%加佣</v>
      </c>
      <c r="AA293" s="68">
        <f>SUMIF(险种!E:E,E:E,险种!Z:Z)</f>
        <v>0</v>
      </c>
      <c r="AB293" s="65"/>
      <c r="AC293" s="68">
        <f>SUMIF(险种!E:E,E:E,险种!AA:AA)</f>
        <v>0</v>
      </c>
      <c r="AD293" s="68">
        <f>SUMIFS(险种!AA:AA,险种!U:U,"有效",险种!E:E,E:E)</f>
        <v>0</v>
      </c>
      <c r="AE293" s="68" t="str">
        <f>A293&amp;D293&amp;G293&amp;"目前获得"&amp;$AC$1&amp;AC:AC&amp;"名，获得"&amp;$AD$1&amp;AD:AD&amp;"名"</f>
        <v>淮南本部韦丽丽伙伴目前获得龙虾节预收名额0名，获得龙虾节承保名额0名</v>
      </c>
      <c r="AF293" s="68">
        <f>SUMIF(认购返还案!D:D,E:E,认购返还案!E:E)</f>
        <v>0</v>
      </c>
      <c r="AG293" s="68">
        <f>_xlfn.IFS(AND(U:U&gt;=3000,U:U&lt;5000),AF:AF*0.5,U:U&gt;=5000,AF:AF*1,U:U&lt;3000,0)</f>
        <v>0</v>
      </c>
      <c r="AH293" s="68">
        <f>_xlfn.IFS(AND(V:V&gt;=3000,V:V&lt;5000),AF:AF*0.5,V:V&gt;=5000,AF:AF*1,V:V&lt;3000,0)</f>
        <v>0</v>
      </c>
      <c r="AI293" s="68" t="str">
        <f>A:A&amp;D:D&amp;G:G&amp;$AF$1&amp;AF:AF&amp;"元，目前预收价值"&amp;U:U&amp;"，"&amp;$AG$1&amp;AG:AG&amp;"元，"&amp;$AH$1&amp;AH:AH&amp;"元"</f>
        <v>淮南本部韦丽丽伙伴冲锋队缴费金额0元，目前预收价值0，预收拟返还0元，承保拟返还0元</v>
      </c>
      <c r="AJ293" s="68">
        <f>SUMIF(保单!R:R,E:E,保单!BE:BE)*IF(AF:AF&gt;1,1,0)</f>
        <v>0</v>
      </c>
      <c r="AK293" s="68">
        <f>SUMIFS(保单!BE:BE,保单!R:R,E:E,保单!BB:BB,"有效")*IF(AF:AF&gt;1,1,0)</f>
        <v>0</v>
      </c>
      <c r="AL293" s="72" t="str">
        <f>A:A&amp;D:D&amp;G:G&amp;"只要在1-10日承保全部保单，即可获得"&amp;$AJ$1&amp;AJ:AJ&amp;"个"</f>
        <v>淮南本部韦丽丽伙伴只要在1-10日承保全部保单，即可获得冲锋队按摩仪0个</v>
      </c>
    </row>
    <row r="294" spans="1:38">
      <c r="A294" s="64" t="s">
        <v>42</v>
      </c>
      <c r="B294" s="64" t="s">
        <v>518</v>
      </c>
      <c r="C294" s="64" t="s">
        <v>519</v>
      </c>
      <c r="D294" s="64" t="s">
        <v>523</v>
      </c>
      <c r="E294" s="64">
        <v>216455102</v>
      </c>
      <c r="F294" s="64" t="s">
        <v>174</v>
      </c>
      <c r="G294" s="64" t="str">
        <f>IF(OR(F:F="高级经理一级",F:F="业务经理一级"),"主管","伙伴")</f>
        <v>伙伴</v>
      </c>
      <c r="H294" s="65">
        <f>SUMIF(险种!E:E,E:E,险种!R:R)-SUMIFS(险种!R:R,险种!U:U,"终止",险种!E:E,E:E)</f>
        <v>0</v>
      </c>
      <c r="I294" s="65">
        <f>SUMIFS(险种!R:R,险种!U:U,"有效",险种!E:E,E:E)</f>
        <v>0</v>
      </c>
      <c r="J294" s="65">
        <f>ROUND(SUMIF(险种!E:E,E:E,险种!Q:Q)-SUMIFS(险种!Q:Q,险种!U:U,"终止",险种!E:E,E:E),1)</f>
        <v>0</v>
      </c>
      <c r="K294" s="68">
        <f>RANK(J294,J:J)</f>
        <v>22</v>
      </c>
      <c r="L294" s="65">
        <f>ROUND(SUMIFS(险种!Q:Q,险种!U:U,"有效",险种!E:E,E:E),1)</f>
        <v>0</v>
      </c>
      <c r="M294" s="68">
        <f>RANK(L294,L:L,)</f>
        <v>14</v>
      </c>
      <c r="N294" s="68">
        <f>SUMIF(险种!E:E,E:E,险种!W:W)</f>
        <v>0</v>
      </c>
      <c r="O294" s="68">
        <f>IF(N:N&gt;=1,1,0)</f>
        <v>0</v>
      </c>
      <c r="P294" s="65">
        <f>ROUND(SUMIFS(险种!Q:Q,险种!V:V,$P$1,险种!E:E,E:E),1)</f>
        <v>0</v>
      </c>
      <c r="Q294" s="68">
        <f>RANK(P294,$P:$P,0)-1</f>
        <v>5</v>
      </c>
      <c r="R294" s="68" t="str">
        <f>A:A&amp;D:D&amp;G:G&amp;"在"&amp;$P$1&amp;"预收"&amp;P:P&amp;"排名中支第"&amp;Q:Q&amp;"位"</f>
        <v>淮南本部颜世霞伙伴在20210509预收0排名中支第5位</v>
      </c>
      <c r="S294" s="65">
        <f>ROUND(SUMIFS(险种!Q:Q,险种!E:E,E:E,险种!V:V,"&lt;=20210506")-SUMIFS(险种!Q:Q,险种!U:U,"终止",险种!E:E,E:E,险种!V:V,"&lt;=20210506"),1)</f>
        <v>0</v>
      </c>
      <c r="T294" s="65">
        <f>ROUND(SUMIFS(险种!Q:Q,险种!U:U,"有效",险种!E:E,E:E,险种!V:V,"&lt;=20210506"),1)</f>
        <v>0</v>
      </c>
      <c r="U294" s="65">
        <f>ROUND(SUMIFS(险种!Q:Q,险种!E:E,E:E,险种!V:V,"&lt;=20210510")-SUMIFS(险种!Q:Q,险种!U:U,"终止",险种!E:E,E:E,险种!V:V,"&lt;=20210510"),1)</f>
        <v>0</v>
      </c>
      <c r="V294" s="65">
        <f>ROUND(SUMIFS(险种!Q:Q,险种!U:U,"有效",险种!E:E,E:E,险种!V:V,"&lt;=20210510"),1)</f>
        <v>0</v>
      </c>
      <c r="W294" s="65">
        <f t="shared" si="5"/>
        <v>0</v>
      </c>
      <c r="X294" s="68">
        <f>SUMIF(险种!E:E,E:E,险种!Y:Y)</f>
        <v>0</v>
      </c>
      <c r="Y294" s="65">
        <f>MAX(_xlfn.IFS(OR(X:X=1,X:X=2),J:J*0.1,X:X&gt;=3,J:J*0.2,X:X=0,0),IF(J:J&gt;=20000,J:J*0.2,0))</f>
        <v>0</v>
      </c>
      <c r="Z294" s="65" t="str">
        <f>A294&amp;D294&amp;G294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淮南本部颜世霞伙伴5.1-5.10预收价值保费0，首周预收3000P件数0件，预收拟加佣0元。温馨提示，保单需10日（含）前承保，目前还有0价值保费未承保,开单一件即可获得10%加佣</v>
      </c>
      <c r="AA294" s="68">
        <f>SUMIF(险种!E:E,E:E,险种!Z:Z)</f>
        <v>0</v>
      </c>
      <c r="AB294" s="65"/>
      <c r="AC294" s="68">
        <f>SUMIF(险种!E:E,E:E,险种!AA:AA)</f>
        <v>0</v>
      </c>
      <c r="AD294" s="68">
        <f>SUMIFS(险种!AA:AA,险种!U:U,"有效",险种!E:E,E:E)</f>
        <v>0</v>
      </c>
      <c r="AE294" s="68" t="str">
        <f>A294&amp;D294&amp;G294&amp;"目前获得"&amp;$AC$1&amp;AC:AC&amp;"名，获得"&amp;$AD$1&amp;AD:AD&amp;"名"</f>
        <v>淮南本部颜世霞伙伴目前获得龙虾节预收名额0名，获得龙虾节承保名额0名</v>
      </c>
      <c r="AF294" s="68">
        <f>SUMIF(认购返还案!D:D,E:E,认购返还案!E:E)</f>
        <v>0</v>
      </c>
      <c r="AG294" s="68">
        <f>_xlfn.IFS(AND(U:U&gt;=3000,U:U&lt;5000),AF:AF*0.5,U:U&gt;=5000,AF:AF*1,U:U&lt;3000,0)</f>
        <v>0</v>
      </c>
      <c r="AH294" s="68">
        <f>_xlfn.IFS(AND(V:V&gt;=3000,V:V&lt;5000),AF:AF*0.5,V:V&gt;=5000,AF:AF*1,V:V&lt;3000,0)</f>
        <v>0</v>
      </c>
      <c r="AI294" s="68" t="str">
        <f>A:A&amp;D:D&amp;G:G&amp;$AF$1&amp;AF:AF&amp;"元，目前预收价值"&amp;U:U&amp;"，"&amp;$AG$1&amp;AG:AG&amp;"元，"&amp;$AH$1&amp;AH:AH&amp;"元"</f>
        <v>淮南本部颜世霞伙伴冲锋队缴费金额0元，目前预收价值0，预收拟返还0元，承保拟返还0元</v>
      </c>
      <c r="AJ294" s="68">
        <f>SUMIF(保单!R:R,E:E,保单!BE:BE)*IF(AF:AF&gt;1,1,0)</f>
        <v>0</v>
      </c>
      <c r="AK294" s="68">
        <f>SUMIFS(保单!BE:BE,保单!R:R,E:E,保单!BB:BB,"有效")*IF(AF:AF&gt;1,1,0)</f>
        <v>0</v>
      </c>
      <c r="AL294" s="72" t="str">
        <f>A:A&amp;D:D&amp;G:G&amp;"只要在1-10日承保全部保单，即可获得"&amp;$AJ$1&amp;AJ:AJ&amp;"个"</f>
        <v>淮南本部颜世霞伙伴只要在1-10日承保全部保单，即可获得冲锋队按摩仪0个</v>
      </c>
    </row>
    <row r="295" spans="1:38">
      <c r="A295" s="64" t="s">
        <v>42</v>
      </c>
      <c r="B295" s="64" t="s">
        <v>43</v>
      </c>
      <c r="C295" s="64" t="s">
        <v>44</v>
      </c>
      <c r="D295" s="64" t="s">
        <v>524</v>
      </c>
      <c r="E295" s="64">
        <v>164606852</v>
      </c>
      <c r="F295" s="64" t="s">
        <v>168</v>
      </c>
      <c r="G295" s="64" t="str">
        <f>IF(OR(F:F="高级经理一级",F:F="业务经理一级"),"主管","伙伴")</f>
        <v>伙伴</v>
      </c>
      <c r="H295" s="65">
        <f>SUMIF(险种!E:E,E:E,险种!R:R)-SUMIFS(险种!R:R,险种!U:U,"终止",险种!E:E,E:E)</f>
        <v>0</v>
      </c>
      <c r="I295" s="65">
        <f>SUMIFS(险种!R:R,险种!U:U,"有效",险种!E:E,E:E)</f>
        <v>0</v>
      </c>
      <c r="J295" s="65">
        <f>ROUND(SUMIF(险种!E:E,E:E,险种!Q:Q)-SUMIFS(险种!Q:Q,险种!U:U,"终止",险种!E:E,E:E),1)</f>
        <v>0</v>
      </c>
      <c r="K295" s="68">
        <f>RANK(J295,J:J)</f>
        <v>22</v>
      </c>
      <c r="L295" s="65">
        <f>ROUND(SUMIFS(险种!Q:Q,险种!U:U,"有效",险种!E:E,E:E),1)</f>
        <v>0</v>
      </c>
      <c r="M295" s="68">
        <f>RANK(L295,L:L,)</f>
        <v>14</v>
      </c>
      <c r="N295" s="68">
        <f>SUMIF(险种!E:E,E:E,险种!W:W)</f>
        <v>0</v>
      </c>
      <c r="O295" s="68">
        <f>IF(N:N&gt;=1,1,0)</f>
        <v>0</v>
      </c>
      <c r="P295" s="65">
        <f>ROUND(SUMIFS(险种!Q:Q,险种!V:V,$P$1,险种!E:E,E:E),1)</f>
        <v>0</v>
      </c>
      <c r="Q295" s="68">
        <f>RANK(P295,$P:$P,0)-1</f>
        <v>5</v>
      </c>
      <c r="R295" s="68" t="str">
        <f>A:A&amp;D:D&amp;G:G&amp;"在"&amp;$P$1&amp;"预收"&amp;P:P&amp;"排名中支第"&amp;Q:Q&amp;"位"</f>
        <v>淮南本部杨会玲伙伴在20210509预收0排名中支第5位</v>
      </c>
      <c r="S295" s="65">
        <f>ROUND(SUMIFS(险种!Q:Q,险种!E:E,E:E,险种!V:V,"&lt;=20210506")-SUMIFS(险种!Q:Q,险种!U:U,"终止",险种!E:E,E:E,险种!V:V,"&lt;=20210506"),1)</f>
        <v>0</v>
      </c>
      <c r="T295" s="65">
        <f>ROUND(SUMIFS(险种!Q:Q,险种!U:U,"有效",险种!E:E,E:E,险种!V:V,"&lt;=20210506"),1)</f>
        <v>0</v>
      </c>
      <c r="U295" s="65">
        <f>ROUND(SUMIFS(险种!Q:Q,险种!E:E,E:E,险种!V:V,"&lt;=20210510")-SUMIFS(险种!Q:Q,险种!U:U,"终止",险种!E:E,E:E,险种!V:V,"&lt;=20210510"),1)</f>
        <v>0</v>
      </c>
      <c r="V295" s="65">
        <f>ROUND(SUMIFS(险种!Q:Q,险种!U:U,"有效",险种!E:E,E:E,险种!V:V,"&lt;=20210510"),1)</f>
        <v>0</v>
      </c>
      <c r="W295" s="65">
        <f t="shared" si="5"/>
        <v>0</v>
      </c>
      <c r="X295" s="68">
        <f>SUMIF(险种!E:E,E:E,险种!Y:Y)</f>
        <v>0</v>
      </c>
      <c r="Y295" s="65">
        <f>MAX(_xlfn.IFS(OR(X:X=1,X:X=2),J:J*0.1,X:X&gt;=3,J:J*0.2,X:X=0,0),IF(J:J&gt;=20000,J:J*0.2,0))</f>
        <v>0</v>
      </c>
      <c r="Z295" s="65" t="str">
        <f>A295&amp;D295&amp;G295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淮南本部杨会玲伙伴5.1-5.10预收价值保费0，首周预收3000P件数0件，预收拟加佣0元。温馨提示，保单需10日（含）前承保，目前还有0价值保费未承保,开单一件即可获得10%加佣</v>
      </c>
      <c r="AA295" s="68">
        <f>SUMIF(险种!E:E,E:E,险种!Z:Z)</f>
        <v>0</v>
      </c>
      <c r="AB295" s="65"/>
      <c r="AC295" s="68">
        <f>SUMIF(险种!E:E,E:E,险种!AA:AA)</f>
        <v>0</v>
      </c>
      <c r="AD295" s="68">
        <f>SUMIFS(险种!AA:AA,险种!U:U,"有效",险种!E:E,E:E)</f>
        <v>0</v>
      </c>
      <c r="AE295" s="68" t="str">
        <f>A295&amp;D295&amp;G295&amp;"目前获得"&amp;$AC$1&amp;AC:AC&amp;"名，获得"&amp;$AD$1&amp;AD:AD&amp;"名"</f>
        <v>淮南本部杨会玲伙伴目前获得龙虾节预收名额0名，获得龙虾节承保名额0名</v>
      </c>
      <c r="AF295" s="68">
        <f>SUMIF(认购返还案!D:D,E:E,认购返还案!E:E)</f>
        <v>200</v>
      </c>
      <c r="AG295" s="68">
        <f>_xlfn.IFS(AND(U:U&gt;=3000,U:U&lt;5000),AF:AF*0.5,U:U&gt;=5000,AF:AF*1,U:U&lt;3000,0)</f>
        <v>0</v>
      </c>
      <c r="AH295" s="68">
        <f>_xlfn.IFS(AND(V:V&gt;=3000,V:V&lt;5000),AF:AF*0.5,V:V&gt;=5000,AF:AF*1,V:V&lt;3000,0)</f>
        <v>0</v>
      </c>
      <c r="AI295" s="68" t="str">
        <f>A:A&amp;D:D&amp;G:G&amp;$AF$1&amp;AF:AF&amp;"元，目前预收价值"&amp;U:U&amp;"，"&amp;$AG$1&amp;AG:AG&amp;"元，"&amp;$AH$1&amp;AH:AH&amp;"元"</f>
        <v>淮南本部杨会玲伙伴冲锋队缴费金额200元，目前预收价值0，预收拟返还0元，承保拟返还0元</v>
      </c>
      <c r="AJ295" s="68">
        <f>SUMIF(保单!R:R,E:E,保单!BE:BE)*IF(AF:AF&gt;1,1,0)</f>
        <v>0</v>
      </c>
      <c r="AK295" s="68">
        <f>SUMIFS(保单!BE:BE,保单!R:R,E:E,保单!BB:BB,"有效")*IF(AF:AF&gt;1,1,0)</f>
        <v>0</v>
      </c>
      <c r="AL295" s="72" t="str">
        <f>A:A&amp;D:D&amp;G:G&amp;"只要在1-10日承保全部保单，即可获得"&amp;$AJ$1&amp;AJ:AJ&amp;"个"</f>
        <v>淮南本部杨会玲伙伴只要在1-10日承保全部保单，即可获得冲锋队按摩仪0个</v>
      </c>
    </row>
    <row r="296" spans="1:38">
      <c r="A296" s="64" t="s">
        <v>27</v>
      </c>
      <c r="B296" s="64" t="s">
        <v>94</v>
      </c>
      <c r="C296" s="64" t="s">
        <v>525</v>
      </c>
      <c r="D296" s="64" t="s">
        <v>526</v>
      </c>
      <c r="E296" s="64">
        <v>105176282</v>
      </c>
      <c r="F296" s="64" t="s">
        <v>174</v>
      </c>
      <c r="G296" s="64" t="str">
        <f>IF(OR(F:F="高级经理一级",F:F="业务经理一级"),"主管","伙伴")</f>
        <v>伙伴</v>
      </c>
      <c r="H296" s="65">
        <f>SUMIF(险种!E:E,E:E,险种!R:R)-SUMIFS(险种!R:R,险种!U:U,"终止",险种!E:E,E:E)</f>
        <v>0</v>
      </c>
      <c r="I296" s="65">
        <f>SUMIFS(险种!R:R,险种!U:U,"有效",险种!E:E,E:E)</f>
        <v>0</v>
      </c>
      <c r="J296" s="65">
        <f>ROUND(SUMIF(险种!E:E,E:E,险种!Q:Q)-SUMIFS(险种!Q:Q,险种!U:U,"终止",险种!E:E,E:E),1)</f>
        <v>0</v>
      </c>
      <c r="K296" s="68">
        <f>RANK(J296,J:J)</f>
        <v>22</v>
      </c>
      <c r="L296" s="65">
        <f>ROUND(SUMIFS(险种!Q:Q,险种!U:U,"有效",险种!E:E,E:E),1)</f>
        <v>0</v>
      </c>
      <c r="M296" s="68">
        <f>RANK(L296,L:L,)</f>
        <v>14</v>
      </c>
      <c r="N296" s="68">
        <f>SUMIF(险种!E:E,E:E,险种!W:W)</f>
        <v>0</v>
      </c>
      <c r="O296" s="68">
        <f>IF(N:N&gt;=1,1,0)</f>
        <v>0</v>
      </c>
      <c r="P296" s="65">
        <f>ROUND(SUMIFS(险种!Q:Q,险种!V:V,$P$1,险种!E:E,E:E),1)</f>
        <v>0</v>
      </c>
      <c r="Q296" s="68">
        <f>RANK(P296,$P:$P,0)-1</f>
        <v>5</v>
      </c>
      <c r="R296" s="68" t="str">
        <f>A:A&amp;D:D&amp;G:G&amp;"在"&amp;$P$1&amp;"预收"&amp;P:P&amp;"排名中支第"&amp;Q:Q&amp;"位"</f>
        <v>凤台武保米伙伴在20210509预收0排名中支第5位</v>
      </c>
      <c r="S296" s="65">
        <f>ROUND(SUMIFS(险种!Q:Q,险种!E:E,E:E,险种!V:V,"&lt;=20210506")-SUMIFS(险种!Q:Q,险种!U:U,"终止",险种!E:E,E:E,险种!V:V,"&lt;=20210506"),1)</f>
        <v>0</v>
      </c>
      <c r="T296" s="65">
        <f>ROUND(SUMIFS(险种!Q:Q,险种!U:U,"有效",险种!E:E,E:E,险种!V:V,"&lt;=20210506"),1)</f>
        <v>0</v>
      </c>
      <c r="U296" s="65">
        <f>ROUND(SUMIFS(险种!Q:Q,险种!E:E,E:E,险种!V:V,"&lt;=20210510")-SUMIFS(险种!Q:Q,险种!U:U,"终止",险种!E:E,E:E,险种!V:V,"&lt;=20210510"),1)</f>
        <v>0</v>
      </c>
      <c r="V296" s="65">
        <f>ROUND(SUMIFS(险种!Q:Q,险种!U:U,"有效",险种!E:E,E:E,险种!V:V,"&lt;=20210510"),1)</f>
        <v>0</v>
      </c>
      <c r="W296" s="65">
        <f t="shared" si="5"/>
        <v>0</v>
      </c>
      <c r="X296" s="68">
        <f>SUMIF(险种!E:E,E:E,险种!Y:Y)</f>
        <v>0</v>
      </c>
      <c r="Y296" s="65">
        <f>MAX(_xlfn.IFS(OR(X:X=1,X:X=2),J:J*0.1,X:X&gt;=3,J:J*0.2,X:X=0,0),IF(J:J&gt;=20000,J:J*0.2,0))</f>
        <v>0</v>
      </c>
      <c r="Z296" s="65" t="str">
        <f>A296&amp;D296&amp;G296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凤台武保米伙伴5.1-5.10预收价值保费0，首周预收3000P件数0件，预收拟加佣0元。温馨提示，保单需10日（含）前承保，目前还有0价值保费未承保,开单一件即可获得10%加佣</v>
      </c>
      <c r="AA296" s="68">
        <f>SUMIF(险种!E:E,E:E,险种!Z:Z)</f>
        <v>0</v>
      </c>
      <c r="AB296" s="65"/>
      <c r="AC296" s="68">
        <f>SUMIF(险种!E:E,E:E,险种!AA:AA)</f>
        <v>0</v>
      </c>
      <c r="AD296" s="68">
        <f>SUMIFS(险种!AA:AA,险种!U:U,"有效",险种!E:E,E:E)</f>
        <v>0</v>
      </c>
      <c r="AE296" s="68" t="str">
        <f>A296&amp;D296&amp;G296&amp;"目前获得"&amp;$AC$1&amp;AC:AC&amp;"名，获得"&amp;$AD$1&amp;AD:AD&amp;"名"</f>
        <v>凤台武保米伙伴目前获得龙虾节预收名额0名，获得龙虾节承保名额0名</v>
      </c>
      <c r="AF296" s="68">
        <f>SUMIF(认购返还案!D:D,E:E,认购返还案!E:E)</f>
        <v>200</v>
      </c>
      <c r="AG296" s="68">
        <f>_xlfn.IFS(AND(U:U&gt;=3000,U:U&lt;5000),AF:AF*0.5,U:U&gt;=5000,AF:AF*1,U:U&lt;3000,0)</f>
        <v>0</v>
      </c>
      <c r="AH296" s="68">
        <f>_xlfn.IFS(AND(V:V&gt;=3000,V:V&lt;5000),AF:AF*0.5,V:V&gt;=5000,AF:AF*1,V:V&lt;3000,0)</f>
        <v>0</v>
      </c>
      <c r="AI296" s="68" t="str">
        <f>A:A&amp;D:D&amp;G:G&amp;$AF$1&amp;AF:AF&amp;"元，目前预收价值"&amp;U:U&amp;"，"&amp;$AG$1&amp;AG:AG&amp;"元，"&amp;$AH$1&amp;AH:AH&amp;"元"</f>
        <v>凤台武保米伙伴冲锋队缴费金额200元，目前预收价值0，预收拟返还0元，承保拟返还0元</v>
      </c>
      <c r="AJ296" s="68">
        <f>SUMIF(保单!R:R,E:E,保单!BE:BE)*IF(AF:AF&gt;1,1,0)</f>
        <v>0</v>
      </c>
      <c r="AK296" s="68">
        <f>SUMIFS(保单!BE:BE,保单!R:R,E:E,保单!BB:BB,"有效")*IF(AF:AF&gt;1,1,0)</f>
        <v>0</v>
      </c>
      <c r="AL296" s="72" t="str">
        <f>A:A&amp;D:D&amp;G:G&amp;"只要在1-10日承保全部保单，即可获得"&amp;$AJ$1&amp;AJ:AJ&amp;"个"</f>
        <v>凤台武保米伙伴只要在1-10日承保全部保单，即可获得冲锋队按摩仪0个</v>
      </c>
    </row>
    <row r="297" spans="1:38">
      <c r="A297" s="64" t="s">
        <v>42</v>
      </c>
      <c r="B297" s="64" t="s">
        <v>66</v>
      </c>
      <c r="C297" s="64" t="s">
        <v>343</v>
      </c>
      <c r="D297" s="64" t="s">
        <v>527</v>
      </c>
      <c r="E297" s="64">
        <v>87256542</v>
      </c>
      <c r="F297" s="64" t="s">
        <v>168</v>
      </c>
      <c r="G297" s="64" t="str">
        <f>IF(OR(F:F="高级经理一级",F:F="业务经理一级"),"主管","伙伴")</f>
        <v>伙伴</v>
      </c>
      <c r="H297" s="65">
        <f>SUMIF(险种!E:E,E:E,险种!R:R)-SUMIFS(险种!R:R,险种!U:U,"终止",险种!E:E,E:E)</f>
        <v>0</v>
      </c>
      <c r="I297" s="65">
        <f>SUMIFS(险种!R:R,险种!U:U,"有效",险种!E:E,E:E)</f>
        <v>0</v>
      </c>
      <c r="J297" s="65">
        <f>ROUND(SUMIF(险种!E:E,E:E,险种!Q:Q)-SUMIFS(险种!Q:Q,险种!U:U,"终止",险种!E:E,E:E),1)</f>
        <v>0</v>
      </c>
      <c r="K297" s="68">
        <f>RANK(J297,J:J)</f>
        <v>22</v>
      </c>
      <c r="L297" s="65">
        <f>ROUND(SUMIFS(险种!Q:Q,险种!U:U,"有效",险种!E:E,E:E),1)</f>
        <v>0</v>
      </c>
      <c r="M297" s="68">
        <f>RANK(L297,L:L,)</f>
        <v>14</v>
      </c>
      <c r="N297" s="68">
        <f>SUMIF(险种!E:E,E:E,险种!W:W)</f>
        <v>0</v>
      </c>
      <c r="O297" s="68">
        <f>IF(N:N&gt;=1,1,0)</f>
        <v>0</v>
      </c>
      <c r="P297" s="65">
        <f>ROUND(SUMIFS(险种!Q:Q,险种!V:V,$P$1,险种!E:E,E:E),1)</f>
        <v>0</v>
      </c>
      <c r="Q297" s="68">
        <f>RANK(P297,$P:$P,0)-1</f>
        <v>5</v>
      </c>
      <c r="R297" s="68" t="str">
        <f>A:A&amp;D:D&amp;G:G&amp;"在"&amp;$P$1&amp;"预收"&amp;P:P&amp;"排名中支第"&amp;Q:Q&amp;"位"</f>
        <v>淮南本部常萍伙伴在20210509预收0排名中支第5位</v>
      </c>
      <c r="S297" s="65">
        <f>ROUND(SUMIFS(险种!Q:Q,险种!E:E,E:E,险种!V:V,"&lt;=20210506")-SUMIFS(险种!Q:Q,险种!U:U,"终止",险种!E:E,E:E,险种!V:V,"&lt;=20210506"),1)</f>
        <v>0</v>
      </c>
      <c r="T297" s="65">
        <f>ROUND(SUMIFS(险种!Q:Q,险种!U:U,"有效",险种!E:E,E:E,险种!V:V,"&lt;=20210506"),1)</f>
        <v>0</v>
      </c>
      <c r="U297" s="65">
        <f>ROUND(SUMIFS(险种!Q:Q,险种!E:E,E:E,险种!V:V,"&lt;=20210510")-SUMIFS(险种!Q:Q,险种!U:U,"终止",险种!E:E,E:E,险种!V:V,"&lt;=20210510"),1)</f>
        <v>0</v>
      </c>
      <c r="V297" s="65">
        <f>ROUND(SUMIFS(险种!Q:Q,险种!U:U,"有效",险种!E:E,E:E,险种!V:V,"&lt;=20210510"),1)</f>
        <v>0</v>
      </c>
      <c r="W297" s="65">
        <f t="shared" si="5"/>
        <v>0</v>
      </c>
      <c r="X297" s="68">
        <f>SUMIF(险种!E:E,E:E,险种!Y:Y)</f>
        <v>0</v>
      </c>
      <c r="Y297" s="65">
        <f>MAX(_xlfn.IFS(OR(X:X=1,X:X=2),J:J*0.1,X:X&gt;=3,J:J*0.2,X:X=0,0),IF(J:J&gt;=20000,J:J*0.2,0))</f>
        <v>0</v>
      </c>
      <c r="Z297" s="65" t="str">
        <f>A297&amp;D297&amp;G297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淮南本部常萍伙伴5.1-5.10预收价值保费0，首周预收3000P件数0件，预收拟加佣0元。温馨提示，保单需10日（含）前承保，目前还有0价值保费未承保,开单一件即可获得10%加佣</v>
      </c>
      <c r="AA297" s="68">
        <f>SUMIF(险种!E:E,E:E,险种!Z:Z)</f>
        <v>0</v>
      </c>
      <c r="AB297" s="65"/>
      <c r="AC297" s="68">
        <f>SUMIF(险种!E:E,E:E,险种!AA:AA)</f>
        <v>0</v>
      </c>
      <c r="AD297" s="68">
        <f>SUMIFS(险种!AA:AA,险种!U:U,"有效",险种!E:E,E:E)</f>
        <v>0</v>
      </c>
      <c r="AE297" s="68" t="str">
        <f>A297&amp;D297&amp;G297&amp;"目前获得"&amp;$AC$1&amp;AC:AC&amp;"名，获得"&amp;$AD$1&amp;AD:AD&amp;"名"</f>
        <v>淮南本部常萍伙伴目前获得龙虾节预收名额0名，获得龙虾节承保名额0名</v>
      </c>
      <c r="AF297" s="68">
        <f>SUMIF(认购返还案!D:D,E:E,认购返还案!E:E)</f>
        <v>0</v>
      </c>
      <c r="AG297" s="68">
        <f>_xlfn.IFS(AND(U:U&gt;=3000,U:U&lt;5000),AF:AF*0.5,U:U&gt;=5000,AF:AF*1,U:U&lt;3000,0)</f>
        <v>0</v>
      </c>
      <c r="AH297" s="68">
        <f>_xlfn.IFS(AND(V:V&gt;=3000,V:V&lt;5000),AF:AF*0.5,V:V&gt;=5000,AF:AF*1,V:V&lt;3000,0)</f>
        <v>0</v>
      </c>
      <c r="AI297" s="68" t="str">
        <f>A:A&amp;D:D&amp;G:G&amp;$AF$1&amp;AF:AF&amp;"元，目前预收价值"&amp;U:U&amp;"，"&amp;$AG$1&amp;AG:AG&amp;"元，"&amp;$AH$1&amp;AH:AH&amp;"元"</f>
        <v>淮南本部常萍伙伴冲锋队缴费金额0元，目前预收价值0，预收拟返还0元，承保拟返还0元</v>
      </c>
      <c r="AJ297" s="68">
        <f>SUMIF(保单!R:R,E:E,保单!BE:BE)*IF(AF:AF&gt;1,1,0)</f>
        <v>0</v>
      </c>
      <c r="AK297" s="68">
        <f>SUMIFS(保单!BE:BE,保单!R:R,E:E,保单!BB:BB,"有效")*IF(AF:AF&gt;1,1,0)</f>
        <v>0</v>
      </c>
      <c r="AL297" s="72" t="str">
        <f>A:A&amp;D:D&amp;G:G&amp;"只要在1-10日承保全部保单，即可获得"&amp;$AJ$1&amp;AJ:AJ&amp;"个"</f>
        <v>淮南本部常萍伙伴只要在1-10日承保全部保单，即可获得冲锋队按摩仪0个</v>
      </c>
    </row>
    <row r="298" spans="1:38">
      <c r="A298" s="64" t="s">
        <v>42</v>
      </c>
      <c r="B298" s="64" t="s">
        <v>43</v>
      </c>
      <c r="C298" s="64" t="s">
        <v>44</v>
      </c>
      <c r="D298" s="64" t="s">
        <v>528</v>
      </c>
      <c r="E298" s="64">
        <v>86051232</v>
      </c>
      <c r="F298" s="64" t="s">
        <v>168</v>
      </c>
      <c r="G298" s="64" t="str">
        <f>IF(OR(F:F="高级经理一级",F:F="业务经理一级"),"主管","伙伴")</f>
        <v>伙伴</v>
      </c>
      <c r="H298" s="65">
        <f>SUMIF(险种!E:E,E:E,险种!R:R)-SUMIFS(险种!R:R,险种!U:U,"终止",险种!E:E,E:E)</f>
        <v>0</v>
      </c>
      <c r="I298" s="65">
        <f>SUMIFS(险种!R:R,险种!U:U,"有效",险种!E:E,E:E)</f>
        <v>0</v>
      </c>
      <c r="J298" s="65">
        <f>ROUND(SUMIF(险种!E:E,E:E,险种!Q:Q)-SUMIFS(险种!Q:Q,险种!U:U,"终止",险种!E:E,E:E),1)</f>
        <v>0</v>
      </c>
      <c r="K298" s="68">
        <f>RANK(J298,J:J)</f>
        <v>22</v>
      </c>
      <c r="L298" s="65">
        <f>ROUND(SUMIFS(险种!Q:Q,险种!U:U,"有效",险种!E:E,E:E),1)</f>
        <v>0</v>
      </c>
      <c r="M298" s="68">
        <f>RANK(L298,L:L,)</f>
        <v>14</v>
      </c>
      <c r="N298" s="68">
        <f>SUMIF(险种!E:E,E:E,险种!W:W)</f>
        <v>0</v>
      </c>
      <c r="O298" s="68">
        <f>IF(N:N&gt;=1,1,0)</f>
        <v>0</v>
      </c>
      <c r="P298" s="65">
        <f>ROUND(SUMIFS(险种!Q:Q,险种!V:V,$P$1,险种!E:E,E:E),1)</f>
        <v>0</v>
      </c>
      <c r="Q298" s="68">
        <f>RANK(P298,$P:$P,0)-1</f>
        <v>5</v>
      </c>
      <c r="R298" s="68" t="str">
        <f>A:A&amp;D:D&amp;G:G&amp;"在"&amp;$P$1&amp;"预收"&amp;P:P&amp;"排名中支第"&amp;Q:Q&amp;"位"</f>
        <v>淮南本部蔡士兰伙伴在20210509预收0排名中支第5位</v>
      </c>
      <c r="S298" s="65">
        <f>ROUND(SUMIFS(险种!Q:Q,险种!E:E,E:E,险种!V:V,"&lt;=20210506")-SUMIFS(险种!Q:Q,险种!U:U,"终止",险种!E:E,E:E,险种!V:V,"&lt;=20210506"),1)</f>
        <v>0</v>
      </c>
      <c r="T298" s="65">
        <f>ROUND(SUMIFS(险种!Q:Q,险种!U:U,"有效",险种!E:E,E:E,险种!V:V,"&lt;=20210506"),1)</f>
        <v>0</v>
      </c>
      <c r="U298" s="65">
        <f>ROUND(SUMIFS(险种!Q:Q,险种!E:E,E:E,险种!V:V,"&lt;=20210510")-SUMIFS(险种!Q:Q,险种!U:U,"终止",险种!E:E,E:E,险种!V:V,"&lt;=20210510"),1)</f>
        <v>0</v>
      </c>
      <c r="V298" s="65">
        <f>ROUND(SUMIFS(险种!Q:Q,险种!U:U,"有效",险种!E:E,E:E,险种!V:V,"&lt;=20210510"),1)</f>
        <v>0</v>
      </c>
      <c r="W298" s="65">
        <f t="shared" si="5"/>
        <v>0</v>
      </c>
      <c r="X298" s="68">
        <f>SUMIF(险种!E:E,E:E,险种!Y:Y)</f>
        <v>0</v>
      </c>
      <c r="Y298" s="65">
        <f>MAX(_xlfn.IFS(OR(X:X=1,X:X=2),J:J*0.1,X:X&gt;=3,J:J*0.2,X:X=0,0),IF(J:J&gt;=20000,J:J*0.2,0))</f>
        <v>0</v>
      </c>
      <c r="Z298" s="65" t="str">
        <f>A298&amp;D298&amp;G298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淮南本部蔡士兰伙伴5.1-5.10预收价值保费0，首周预收3000P件数0件，预收拟加佣0元。温馨提示，保单需10日（含）前承保，目前还有0价值保费未承保,开单一件即可获得10%加佣</v>
      </c>
      <c r="AA298" s="68">
        <f>SUMIF(险种!E:E,E:E,险种!Z:Z)</f>
        <v>0</v>
      </c>
      <c r="AB298" s="65"/>
      <c r="AC298" s="68">
        <f>SUMIF(险种!E:E,E:E,险种!AA:AA)</f>
        <v>0</v>
      </c>
      <c r="AD298" s="68">
        <f>SUMIFS(险种!AA:AA,险种!U:U,"有效",险种!E:E,E:E)</f>
        <v>0</v>
      </c>
      <c r="AE298" s="68" t="str">
        <f>A298&amp;D298&amp;G298&amp;"目前获得"&amp;$AC$1&amp;AC:AC&amp;"名，获得"&amp;$AD$1&amp;AD:AD&amp;"名"</f>
        <v>淮南本部蔡士兰伙伴目前获得龙虾节预收名额0名，获得龙虾节承保名额0名</v>
      </c>
      <c r="AF298" s="68">
        <f>SUMIF(认购返还案!D:D,E:E,认购返还案!E:E)</f>
        <v>200</v>
      </c>
      <c r="AG298" s="68">
        <f>_xlfn.IFS(AND(U:U&gt;=3000,U:U&lt;5000),AF:AF*0.5,U:U&gt;=5000,AF:AF*1,U:U&lt;3000,0)</f>
        <v>0</v>
      </c>
      <c r="AH298" s="68">
        <f>_xlfn.IFS(AND(V:V&gt;=3000,V:V&lt;5000),AF:AF*0.5,V:V&gt;=5000,AF:AF*1,V:V&lt;3000,0)</f>
        <v>0</v>
      </c>
      <c r="AI298" s="68" t="str">
        <f>A:A&amp;D:D&amp;G:G&amp;$AF$1&amp;AF:AF&amp;"元，目前预收价值"&amp;U:U&amp;"，"&amp;$AG$1&amp;AG:AG&amp;"元，"&amp;$AH$1&amp;AH:AH&amp;"元"</f>
        <v>淮南本部蔡士兰伙伴冲锋队缴费金额200元，目前预收价值0，预收拟返还0元，承保拟返还0元</v>
      </c>
      <c r="AJ298" s="68">
        <f>SUMIF(保单!R:R,E:E,保单!BE:BE)*IF(AF:AF&gt;1,1,0)</f>
        <v>0</v>
      </c>
      <c r="AK298" s="68">
        <f>SUMIFS(保单!BE:BE,保单!R:R,E:E,保单!BB:BB,"有效")*IF(AF:AF&gt;1,1,0)</f>
        <v>0</v>
      </c>
      <c r="AL298" s="72" t="str">
        <f>A:A&amp;D:D&amp;G:G&amp;"只要在1-10日承保全部保单，即可获得"&amp;$AJ$1&amp;AJ:AJ&amp;"个"</f>
        <v>淮南本部蔡士兰伙伴只要在1-10日承保全部保单，即可获得冲锋队按摩仪0个</v>
      </c>
    </row>
    <row r="299" spans="1:38">
      <c r="A299" s="64" t="s">
        <v>42</v>
      </c>
      <c r="B299" s="64" t="s">
        <v>66</v>
      </c>
      <c r="C299" s="64" t="s">
        <v>343</v>
      </c>
      <c r="D299" s="64" t="s">
        <v>529</v>
      </c>
      <c r="E299" s="64">
        <v>70685592</v>
      </c>
      <c r="F299" s="64" t="s">
        <v>168</v>
      </c>
      <c r="G299" s="64" t="str">
        <f>IF(OR(F:F="高级经理一级",F:F="业务经理一级"),"主管","伙伴")</f>
        <v>伙伴</v>
      </c>
      <c r="H299" s="65">
        <f>SUMIF(险种!E:E,E:E,险种!R:R)-SUMIFS(险种!R:R,险种!U:U,"终止",险种!E:E,E:E)</f>
        <v>0</v>
      </c>
      <c r="I299" s="65">
        <f>SUMIFS(险种!R:R,险种!U:U,"有效",险种!E:E,E:E)</f>
        <v>0</v>
      </c>
      <c r="J299" s="65">
        <f>ROUND(SUMIF(险种!E:E,E:E,险种!Q:Q)-SUMIFS(险种!Q:Q,险种!U:U,"终止",险种!E:E,E:E),1)</f>
        <v>0</v>
      </c>
      <c r="K299" s="68">
        <f>RANK(J299,J:J)</f>
        <v>22</v>
      </c>
      <c r="L299" s="65">
        <f>ROUND(SUMIFS(险种!Q:Q,险种!U:U,"有效",险种!E:E,E:E),1)</f>
        <v>0</v>
      </c>
      <c r="M299" s="68">
        <f>RANK(L299,L:L,)</f>
        <v>14</v>
      </c>
      <c r="N299" s="68">
        <f>SUMIF(险种!E:E,E:E,险种!W:W)</f>
        <v>0</v>
      </c>
      <c r="O299" s="68">
        <f>IF(N:N&gt;=1,1,0)</f>
        <v>0</v>
      </c>
      <c r="P299" s="65">
        <f>ROUND(SUMIFS(险种!Q:Q,险种!V:V,$P$1,险种!E:E,E:E),1)</f>
        <v>0</v>
      </c>
      <c r="Q299" s="68">
        <f>RANK(P299,$P:$P,0)-1</f>
        <v>5</v>
      </c>
      <c r="R299" s="68" t="str">
        <f>A:A&amp;D:D&amp;G:G&amp;"在"&amp;$P$1&amp;"预收"&amp;P:P&amp;"排名中支第"&amp;Q:Q&amp;"位"</f>
        <v>淮南本部孙庆梅伙伴在20210509预收0排名中支第5位</v>
      </c>
      <c r="S299" s="65">
        <f>ROUND(SUMIFS(险种!Q:Q,险种!E:E,E:E,险种!V:V,"&lt;=20210506")-SUMIFS(险种!Q:Q,险种!U:U,"终止",险种!E:E,E:E,险种!V:V,"&lt;=20210506"),1)</f>
        <v>0</v>
      </c>
      <c r="T299" s="65">
        <f>ROUND(SUMIFS(险种!Q:Q,险种!U:U,"有效",险种!E:E,E:E,险种!V:V,"&lt;=20210506"),1)</f>
        <v>0</v>
      </c>
      <c r="U299" s="65">
        <f>ROUND(SUMIFS(险种!Q:Q,险种!E:E,E:E,险种!V:V,"&lt;=20210510")-SUMIFS(险种!Q:Q,险种!U:U,"终止",险种!E:E,E:E,险种!V:V,"&lt;=20210510"),1)</f>
        <v>0</v>
      </c>
      <c r="V299" s="65">
        <f>ROUND(SUMIFS(险种!Q:Q,险种!U:U,"有效",险种!E:E,E:E,险种!V:V,"&lt;=20210510"),1)</f>
        <v>0</v>
      </c>
      <c r="W299" s="65">
        <f t="shared" si="5"/>
        <v>0</v>
      </c>
      <c r="X299" s="68">
        <f>SUMIF(险种!E:E,E:E,险种!Y:Y)</f>
        <v>0</v>
      </c>
      <c r="Y299" s="65">
        <f>MAX(_xlfn.IFS(OR(X:X=1,X:X=2),J:J*0.1,X:X&gt;=3,J:J*0.2,X:X=0,0),IF(J:J&gt;=20000,J:J*0.2,0))</f>
        <v>0</v>
      </c>
      <c r="Z299" s="65" t="str">
        <f>A299&amp;D299&amp;G299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淮南本部孙庆梅伙伴5.1-5.10预收价值保费0，首周预收3000P件数0件，预收拟加佣0元。温馨提示，保单需10日（含）前承保，目前还有0价值保费未承保,开单一件即可获得10%加佣</v>
      </c>
      <c r="AA299" s="68">
        <f>SUMIF(险种!E:E,E:E,险种!Z:Z)</f>
        <v>0</v>
      </c>
      <c r="AB299" s="65"/>
      <c r="AC299" s="68">
        <f>SUMIF(险种!E:E,E:E,险种!AA:AA)</f>
        <v>0</v>
      </c>
      <c r="AD299" s="68">
        <f>SUMIFS(险种!AA:AA,险种!U:U,"有效",险种!E:E,E:E)</f>
        <v>0</v>
      </c>
      <c r="AE299" s="68" t="str">
        <f>A299&amp;D299&amp;G299&amp;"目前获得"&amp;$AC$1&amp;AC:AC&amp;"名，获得"&amp;$AD$1&amp;AD:AD&amp;"名"</f>
        <v>淮南本部孙庆梅伙伴目前获得龙虾节预收名额0名，获得龙虾节承保名额0名</v>
      </c>
      <c r="AF299" s="68">
        <f>SUMIF(认购返还案!D:D,E:E,认购返还案!E:E)</f>
        <v>0</v>
      </c>
      <c r="AG299" s="68">
        <f>_xlfn.IFS(AND(U:U&gt;=3000,U:U&lt;5000),AF:AF*0.5,U:U&gt;=5000,AF:AF*1,U:U&lt;3000,0)</f>
        <v>0</v>
      </c>
      <c r="AH299" s="68">
        <f>_xlfn.IFS(AND(V:V&gt;=3000,V:V&lt;5000),AF:AF*0.5,V:V&gt;=5000,AF:AF*1,V:V&lt;3000,0)</f>
        <v>0</v>
      </c>
      <c r="AI299" s="68" t="str">
        <f>A:A&amp;D:D&amp;G:G&amp;$AF$1&amp;AF:AF&amp;"元，目前预收价值"&amp;U:U&amp;"，"&amp;$AG$1&amp;AG:AG&amp;"元，"&amp;$AH$1&amp;AH:AH&amp;"元"</f>
        <v>淮南本部孙庆梅伙伴冲锋队缴费金额0元，目前预收价值0，预收拟返还0元，承保拟返还0元</v>
      </c>
      <c r="AJ299" s="68">
        <f>SUMIF(保单!R:R,E:E,保单!BE:BE)*IF(AF:AF&gt;1,1,0)</f>
        <v>0</v>
      </c>
      <c r="AK299" s="68">
        <f>SUMIFS(保单!BE:BE,保单!R:R,E:E,保单!BB:BB,"有效")*IF(AF:AF&gt;1,1,0)</f>
        <v>0</v>
      </c>
      <c r="AL299" s="72" t="str">
        <f>A:A&amp;D:D&amp;G:G&amp;"只要在1-10日承保全部保单，即可获得"&amp;$AJ$1&amp;AJ:AJ&amp;"个"</f>
        <v>淮南本部孙庆梅伙伴只要在1-10日承保全部保单，即可获得冲锋队按摩仪0个</v>
      </c>
    </row>
    <row r="300" spans="1:38">
      <c r="A300" s="64" t="s">
        <v>27</v>
      </c>
      <c r="B300" s="64" t="s">
        <v>37</v>
      </c>
      <c r="C300" s="64" t="s">
        <v>38</v>
      </c>
      <c r="D300" s="64" t="s">
        <v>39</v>
      </c>
      <c r="E300" s="64">
        <v>68852502</v>
      </c>
      <c r="F300" s="64" t="s">
        <v>167</v>
      </c>
      <c r="G300" s="64" t="str">
        <f>IF(OR(F:F="高级经理一级",F:F="业务经理一级"),"主管","伙伴")</f>
        <v>主管</v>
      </c>
      <c r="H300" s="65">
        <f>SUMIF(险种!E:E,E:E,险种!R:R)-SUMIFS(险种!R:R,险种!U:U,"终止",险种!E:E,E:E)</f>
        <v>282</v>
      </c>
      <c r="I300" s="65">
        <f>SUMIFS(险种!R:R,险种!U:U,"有效",险种!E:E,E:E)</f>
        <v>0</v>
      </c>
      <c r="J300" s="65">
        <f>ROUND(SUMIF(险种!E:E,E:E,险种!Q:Q)-SUMIFS(险种!Q:Q,险种!U:U,"终止",险种!E:E,E:E),1)</f>
        <v>4.6</v>
      </c>
      <c r="K300" s="68">
        <f>RANK(J300,J:J)</f>
        <v>21</v>
      </c>
      <c r="L300" s="65">
        <f>ROUND(SUMIFS(险种!Q:Q,险种!U:U,"有效",险种!E:E,E:E),1)</f>
        <v>0</v>
      </c>
      <c r="M300" s="68">
        <f>RANK(L300,L:L,)</f>
        <v>14</v>
      </c>
      <c r="N300" s="68">
        <f>SUMIF(险种!E:E,E:E,险种!W:W)</f>
        <v>0</v>
      </c>
      <c r="O300" s="68">
        <f>IF(N:N&gt;=1,1,0)</f>
        <v>0</v>
      </c>
      <c r="P300" s="65">
        <f>ROUND(SUMIFS(险种!Q:Q,险种!V:V,$P$1,险种!E:E,E:E),1)</f>
        <v>0</v>
      </c>
      <c r="Q300" s="68">
        <f>RANK(P300,$P:$P,0)-1</f>
        <v>5</v>
      </c>
      <c r="R300" s="68" t="str">
        <f>A:A&amp;D:D&amp;G:G&amp;"在"&amp;$P$1&amp;"预收"&amp;P:P&amp;"排名中支第"&amp;Q:Q&amp;"位"</f>
        <v>凤台胡本阁主管在20210509预收0排名中支第5位</v>
      </c>
      <c r="S300" s="65">
        <f>ROUND(SUMIFS(险种!Q:Q,险种!E:E,E:E,险种!V:V,"&lt;=20210506")-SUMIFS(险种!Q:Q,险种!U:U,"终止",险种!E:E,E:E,险种!V:V,"&lt;=20210506"),1)</f>
        <v>0</v>
      </c>
      <c r="T300" s="65">
        <f>ROUND(SUMIFS(险种!Q:Q,险种!U:U,"有效",险种!E:E,E:E,险种!V:V,"&lt;=20210506"),1)</f>
        <v>0</v>
      </c>
      <c r="U300" s="65">
        <f>ROUND(SUMIFS(险种!Q:Q,险种!E:E,E:E,险种!V:V,"&lt;=20210510")-SUMIFS(险种!Q:Q,险种!U:U,"终止",险种!E:E,E:E,险种!V:V,"&lt;=20210510"),1)</f>
        <v>4.6</v>
      </c>
      <c r="V300" s="65">
        <f>ROUND(SUMIFS(险种!Q:Q,险种!U:U,"有效",险种!E:E,E:E,险种!V:V,"&lt;=20210510"),1)</f>
        <v>0</v>
      </c>
      <c r="W300" s="65">
        <f t="shared" si="5"/>
        <v>4.6</v>
      </c>
      <c r="X300" s="68">
        <f>SUMIF(险种!E:E,E:E,险种!Y:Y)</f>
        <v>0</v>
      </c>
      <c r="Y300" s="65">
        <f>MAX(_xlfn.IFS(OR(X:X=1,X:X=2),J:J*0.1,X:X&gt;=3,J:J*0.2,X:X=0,0),IF(J:J&gt;=20000,J:J*0.2,0))</f>
        <v>0</v>
      </c>
      <c r="Z300" s="65" t="str">
        <f>A300&amp;D300&amp;G300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凤台胡本阁主管5.1-5.10预收价值保费5，首周预收3000P件数0件，预收拟加佣0元。温馨提示，保单需10日（含）前承保，目前还有5价值保费未承保,开单一件即可获得10%加佣</v>
      </c>
      <c r="AA300" s="68">
        <f>SUMIF(险种!E:E,E:E,险种!Z:Z)</f>
        <v>0</v>
      </c>
      <c r="AB300" s="65"/>
      <c r="AC300" s="68">
        <f>SUMIF(险种!E:E,E:E,险种!AA:AA)</f>
        <v>0</v>
      </c>
      <c r="AD300" s="68">
        <f>SUMIFS(险种!AA:AA,险种!U:U,"有效",险种!E:E,E:E)</f>
        <v>0</v>
      </c>
      <c r="AE300" s="68" t="str">
        <f>A300&amp;D300&amp;G300&amp;"目前获得"&amp;$AC$1&amp;AC:AC&amp;"名，获得"&amp;$AD$1&amp;AD:AD&amp;"名"</f>
        <v>凤台胡本阁主管目前获得龙虾节预收名额0名，获得龙虾节承保名额0名</v>
      </c>
      <c r="AF300" s="68">
        <f>SUMIF(认购返还案!D:D,E:E,认购返还案!E:E)</f>
        <v>400</v>
      </c>
      <c r="AG300" s="68">
        <f>_xlfn.IFS(AND(U:U&gt;=3000,U:U&lt;5000),AF:AF*0.5,U:U&gt;=5000,AF:AF*1,U:U&lt;3000,0)</f>
        <v>0</v>
      </c>
      <c r="AH300" s="68">
        <f>_xlfn.IFS(AND(V:V&gt;=3000,V:V&lt;5000),AF:AF*0.5,V:V&gt;=5000,AF:AF*1,V:V&lt;3000,0)</f>
        <v>0</v>
      </c>
      <c r="AI300" s="68" t="str">
        <f>A:A&amp;D:D&amp;G:G&amp;$AF$1&amp;AF:AF&amp;"元，目前预收价值"&amp;U:U&amp;"，"&amp;$AG$1&amp;AG:AG&amp;"元，"&amp;$AH$1&amp;AH:AH&amp;"元"</f>
        <v>凤台胡本阁主管冲锋队缴费金额400元，目前预收价值4.6，预收拟返还0元，承保拟返还0元</v>
      </c>
      <c r="AJ300" s="68">
        <f>SUMIF(保单!R:R,E:E,保单!BE:BE)*IF(AF:AF&gt;1,1,0)</f>
        <v>0</v>
      </c>
      <c r="AK300" s="68">
        <f>SUMIFS(保单!BE:BE,保单!R:R,E:E,保单!BB:BB,"有效")*IF(AF:AF&gt;1,1,0)</f>
        <v>0</v>
      </c>
      <c r="AL300" s="72" t="str">
        <f>A:A&amp;D:D&amp;G:G&amp;"只要在1-10日承保全部保单，即可获得"&amp;$AJ$1&amp;AJ:AJ&amp;"个"</f>
        <v>凤台胡本阁主管只要在1-10日承保全部保单，即可获得冲锋队按摩仪0个</v>
      </c>
    </row>
    <row r="301" spans="1:38">
      <c r="A301" s="64" t="s">
        <v>48</v>
      </c>
      <c r="B301" s="64" t="s">
        <v>49</v>
      </c>
      <c r="C301" s="64" t="s">
        <v>50</v>
      </c>
      <c r="D301" s="64" t="s">
        <v>530</v>
      </c>
      <c r="E301" s="64">
        <v>51173242</v>
      </c>
      <c r="F301" s="64" t="s">
        <v>168</v>
      </c>
      <c r="G301" s="64" t="str">
        <f>IF(OR(F:F="高级经理一级",F:F="业务经理一级"),"主管","伙伴")</f>
        <v>伙伴</v>
      </c>
      <c r="H301" s="65">
        <f>SUMIF(险种!E:E,E:E,险种!R:R)-SUMIFS(险种!R:R,险种!U:U,"终止",险种!E:E,E:E)</f>
        <v>0</v>
      </c>
      <c r="I301" s="65">
        <f>SUMIFS(险种!R:R,险种!U:U,"有效",险种!E:E,E:E)</f>
        <v>0</v>
      </c>
      <c r="J301" s="65">
        <f>ROUND(SUMIF(险种!E:E,E:E,险种!Q:Q)-SUMIFS(险种!Q:Q,险种!U:U,"终止",险种!E:E,E:E),1)</f>
        <v>0</v>
      </c>
      <c r="K301" s="68">
        <f>RANK(J301,J:J)</f>
        <v>22</v>
      </c>
      <c r="L301" s="65">
        <f>ROUND(SUMIFS(险种!Q:Q,险种!U:U,"有效",险种!E:E,E:E),1)</f>
        <v>0</v>
      </c>
      <c r="M301" s="68">
        <f>RANK(L301,L:L,)</f>
        <v>14</v>
      </c>
      <c r="N301" s="68">
        <f>SUMIF(险种!E:E,E:E,险种!W:W)</f>
        <v>0</v>
      </c>
      <c r="O301" s="68">
        <f>IF(N:N&gt;=1,1,0)</f>
        <v>0</v>
      </c>
      <c r="P301" s="65">
        <f>ROUND(SUMIFS(险种!Q:Q,险种!V:V,$P$1,险种!E:E,E:E),1)</f>
        <v>0</v>
      </c>
      <c r="Q301" s="68">
        <f>RANK(P301,$P:$P,0)-1</f>
        <v>5</v>
      </c>
      <c r="R301" s="68" t="str">
        <f>A:A&amp;D:D&amp;G:G&amp;"在"&amp;$P$1&amp;"预收"&amp;P:P&amp;"排名中支第"&amp;Q:Q&amp;"位"</f>
        <v>谢家集刘川凤伙伴在20210509预收0排名中支第5位</v>
      </c>
      <c r="S301" s="65">
        <f>ROUND(SUMIFS(险种!Q:Q,险种!E:E,E:E,险种!V:V,"&lt;=20210506")-SUMIFS(险种!Q:Q,险种!U:U,"终止",险种!E:E,E:E,险种!V:V,"&lt;=20210506"),1)</f>
        <v>0</v>
      </c>
      <c r="T301" s="65">
        <f>ROUND(SUMIFS(险种!Q:Q,险种!U:U,"有效",险种!E:E,E:E,险种!V:V,"&lt;=20210506"),1)</f>
        <v>0</v>
      </c>
      <c r="U301" s="65">
        <f>ROUND(SUMIFS(险种!Q:Q,险种!E:E,E:E,险种!V:V,"&lt;=20210510")-SUMIFS(险种!Q:Q,险种!U:U,"终止",险种!E:E,E:E,险种!V:V,"&lt;=20210510"),1)</f>
        <v>0</v>
      </c>
      <c r="V301" s="65">
        <f>ROUND(SUMIFS(险种!Q:Q,险种!U:U,"有效",险种!E:E,E:E,险种!V:V,"&lt;=20210510"),1)</f>
        <v>0</v>
      </c>
      <c r="W301" s="65">
        <f t="shared" si="5"/>
        <v>0</v>
      </c>
      <c r="X301" s="68">
        <f>SUMIF(险种!E:E,E:E,险种!Y:Y)</f>
        <v>0</v>
      </c>
      <c r="Y301" s="65">
        <f>MAX(_xlfn.IFS(OR(X:X=1,X:X=2),J:J*0.1,X:X&gt;=3,J:J*0.2,X:X=0,0),IF(J:J&gt;=20000,J:J*0.2,0))</f>
        <v>0</v>
      </c>
      <c r="Z301" s="65" t="str">
        <f>A301&amp;D301&amp;G301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谢家集刘川凤伙伴5.1-5.10预收价值保费0，首周预收3000P件数0件，预收拟加佣0元。温馨提示，保单需10日（含）前承保，目前还有0价值保费未承保,开单一件即可获得10%加佣</v>
      </c>
      <c r="AA301" s="68">
        <f>SUMIF(险种!E:E,E:E,险种!Z:Z)</f>
        <v>0</v>
      </c>
      <c r="AB301" s="65"/>
      <c r="AC301" s="68">
        <f>SUMIF(险种!E:E,E:E,险种!AA:AA)</f>
        <v>0</v>
      </c>
      <c r="AD301" s="68">
        <f>SUMIFS(险种!AA:AA,险种!U:U,"有效",险种!E:E,E:E)</f>
        <v>0</v>
      </c>
      <c r="AE301" s="68" t="str">
        <f>A301&amp;D301&amp;G301&amp;"目前获得"&amp;$AC$1&amp;AC:AC&amp;"名，获得"&amp;$AD$1&amp;AD:AD&amp;"名"</f>
        <v>谢家集刘川凤伙伴目前获得龙虾节预收名额0名，获得龙虾节承保名额0名</v>
      </c>
      <c r="AF301" s="68">
        <f>SUMIF(认购返还案!D:D,E:E,认购返还案!E:E)</f>
        <v>0</v>
      </c>
      <c r="AG301" s="68">
        <f>_xlfn.IFS(AND(U:U&gt;=3000,U:U&lt;5000),AF:AF*0.5,U:U&gt;=5000,AF:AF*1,U:U&lt;3000,0)</f>
        <v>0</v>
      </c>
      <c r="AH301" s="68">
        <f>_xlfn.IFS(AND(V:V&gt;=3000,V:V&lt;5000),AF:AF*0.5,V:V&gt;=5000,AF:AF*1,V:V&lt;3000,0)</f>
        <v>0</v>
      </c>
      <c r="AI301" s="68" t="str">
        <f>A:A&amp;D:D&amp;G:G&amp;$AF$1&amp;AF:AF&amp;"元，目前预收价值"&amp;U:U&amp;"，"&amp;$AG$1&amp;AG:AG&amp;"元，"&amp;$AH$1&amp;AH:AH&amp;"元"</f>
        <v>谢家集刘川凤伙伴冲锋队缴费金额0元，目前预收价值0，预收拟返还0元，承保拟返还0元</v>
      </c>
      <c r="AJ301" s="68">
        <f>SUMIF(保单!R:R,E:E,保单!BE:BE)*IF(AF:AF&gt;1,1,0)</f>
        <v>0</v>
      </c>
      <c r="AK301" s="68">
        <f>SUMIFS(保单!BE:BE,保单!R:R,E:E,保单!BB:BB,"有效")*IF(AF:AF&gt;1,1,0)</f>
        <v>0</v>
      </c>
      <c r="AL301" s="72" t="str">
        <f>A:A&amp;D:D&amp;G:G&amp;"只要在1-10日承保全部保单，即可获得"&amp;$AJ$1&amp;AJ:AJ&amp;"个"</f>
        <v>谢家集刘川凤伙伴只要在1-10日承保全部保单，即可获得冲锋队按摩仪0个</v>
      </c>
    </row>
    <row r="302" spans="1:38">
      <c r="A302" s="64" t="s">
        <v>48</v>
      </c>
      <c r="B302" s="64" t="s">
        <v>49</v>
      </c>
      <c r="C302" s="64" t="s">
        <v>50</v>
      </c>
      <c r="D302" s="64" t="s">
        <v>217</v>
      </c>
      <c r="E302" s="64">
        <v>51103872</v>
      </c>
      <c r="F302" s="64" t="s">
        <v>167</v>
      </c>
      <c r="G302" s="64" t="str">
        <f>IF(OR(F:F="高级经理一级",F:F="业务经理一级"),"主管","伙伴")</f>
        <v>主管</v>
      </c>
      <c r="H302" s="65">
        <f>SUMIF(险种!E:E,E:E,险种!R:R)-SUMIFS(险种!R:R,险种!U:U,"终止",险种!E:E,E:E)</f>
        <v>0</v>
      </c>
      <c r="I302" s="65">
        <f>SUMIFS(险种!R:R,险种!U:U,"有效",险种!E:E,E:E)</f>
        <v>0</v>
      </c>
      <c r="J302" s="65">
        <f>ROUND(SUMIF(险种!E:E,E:E,险种!Q:Q)-SUMIFS(险种!Q:Q,险种!U:U,"终止",险种!E:E,E:E),1)</f>
        <v>0</v>
      </c>
      <c r="K302" s="68">
        <f>RANK(J302,J:J)</f>
        <v>22</v>
      </c>
      <c r="L302" s="65">
        <f>ROUND(SUMIFS(险种!Q:Q,险种!U:U,"有效",险种!E:E,E:E),1)</f>
        <v>0</v>
      </c>
      <c r="M302" s="68">
        <f>RANK(L302,L:L,)</f>
        <v>14</v>
      </c>
      <c r="N302" s="68">
        <f>SUMIF(险种!E:E,E:E,险种!W:W)</f>
        <v>0</v>
      </c>
      <c r="O302" s="68">
        <f>IF(N:N&gt;=1,1,0)</f>
        <v>0</v>
      </c>
      <c r="P302" s="65">
        <f>ROUND(SUMIFS(险种!Q:Q,险种!V:V,$P$1,险种!E:E,E:E),1)</f>
        <v>0</v>
      </c>
      <c r="Q302" s="68">
        <f>RANK(P302,$P:$P,0)-1</f>
        <v>5</v>
      </c>
      <c r="R302" s="68" t="str">
        <f>A:A&amp;D:D&amp;G:G&amp;"在"&amp;$P$1&amp;"预收"&amp;P:P&amp;"排名中支第"&amp;Q:Q&amp;"位"</f>
        <v>谢家集叶琳主管在20210509预收0排名中支第5位</v>
      </c>
      <c r="S302" s="65">
        <f>ROUND(SUMIFS(险种!Q:Q,险种!E:E,E:E,险种!V:V,"&lt;=20210506")-SUMIFS(险种!Q:Q,险种!U:U,"终止",险种!E:E,E:E,险种!V:V,"&lt;=20210506"),1)</f>
        <v>0</v>
      </c>
      <c r="T302" s="65">
        <f>ROUND(SUMIFS(险种!Q:Q,险种!U:U,"有效",险种!E:E,E:E,险种!V:V,"&lt;=20210506"),1)</f>
        <v>0</v>
      </c>
      <c r="U302" s="65">
        <f>ROUND(SUMIFS(险种!Q:Q,险种!E:E,E:E,险种!V:V,"&lt;=20210510")-SUMIFS(险种!Q:Q,险种!U:U,"终止",险种!E:E,E:E,险种!V:V,"&lt;=20210510"),1)</f>
        <v>0</v>
      </c>
      <c r="V302" s="65">
        <f>ROUND(SUMIFS(险种!Q:Q,险种!U:U,"有效",险种!E:E,E:E,险种!V:V,"&lt;=20210510"),1)</f>
        <v>0</v>
      </c>
      <c r="W302" s="65">
        <f t="shared" si="5"/>
        <v>0</v>
      </c>
      <c r="X302" s="68">
        <f>SUMIF(险种!E:E,E:E,险种!Y:Y)</f>
        <v>0</v>
      </c>
      <c r="Y302" s="65">
        <f>MAX(_xlfn.IFS(OR(X:X=1,X:X=2),J:J*0.1,X:X&gt;=3,J:J*0.2,X:X=0,0),IF(J:J&gt;=20000,J:J*0.2,0))</f>
        <v>0</v>
      </c>
      <c r="Z302" s="65" t="str">
        <f>A302&amp;D302&amp;G302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谢家集叶琳主管5.1-5.10预收价值保费0，首周预收3000P件数0件，预收拟加佣0元。温馨提示，保单需10日（含）前承保，目前还有0价值保费未承保,开单一件即可获得10%加佣</v>
      </c>
      <c r="AA302" s="68">
        <f>SUMIF(险种!E:E,E:E,险种!Z:Z)</f>
        <v>0</v>
      </c>
      <c r="AB302" s="65"/>
      <c r="AC302" s="68">
        <f>SUMIF(险种!E:E,E:E,险种!AA:AA)</f>
        <v>0</v>
      </c>
      <c r="AD302" s="68">
        <f>SUMIFS(险种!AA:AA,险种!U:U,"有效",险种!E:E,E:E)</f>
        <v>0</v>
      </c>
      <c r="AE302" s="68" t="str">
        <f>A302&amp;D302&amp;G302&amp;"目前获得"&amp;$AC$1&amp;AC:AC&amp;"名，获得"&amp;$AD$1&amp;AD:AD&amp;"名"</f>
        <v>谢家集叶琳主管目前获得龙虾节预收名额0名，获得龙虾节承保名额0名</v>
      </c>
      <c r="AF302" s="68">
        <f>SUMIF(认购返还案!D:D,E:E,认购返还案!E:E)</f>
        <v>400</v>
      </c>
      <c r="AG302" s="68">
        <f>_xlfn.IFS(AND(U:U&gt;=3000,U:U&lt;5000),AF:AF*0.5,U:U&gt;=5000,AF:AF*1,U:U&lt;3000,0)</f>
        <v>0</v>
      </c>
      <c r="AH302" s="68">
        <f>_xlfn.IFS(AND(V:V&gt;=3000,V:V&lt;5000),AF:AF*0.5,V:V&gt;=5000,AF:AF*1,V:V&lt;3000,0)</f>
        <v>0</v>
      </c>
      <c r="AI302" s="68" t="str">
        <f>A:A&amp;D:D&amp;G:G&amp;$AF$1&amp;AF:AF&amp;"元，目前预收价值"&amp;U:U&amp;"，"&amp;$AG$1&amp;AG:AG&amp;"元，"&amp;$AH$1&amp;AH:AH&amp;"元"</f>
        <v>谢家集叶琳主管冲锋队缴费金额400元，目前预收价值0，预收拟返还0元，承保拟返还0元</v>
      </c>
      <c r="AJ302" s="68">
        <f>SUMIF(保单!R:R,E:E,保单!BE:BE)*IF(AF:AF&gt;1,1,0)</f>
        <v>0</v>
      </c>
      <c r="AK302" s="68">
        <f>SUMIFS(保单!BE:BE,保单!R:R,E:E,保单!BB:BB,"有效")*IF(AF:AF&gt;1,1,0)</f>
        <v>0</v>
      </c>
      <c r="AL302" s="72" t="str">
        <f>A:A&amp;D:D&amp;G:G&amp;"只要在1-10日承保全部保单，即可获得"&amp;$AJ$1&amp;AJ:AJ&amp;"个"</f>
        <v>谢家集叶琳主管只要在1-10日承保全部保单，即可获得冲锋队按摩仪0个</v>
      </c>
    </row>
    <row r="303" spans="1:38">
      <c r="A303" s="64" t="s">
        <v>48</v>
      </c>
      <c r="B303" s="64" t="s">
        <v>49</v>
      </c>
      <c r="C303" s="64" t="s">
        <v>82</v>
      </c>
      <c r="D303" s="64" t="s">
        <v>90</v>
      </c>
      <c r="E303" s="64">
        <v>6137982332</v>
      </c>
      <c r="F303" s="64" t="s">
        <v>168</v>
      </c>
      <c r="G303" s="64" t="str">
        <f>IF(OR(F:F="高级经理一级",F:F="业务经理一级"),"主管","伙伴")</f>
        <v>伙伴</v>
      </c>
      <c r="H303" s="65">
        <f>SUMIF(险种!E:E,E:E,险种!R:R)-SUMIFS(险种!R:R,险种!U:U,"终止",险种!E:E,E:E)</f>
        <v>600</v>
      </c>
      <c r="I303" s="65">
        <f>SUMIFS(险种!R:R,险种!U:U,"有效",险种!E:E,E:E)</f>
        <v>600</v>
      </c>
      <c r="J303" s="65">
        <f>ROUND(SUMIF(险种!E:E,E:E,险种!Q:Q)-SUMIFS(险种!Q:Q,险种!U:U,"终止",险种!E:E,E:E),1)</f>
        <v>-45.8</v>
      </c>
      <c r="K303" s="68">
        <f>RANK(J303,J:J)</f>
        <v>302</v>
      </c>
      <c r="L303" s="65">
        <f>ROUND(SUMIFS(险种!Q:Q,险种!U:U,"有效",险种!E:E,E:E),1)</f>
        <v>-45.8</v>
      </c>
      <c r="M303" s="68">
        <f>RANK(L303,L:L,)</f>
        <v>302</v>
      </c>
      <c r="N303" s="68">
        <f>SUMIF(险种!E:E,E:E,险种!W:W)</f>
        <v>0</v>
      </c>
      <c r="O303" s="68">
        <f>IF(N:N&gt;=1,1,0)</f>
        <v>0</v>
      </c>
      <c r="P303" s="65">
        <f>ROUND(SUMIFS(险种!Q:Q,险种!V:V,$P$1,险种!E:E,E:E),1)</f>
        <v>0</v>
      </c>
      <c r="Q303" s="68">
        <f>RANK(P303,$P:$P,0)-1</f>
        <v>5</v>
      </c>
      <c r="R303" s="68" t="str">
        <f>A:A&amp;D:D&amp;G:G&amp;"在"&amp;$P$1&amp;"预收"&amp;P:P&amp;"排名中支第"&amp;Q:Q&amp;"位"</f>
        <v>谢家集樊琦伙伴在20210509预收0排名中支第5位</v>
      </c>
      <c r="S303" s="65">
        <f>ROUND(SUMIFS(险种!Q:Q,险种!E:E,E:E,险种!V:V,"&lt;=20210506")-SUMIFS(险种!Q:Q,险种!U:U,"终止",险种!E:E,E:E,险种!V:V,"&lt;=20210506"),1)</f>
        <v>0</v>
      </c>
      <c r="T303" s="65">
        <f>ROUND(SUMIFS(险种!Q:Q,险种!U:U,"有效",险种!E:E,E:E,险种!V:V,"&lt;=20210506"),1)</f>
        <v>0</v>
      </c>
      <c r="U303" s="65">
        <f>ROUND(SUMIFS(险种!Q:Q,险种!E:E,E:E,险种!V:V,"&lt;=20210510")-SUMIFS(险种!Q:Q,险种!U:U,"终止",险种!E:E,E:E,险种!V:V,"&lt;=20210510"),1)</f>
        <v>-45.8</v>
      </c>
      <c r="V303" s="65">
        <f>ROUND(SUMIFS(险种!Q:Q,险种!U:U,"有效",险种!E:E,E:E,险种!V:V,"&lt;=20210510"),1)</f>
        <v>-45.8</v>
      </c>
      <c r="W303" s="65">
        <f t="shared" si="5"/>
        <v>0</v>
      </c>
      <c r="X303" s="68">
        <f>SUMIF(险种!E:E,E:E,险种!Y:Y)</f>
        <v>0</v>
      </c>
      <c r="Y303" s="65">
        <f>MAX(_xlfn.IFS(OR(X:X=1,X:X=2),J:J*0.1,X:X&gt;=3,J:J*0.2,X:X=0,0),IF(J:J&gt;=20000,J:J*0.2,0))</f>
        <v>0</v>
      </c>
      <c r="Z303" s="65" t="str">
        <f>A303&amp;D303&amp;G303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谢家集樊琦伙伴5.1-5.10预收价值保费-46，首周预收3000P件数0件，预收拟加佣0元。温馨提示，保单需10日（含）前承保，目前还有0价值保费未承保,开单一件即可获得10%加佣</v>
      </c>
      <c r="AA303" s="68">
        <f>SUMIF(险种!E:E,E:E,险种!Z:Z)</f>
        <v>0</v>
      </c>
      <c r="AB303" s="65"/>
      <c r="AC303" s="68">
        <f>SUMIF(险种!E:E,E:E,险种!AA:AA)</f>
        <v>0</v>
      </c>
      <c r="AD303" s="68">
        <f>SUMIFS(险种!AA:AA,险种!U:U,"有效",险种!E:E,E:E)</f>
        <v>0</v>
      </c>
      <c r="AE303" s="68" t="str">
        <f>A303&amp;D303&amp;G303&amp;"目前获得"&amp;$AC$1&amp;AC:AC&amp;"名，获得"&amp;$AD$1&amp;AD:AD&amp;"名"</f>
        <v>谢家集樊琦伙伴目前获得龙虾节预收名额0名，获得龙虾节承保名额0名</v>
      </c>
      <c r="AF303" s="68">
        <f>SUMIF(认购返还案!D:D,E:E,认购返还案!E:E)</f>
        <v>200</v>
      </c>
      <c r="AG303" s="68">
        <f>_xlfn.IFS(AND(U:U&gt;=3000,U:U&lt;5000),AF:AF*0.5,U:U&gt;=5000,AF:AF*1,U:U&lt;3000,0)</f>
        <v>0</v>
      </c>
      <c r="AH303" s="68">
        <f>_xlfn.IFS(AND(V:V&gt;=3000,V:V&lt;5000),AF:AF*0.5,V:V&gt;=5000,AF:AF*1,V:V&lt;3000,0)</f>
        <v>0</v>
      </c>
      <c r="AI303" s="68" t="str">
        <f>A:A&amp;D:D&amp;G:G&amp;$AF$1&amp;AF:AF&amp;"元，目前预收价值"&amp;U:U&amp;"，"&amp;$AG$1&amp;AG:AG&amp;"元，"&amp;$AH$1&amp;AH:AH&amp;"元"</f>
        <v>谢家集樊琦伙伴冲锋队缴费金额200元，目前预收价值-45.8，预收拟返还0元，承保拟返还0元</v>
      </c>
      <c r="AJ303" s="68">
        <f>SUMIF(保单!R:R,E:E,保单!BE:BE)*IF(AF:AF&gt;1,1,0)</f>
        <v>0</v>
      </c>
      <c r="AK303" s="68">
        <f>SUMIFS(保单!BE:BE,保单!R:R,E:E,保单!BB:BB,"有效")*IF(AF:AF&gt;1,1,0)</f>
        <v>0</v>
      </c>
      <c r="AL303" s="72" t="str">
        <f>A:A&amp;D:D&amp;G:G&amp;"只要在1-10日承保全部保单，即可获得"&amp;$AJ$1&amp;AJ:AJ&amp;"个"</f>
        <v>谢家集樊琦伙伴只要在1-10日承保全部保单，即可获得冲锋队按摩仪0个</v>
      </c>
    </row>
    <row r="304" spans="1:38">
      <c r="A304" s="64" t="s">
        <v>48</v>
      </c>
      <c r="B304" s="64" t="s">
        <v>49</v>
      </c>
      <c r="C304" s="64" t="s">
        <v>98</v>
      </c>
      <c r="D304" s="64" t="s">
        <v>99</v>
      </c>
      <c r="E304" s="64">
        <v>6183615882</v>
      </c>
      <c r="F304" s="64" t="s">
        <v>174</v>
      </c>
      <c r="G304" s="64" t="str">
        <f>IF(OR(F:F="高级经理一级",F:F="业务经理一级"),"主管","伙伴")</f>
        <v>伙伴</v>
      </c>
      <c r="H304" s="65">
        <f>SUMIF(险种!E:E,E:E,险种!R:R)-SUMIFS(险种!R:R,险种!U:U,"终止",险种!E:E,E:E)</f>
        <v>1675</v>
      </c>
      <c r="I304" s="65">
        <f>SUMIFS(险种!R:R,险种!U:U,"有效",险种!E:E,E:E)</f>
        <v>0</v>
      </c>
      <c r="J304" s="65">
        <f>ROUND(SUMIF(险种!E:E,E:E,险种!Q:Q)-SUMIFS(险种!Q:Q,险种!U:U,"终止",险种!E:E,E:E),1)</f>
        <v>-128</v>
      </c>
      <c r="K304" s="68">
        <f>RANK(J304,J:J)</f>
        <v>303</v>
      </c>
      <c r="L304" s="65">
        <f>ROUND(SUMIFS(险种!Q:Q,险种!U:U,"有效",险种!E:E,E:E),1)</f>
        <v>0</v>
      </c>
      <c r="M304" s="68">
        <f>RANK(L304,L:L,)</f>
        <v>14</v>
      </c>
      <c r="N304" s="68">
        <f>SUMIF(险种!E:E,E:E,险种!W:W)</f>
        <v>0</v>
      </c>
      <c r="O304" s="68">
        <f>IF(N:N&gt;=1,1,0)</f>
        <v>0</v>
      </c>
      <c r="P304" s="65">
        <f>ROUND(SUMIFS(险种!Q:Q,险种!V:V,$P$1,险种!E:E,E:E),1)</f>
        <v>0</v>
      </c>
      <c r="Q304" s="68">
        <f>RANK(P304,$P:$P,0)-1</f>
        <v>5</v>
      </c>
      <c r="R304" s="68" t="str">
        <f>A:A&amp;D:D&amp;G:G&amp;"在"&amp;$P$1&amp;"预收"&amp;P:P&amp;"排名中支第"&amp;Q:Q&amp;"位"</f>
        <v>谢家集王新雯伙伴在20210509预收0排名中支第5位</v>
      </c>
      <c r="S304" s="65">
        <f>ROUND(SUMIFS(险种!Q:Q,险种!E:E,E:E,险种!V:V,"&lt;=20210506")-SUMIFS(险种!Q:Q,险种!U:U,"终止",险种!E:E,E:E,险种!V:V,"&lt;=20210506"),1)</f>
        <v>0</v>
      </c>
      <c r="T304" s="65">
        <f>ROUND(SUMIFS(险种!Q:Q,险种!U:U,"有效",险种!E:E,E:E,险种!V:V,"&lt;=20210506"),1)</f>
        <v>0</v>
      </c>
      <c r="U304" s="65">
        <f>ROUND(SUMIFS(险种!Q:Q,险种!E:E,E:E,险种!V:V,"&lt;=20210510")-SUMIFS(险种!Q:Q,险种!U:U,"终止",险种!E:E,E:E,险种!V:V,"&lt;=20210510"),1)</f>
        <v>-128</v>
      </c>
      <c r="V304" s="65">
        <f>ROUND(SUMIFS(险种!Q:Q,险种!U:U,"有效",险种!E:E,E:E,险种!V:V,"&lt;=20210510"),1)</f>
        <v>0</v>
      </c>
      <c r="W304" s="65">
        <f t="shared" si="5"/>
        <v>-128</v>
      </c>
      <c r="X304" s="68">
        <f>SUMIF(险种!E:E,E:E,险种!Y:Y)</f>
        <v>0</v>
      </c>
      <c r="Y304" s="65">
        <f>MAX(_xlfn.IFS(OR(X:X=1,X:X=2),J:J*0.1,X:X&gt;=3,J:J*0.2,X:X=0,0),IF(J:J&gt;=20000,J:J*0.2,0))</f>
        <v>0</v>
      </c>
      <c r="Z304" s="65" t="str">
        <f>A304&amp;D304&amp;G304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谢家集王新雯伙伴5.1-5.10预收价值保费-128，首周预收3000P件数0件，预收拟加佣0元。温馨提示，保单需10日（含）前承保，目前还有-128价值保费未承保,开单一件即可获得10%加佣</v>
      </c>
      <c r="AA304" s="68">
        <f>SUMIF(险种!E:E,E:E,险种!Z:Z)</f>
        <v>0</v>
      </c>
      <c r="AB304" s="65"/>
      <c r="AC304" s="68">
        <f>SUMIF(险种!E:E,E:E,险种!AA:AA)</f>
        <v>0</v>
      </c>
      <c r="AD304" s="68">
        <f>SUMIFS(险种!AA:AA,险种!U:U,"有效",险种!E:E,E:E)</f>
        <v>0</v>
      </c>
      <c r="AE304" s="68" t="str">
        <f>A304&amp;D304&amp;G304&amp;"目前获得"&amp;$AC$1&amp;AC:AC&amp;"名，获得"&amp;$AD$1&amp;AD:AD&amp;"名"</f>
        <v>谢家集王新雯伙伴目前获得龙虾节预收名额0名，获得龙虾节承保名额0名</v>
      </c>
      <c r="AF304" s="68">
        <f>SUMIF(认购返还案!D:D,E:E,认购返还案!E:E)</f>
        <v>200</v>
      </c>
      <c r="AG304" s="68">
        <f>_xlfn.IFS(AND(U:U&gt;=3000,U:U&lt;5000),AF:AF*0.5,U:U&gt;=5000,AF:AF*1,U:U&lt;3000,0)</f>
        <v>0</v>
      </c>
      <c r="AH304" s="68">
        <f>_xlfn.IFS(AND(V:V&gt;=3000,V:V&lt;5000),AF:AF*0.5,V:V&gt;=5000,AF:AF*1,V:V&lt;3000,0)</f>
        <v>0</v>
      </c>
      <c r="AI304" s="68" t="str">
        <f>A:A&amp;D:D&amp;G:G&amp;$AF$1&amp;AF:AF&amp;"元，目前预收价值"&amp;U:U&amp;"，"&amp;$AG$1&amp;AG:AG&amp;"元，"&amp;$AH$1&amp;AH:AH&amp;"元"</f>
        <v>谢家集王新雯伙伴冲锋队缴费金额200元，目前预收价值-128，预收拟返还0元，承保拟返还0元</v>
      </c>
      <c r="AJ304" s="68">
        <f>SUMIF(保单!R:R,E:E,保单!BE:BE)*IF(AF:AF&gt;1,1,0)</f>
        <v>0</v>
      </c>
      <c r="AK304" s="68">
        <f>SUMIFS(保单!BE:BE,保单!R:R,E:E,保单!BB:BB,"有效")*IF(AF:AF&gt;1,1,0)</f>
        <v>0</v>
      </c>
      <c r="AL304" s="72" t="str">
        <f>A:A&amp;D:D&amp;G:G&amp;"只要在1-10日承保全部保单，即可获得"&amp;$AJ$1&amp;AJ:AJ&amp;"个"</f>
        <v>谢家集王新雯伙伴只要在1-10日承保全部保单，即可获得冲锋队按摩仪0个</v>
      </c>
    </row>
    <row r="305" spans="1:38">
      <c r="A305" s="64" t="s">
        <v>27</v>
      </c>
      <c r="B305" s="64" t="s">
        <v>94</v>
      </c>
      <c r="C305" s="64" t="s">
        <v>95</v>
      </c>
      <c r="D305" s="64" t="s">
        <v>96</v>
      </c>
      <c r="E305" s="64">
        <v>480193632</v>
      </c>
      <c r="F305" s="64" t="s">
        <v>168</v>
      </c>
      <c r="G305" s="64" t="str">
        <f>IF(OR(F:F="高级经理一级",F:F="业务经理一级"),"主管","伙伴")</f>
        <v>伙伴</v>
      </c>
      <c r="H305" s="65">
        <f>SUMIF(险种!E:E,E:E,险种!R:R)-SUMIFS(险种!R:R,险种!U:U,"终止",险种!E:E,E:E)</f>
        <v>3028</v>
      </c>
      <c r="I305" s="65">
        <f>SUMIFS(险种!R:R,险种!U:U,"有效",险种!E:E,E:E)</f>
        <v>3028</v>
      </c>
      <c r="J305" s="65">
        <f>ROUND(SUMIF(险种!E:E,E:E,险种!Q:Q)-SUMIFS(险种!Q:Q,险种!U:U,"终止",险种!E:E,E:E),1)</f>
        <v>-231.3</v>
      </c>
      <c r="K305" s="68">
        <f>RANK(J305,J:J)</f>
        <v>305</v>
      </c>
      <c r="L305" s="65">
        <f>ROUND(SUMIFS(险种!Q:Q,险种!U:U,"有效",险种!E:E,E:E),1)</f>
        <v>-231.3</v>
      </c>
      <c r="M305" s="68">
        <f>RANK(L305,L:L,)</f>
        <v>304</v>
      </c>
      <c r="N305" s="68">
        <f>SUMIF(险种!E:E,E:E,险种!W:W)</f>
        <v>0</v>
      </c>
      <c r="O305" s="68">
        <f>IF(N:N&gt;=1,1,0)</f>
        <v>0</v>
      </c>
      <c r="P305" s="65">
        <f>ROUND(SUMIFS(险种!Q:Q,险种!V:V,$P$1,险种!E:E,E:E),1)</f>
        <v>0</v>
      </c>
      <c r="Q305" s="68">
        <f>RANK(P305,$P:$P,0)-1</f>
        <v>5</v>
      </c>
      <c r="R305" s="68" t="str">
        <f>A:A&amp;D:D&amp;G:G&amp;"在"&amp;$P$1&amp;"预收"&amp;P:P&amp;"排名中支第"&amp;Q:Q&amp;"位"</f>
        <v>凤台缪玉玲伙伴在20210509预收0排名中支第5位</v>
      </c>
      <c r="S305" s="65">
        <f>ROUND(SUMIFS(险种!Q:Q,险种!E:E,E:E,险种!V:V,"&lt;=20210506")-SUMIFS(险种!Q:Q,险种!U:U,"终止",险种!E:E,E:E,险种!V:V,"&lt;=20210506"),1)</f>
        <v>-134.9</v>
      </c>
      <c r="T305" s="65">
        <f>ROUND(SUMIFS(险种!Q:Q,险种!U:U,"有效",险种!E:E,E:E,险种!V:V,"&lt;=20210506"),1)</f>
        <v>-134.9</v>
      </c>
      <c r="U305" s="65">
        <f>ROUND(SUMIFS(险种!Q:Q,险种!E:E,E:E,险种!V:V,"&lt;=20210510")-SUMIFS(险种!Q:Q,险种!U:U,"终止",险种!E:E,E:E,险种!V:V,"&lt;=20210510"),1)</f>
        <v>-231.3</v>
      </c>
      <c r="V305" s="65">
        <f>ROUND(SUMIFS(险种!Q:Q,险种!U:U,"有效",险种!E:E,E:E,险种!V:V,"&lt;=20210510"),1)</f>
        <v>-231.3</v>
      </c>
      <c r="W305" s="65">
        <f t="shared" si="5"/>
        <v>0</v>
      </c>
      <c r="X305" s="68">
        <f>SUMIF(险种!E:E,E:E,险种!Y:Y)</f>
        <v>0</v>
      </c>
      <c r="Y305" s="65">
        <f>MAX(_xlfn.IFS(OR(X:X=1,X:X=2),J:J*0.1,X:X&gt;=3,J:J*0.2,X:X=0,0),IF(J:J&gt;=20000,J:J*0.2,0))</f>
        <v>0</v>
      </c>
      <c r="Z305" s="65" t="str">
        <f>A305&amp;D305&amp;G305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凤台缪玉玲伙伴5.1-5.10预收价值保费-231，首周预收3000P件数0件，预收拟加佣0元。温馨提示，保单需10日（含）前承保，目前还有0价值保费未承保,开单一件即可获得10%加佣</v>
      </c>
      <c r="AA305" s="68">
        <f>SUMIF(险种!E:E,E:E,险种!Z:Z)</f>
        <v>0</v>
      </c>
      <c r="AB305" s="65"/>
      <c r="AC305" s="68">
        <f>SUMIF(险种!E:E,E:E,险种!AA:AA)</f>
        <v>0</v>
      </c>
      <c r="AD305" s="68">
        <f>SUMIFS(险种!AA:AA,险种!U:U,"有效",险种!E:E,E:E)</f>
        <v>0</v>
      </c>
      <c r="AE305" s="68" t="str">
        <f>A305&amp;D305&amp;G305&amp;"目前获得"&amp;$AC$1&amp;AC:AC&amp;"名，获得"&amp;$AD$1&amp;AD:AD&amp;"名"</f>
        <v>凤台缪玉玲伙伴目前获得龙虾节预收名额0名，获得龙虾节承保名额0名</v>
      </c>
      <c r="AF305" s="68">
        <f>SUMIF(认购返还案!D:D,E:E,认购返还案!E:E)</f>
        <v>200</v>
      </c>
      <c r="AG305" s="68">
        <f>_xlfn.IFS(AND(U:U&gt;=3000,U:U&lt;5000),AF:AF*0.5,U:U&gt;=5000,AF:AF*1,U:U&lt;3000,0)</f>
        <v>0</v>
      </c>
      <c r="AH305" s="68">
        <f>_xlfn.IFS(AND(V:V&gt;=3000,V:V&lt;5000),AF:AF*0.5,V:V&gt;=5000,AF:AF*1,V:V&lt;3000,0)</f>
        <v>0</v>
      </c>
      <c r="AI305" s="68" t="str">
        <f>A:A&amp;D:D&amp;G:G&amp;$AF$1&amp;AF:AF&amp;"元，目前预收价值"&amp;U:U&amp;"，"&amp;$AG$1&amp;AG:AG&amp;"元，"&amp;$AH$1&amp;AH:AH&amp;"元"</f>
        <v>凤台缪玉玲伙伴冲锋队缴费金额200元，目前预收价值-231.3，预收拟返还0元，承保拟返还0元</v>
      </c>
      <c r="AJ305" s="68">
        <f>SUMIF(保单!R:R,E:E,保单!BE:BE)*IF(AF:AF&gt;1,1,0)</f>
        <v>0</v>
      </c>
      <c r="AK305" s="68">
        <f>SUMIFS(保单!BE:BE,保单!R:R,E:E,保单!BB:BB,"有效")*IF(AF:AF&gt;1,1,0)</f>
        <v>0</v>
      </c>
      <c r="AL305" s="72" t="str">
        <f>A:A&amp;D:D&amp;G:G&amp;"只要在1-10日承保全部保单，即可获得"&amp;$AJ$1&amp;AJ:AJ&amp;"个"</f>
        <v>凤台缪玉玲伙伴只要在1-10日承保全部保单，即可获得冲锋队按摩仪0个</v>
      </c>
    </row>
    <row r="306" spans="1:38">
      <c r="A306" s="64" t="s">
        <v>42</v>
      </c>
      <c r="B306" s="64" t="s">
        <v>62</v>
      </c>
      <c r="C306" s="64" t="s">
        <v>86</v>
      </c>
      <c r="D306" s="64" t="s">
        <v>89</v>
      </c>
      <c r="E306" s="64">
        <v>584648952</v>
      </c>
      <c r="F306" s="64" t="s">
        <v>168</v>
      </c>
      <c r="G306" s="64" t="str">
        <f>IF(OR(F:F="高级经理一级",F:F="业务经理一级"),"主管","伙伴")</f>
        <v>伙伴</v>
      </c>
      <c r="H306" s="65">
        <f>SUMIF(险种!E:E,E:E,险种!R:R)-SUMIFS(险种!R:R,险种!U:U,"终止",险种!E:E,E:E)</f>
        <v>1149</v>
      </c>
      <c r="I306" s="65">
        <f>SUMIFS(险种!R:R,险种!U:U,"有效",险种!E:E,E:E)</f>
        <v>1149</v>
      </c>
      <c r="J306" s="65">
        <f>ROUND(SUMIF(险种!E:E,E:E,险种!Q:Q)-SUMIFS(险种!Q:Q,险种!U:U,"终止",险种!E:E,E:E),1)</f>
        <v>-259.3</v>
      </c>
      <c r="K306" s="68">
        <f>RANK(J306,J:J)</f>
        <v>306</v>
      </c>
      <c r="L306" s="65">
        <f>ROUND(SUMIFS(险种!Q:Q,险种!U:U,"有效",险种!E:E,E:E),1)</f>
        <v>-259.3</v>
      </c>
      <c r="M306" s="68">
        <f>RANK(L306,L:L,)</f>
        <v>305</v>
      </c>
      <c r="N306" s="68">
        <f>SUMIF(险种!E:E,E:E,险种!W:W)</f>
        <v>0</v>
      </c>
      <c r="O306" s="68">
        <f>IF(N:N&gt;=1,1,0)</f>
        <v>0</v>
      </c>
      <c r="P306" s="65">
        <f>ROUND(SUMIFS(险种!Q:Q,险种!V:V,$P$1,险种!E:E,E:E),1)</f>
        <v>0</v>
      </c>
      <c r="Q306" s="68">
        <f>RANK(P306,$P:$P,0)-1</f>
        <v>5</v>
      </c>
      <c r="R306" s="68" t="str">
        <f>A:A&amp;D:D&amp;G:G&amp;"在"&amp;$P$1&amp;"预收"&amp;P:P&amp;"排名中支第"&amp;Q:Q&amp;"位"</f>
        <v>淮南本部王来艳伙伴在20210509预收0排名中支第5位</v>
      </c>
      <c r="S306" s="65">
        <f>ROUND(SUMIFS(险种!Q:Q,险种!E:E,E:E,险种!V:V,"&lt;=20210506")-SUMIFS(险种!Q:Q,险种!U:U,"终止",险种!E:E,E:E,险种!V:V,"&lt;=20210506"),1)</f>
        <v>0</v>
      </c>
      <c r="T306" s="65">
        <f>ROUND(SUMIFS(险种!Q:Q,险种!U:U,"有效",险种!E:E,E:E,险种!V:V,"&lt;=20210506"),1)</f>
        <v>0</v>
      </c>
      <c r="U306" s="65">
        <f>ROUND(SUMIFS(险种!Q:Q,险种!E:E,E:E,险种!V:V,"&lt;=20210510")-SUMIFS(险种!Q:Q,险种!U:U,"终止",险种!E:E,E:E,险种!V:V,"&lt;=20210510"),1)</f>
        <v>-259.3</v>
      </c>
      <c r="V306" s="65">
        <f>ROUND(SUMIFS(险种!Q:Q,险种!U:U,"有效",险种!E:E,E:E,险种!V:V,"&lt;=20210510"),1)</f>
        <v>-259.3</v>
      </c>
      <c r="W306" s="65">
        <f t="shared" si="5"/>
        <v>0</v>
      </c>
      <c r="X306" s="68">
        <f>SUMIF(险种!E:E,E:E,险种!Y:Y)</f>
        <v>0</v>
      </c>
      <c r="Y306" s="65">
        <f>MAX(_xlfn.IFS(OR(X:X=1,X:X=2),J:J*0.1,X:X&gt;=3,J:J*0.2,X:X=0,0),IF(J:J&gt;=20000,J:J*0.2,0))</f>
        <v>0</v>
      </c>
      <c r="Z306" s="65" t="str">
        <f>A306&amp;D306&amp;G306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淮南本部王来艳伙伴5.1-5.10预收价值保费-259，首周预收3000P件数0件，预收拟加佣0元。温馨提示，保单需10日（含）前承保，目前还有0价值保费未承保,开单一件即可获得10%加佣</v>
      </c>
      <c r="AA306" s="68">
        <f>SUMIF(险种!E:E,E:E,险种!Z:Z)</f>
        <v>0</v>
      </c>
      <c r="AB306" s="65"/>
      <c r="AC306" s="68">
        <f>SUMIF(险种!E:E,E:E,险种!AA:AA)</f>
        <v>0</v>
      </c>
      <c r="AD306" s="68">
        <f>SUMIFS(险种!AA:AA,险种!U:U,"有效",险种!E:E,E:E)</f>
        <v>0</v>
      </c>
      <c r="AE306" s="68" t="str">
        <f>A306&amp;D306&amp;G306&amp;"目前获得"&amp;$AC$1&amp;AC:AC&amp;"名，获得"&amp;$AD$1&amp;AD:AD&amp;"名"</f>
        <v>淮南本部王来艳伙伴目前获得龙虾节预收名额0名，获得龙虾节承保名额0名</v>
      </c>
      <c r="AF306" s="68">
        <f>SUMIF(认购返还案!D:D,E:E,认购返还案!E:E)</f>
        <v>0</v>
      </c>
      <c r="AG306" s="68">
        <f>_xlfn.IFS(AND(U:U&gt;=3000,U:U&lt;5000),AF:AF*0.5,U:U&gt;=5000,AF:AF*1,U:U&lt;3000,0)</f>
        <v>0</v>
      </c>
      <c r="AH306" s="68">
        <f>_xlfn.IFS(AND(V:V&gt;=3000,V:V&lt;5000),AF:AF*0.5,V:V&gt;=5000,AF:AF*1,V:V&lt;3000,0)</f>
        <v>0</v>
      </c>
      <c r="AI306" s="68" t="str">
        <f>A:A&amp;D:D&amp;G:G&amp;$AF$1&amp;AF:AF&amp;"元，目前预收价值"&amp;U:U&amp;"，"&amp;$AG$1&amp;AG:AG&amp;"元，"&amp;$AH$1&amp;AH:AH&amp;"元"</f>
        <v>淮南本部王来艳伙伴冲锋队缴费金额0元，目前预收价值-259.3，预收拟返还0元，承保拟返还0元</v>
      </c>
      <c r="AJ306" s="68">
        <f>SUMIF(保单!R:R,E:E,保单!BE:BE)*IF(AF:AF&gt;1,1,0)</f>
        <v>0</v>
      </c>
      <c r="AK306" s="68">
        <f>SUMIFS(保单!BE:BE,保单!R:R,E:E,保单!BB:BB,"有效")*IF(AF:AF&gt;1,1,0)</f>
        <v>0</v>
      </c>
      <c r="AL306" s="72" t="str">
        <f>A:A&amp;D:D&amp;G:G&amp;"只要在1-10日承保全部保单，即可获得"&amp;$AJ$1&amp;AJ:AJ&amp;"个"</f>
        <v>淮南本部王来艳伙伴只要在1-10日承保全部保单，即可获得冲锋队按摩仪0个</v>
      </c>
    </row>
    <row r="307" spans="1:38">
      <c r="A307" s="64" t="s">
        <v>48</v>
      </c>
      <c r="B307" s="64" t="s">
        <v>49</v>
      </c>
      <c r="C307" s="64" t="s">
        <v>50</v>
      </c>
      <c r="D307" s="64" t="s">
        <v>74</v>
      </c>
      <c r="E307" s="64">
        <v>782700762</v>
      </c>
      <c r="F307" s="64" t="s">
        <v>174</v>
      </c>
      <c r="G307" s="64" t="str">
        <f>IF(OR(F:F="高级经理一级",F:F="业务经理一级"),"主管","伙伴")</f>
        <v>伙伴</v>
      </c>
      <c r="H307" s="65">
        <f>SUMIF(险种!E:E,E:E,险种!R:R)-SUMIFS(险种!R:R,险种!U:U,"终止",险种!E:E,E:E)</f>
        <v>2011</v>
      </c>
      <c r="I307" s="65">
        <f>SUMIFS(险种!R:R,险种!U:U,"有效",险种!E:E,E:E)</f>
        <v>0</v>
      </c>
      <c r="J307" s="65">
        <f>ROUND(SUMIF(险种!E:E,E:E,险种!Q:Q)-SUMIFS(险种!Q:Q,险种!U:U,"终止",险种!E:E,E:E),1)</f>
        <v>-153.6</v>
      </c>
      <c r="K307" s="68">
        <f>RANK(J307,J:J)</f>
        <v>304</v>
      </c>
      <c r="L307" s="65">
        <f>ROUND(SUMIFS(险种!Q:Q,险种!U:U,"有效",险种!E:E,E:E),1)</f>
        <v>0</v>
      </c>
      <c r="M307" s="68">
        <f>RANK(L307,L:L,)</f>
        <v>14</v>
      </c>
      <c r="N307" s="68">
        <f>SUMIF(险种!E:E,E:E,险种!W:W)</f>
        <v>0</v>
      </c>
      <c r="O307" s="68">
        <f>IF(N:N&gt;=1,1,0)</f>
        <v>0</v>
      </c>
      <c r="P307" s="65">
        <f>ROUND(SUMIFS(险种!Q:Q,险种!V:V,$P$1,险种!E:E,E:E),1)</f>
        <v>-153.6</v>
      </c>
      <c r="Q307" s="68">
        <f>RANK(P307,$P:$P,0)-1</f>
        <v>306</v>
      </c>
      <c r="R307" s="68" t="str">
        <f>A:A&amp;D:D&amp;G:G&amp;"在"&amp;$P$1&amp;"预收"&amp;P:P&amp;"排名中支第"&amp;Q:Q&amp;"位"</f>
        <v>谢家集董慧慧伙伴在20210509预收-153.6排名中支第306位</v>
      </c>
      <c r="S307" s="65">
        <f>ROUND(SUMIFS(险种!Q:Q,险种!E:E,E:E,险种!V:V,"&lt;=20210506")-SUMIFS(险种!Q:Q,险种!U:U,"终止",险种!E:E,E:E,险种!V:V,"&lt;=20210506"),1)</f>
        <v>0</v>
      </c>
      <c r="T307" s="65">
        <f>ROUND(SUMIFS(险种!Q:Q,险种!U:U,"有效",险种!E:E,E:E,险种!V:V,"&lt;=20210506"),1)</f>
        <v>0</v>
      </c>
      <c r="U307" s="65">
        <f>ROUND(SUMIFS(险种!Q:Q,险种!E:E,E:E,险种!V:V,"&lt;=20210510")-SUMIFS(险种!Q:Q,险种!U:U,"终止",险种!E:E,E:E,险种!V:V,"&lt;=20210510"),1)</f>
        <v>-153.6</v>
      </c>
      <c r="V307" s="65">
        <f>ROUND(SUMIFS(险种!Q:Q,险种!U:U,"有效",险种!E:E,E:E,险种!V:V,"&lt;=20210510"),1)</f>
        <v>0</v>
      </c>
      <c r="W307" s="65">
        <f t="shared" si="5"/>
        <v>-153.6</v>
      </c>
      <c r="X307" s="68">
        <f>SUMIF(险种!E:E,E:E,险种!Y:Y)</f>
        <v>0</v>
      </c>
      <c r="Y307" s="65">
        <f>MAX(_xlfn.IFS(OR(X:X=1,X:X=2),J:J*0.1,X:X&gt;=3,J:J*0.2,X:X=0,0),IF(J:J&gt;=20000,J:J*0.2,0))</f>
        <v>0</v>
      </c>
      <c r="Z307" s="65" t="str">
        <f>A307&amp;D307&amp;G307&amp;$U$1&amp;"价值保费"&amp;ROUND(U:U,0)&amp;"，"&amp;$X$1&amp;X:X&amp;"件，预收拟加佣"&amp;ROUND(Y:Y,0)&amp;"元。温馨提示，保单需10日（含）前承保，目前还有"&amp;ROUND(W:W,0)&amp;"价值保费未承保,"&amp;_xlfn.IFS(X:X&gt;0,"距离20%提档差距"&amp;3-X:X&amp;"件",X:X&gt;=3,"已获得20%加佣",X:X=0,"开单一件即可获得10%加佣")</f>
        <v>谢家集董慧慧伙伴5.1-5.10预收价值保费-154，首周预收3000P件数0件，预收拟加佣0元。温馨提示，保单需10日（含）前承保，目前还有-154价值保费未承保,开单一件即可获得10%加佣</v>
      </c>
      <c r="AA307" s="68">
        <f>SUMIF(险种!E:E,E:E,险种!Z:Z)</f>
        <v>0</v>
      </c>
      <c r="AB307" s="65"/>
      <c r="AC307" s="68">
        <f>SUMIF(险种!E:E,E:E,险种!AA:AA)</f>
        <v>0</v>
      </c>
      <c r="AD307" s="68">
        <f>SUMIFS(险种!AA:AA,险种!U:U,"有效",险种!E:E,E:E)</f>
        <v>0</v>
      </c>
      <c r="AE307" s="68" t="str">
        <f>A307&amp;D307&amp;G307&amp;"目前获得"&amp;$AC$1&amp;AC:AC&amp;"名，获得"&amp;$AD$1&amp;AD:AD&amp;"名"</f>
        <v>谢家集董慧慧伙伴目前获得龙虾节预收名额0名，获得龙虾节承保名额0名</v>
      </c>
      <c r="AF307" s="68">
        <f>SUMIF(认购返还案!D:D,E:E,认购返还案!E:E)</f>
        <v>0</v>
      </c>
      <c r="AG307" s="68">
        <f>_xlfn.IFS(AND(U:U&gt;=3000,U:U&lt;5000),AF:AF*0.5,U:U&gt;=5000,AF:AF*1,U:U&lt;3000,0)</f>
        <v>0</v>
      </c>
      <c r="AH307" s="68">
        <f>_xlfn.IFS(AND(V:V&gt;=3000,V:V&lt;5000),AF:AF*0.5,V:V&gt;=5000,AF:AF*1,V:V&lt;3000,0)</f>
        <v>0</v>
      </c>
      <c r="AI307" s="68" t="str">
        <f>A:A&amp;D:D&amp;G:G&amp;$AF$1&amp;AF:AF&amp;"元，目前预收价值"&amp;U:U&amp;"，"&amp;$AG$1&amp;AG:AG&amp;"元，"&amp;$AH$1&amp;AH:AH&amp;"元"</f>
        <v>谢家集董慧慧伙伴冲锋队缴费金额0元，目前预收价值-153.6，预收拟返还0元，承保拟返还0元</v>
      </c>
      <c r="AJ307" s="68">
        <f>SUMIF(保单!R:R,E:E,保单!BE:BE)*IF(AF:AF&gt;1,1,0)</f>
        <v>0</v>
      </c>
      <c r="AK307" s="68">
        <f>SUMIFS(保单!BE:BE,保单!R:R,E:E,保单!BB:BB,"有效")*IF(AF:AF&gt;1,1,0)</f>
        <v>0</v>
      </c>
      <c r="AL307" s="72" t="str">
        <f>A:A&amp;D:D&amp;G:G&amp;"只要在1-10日承保全部保单，即可获得"&amp;$AJ$1&amp;AJ:AJ&amp;"个"</f>
        <v>谢家集董慧慧伙伴只要在1-10日承保全部保单，即可获得冲锋队按摩仪0个</v>
      </c>
    </row>
  </sheetData>
  <autoFilter ref="A1:AP307">
    <sortState ref="A1:AP307">
      <sortCondition ref="Q1"/>
    </sortState>
    <extLst/>
  </autoFilter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FF00"/>
  </sheetPr>
  <dimension ref="A1:M91"/>
  <sheetViews>
    <sheetView workbookViewId="0">
      <selection activeCell="A2" sqref="A2:E69"/>
    </sheetView>
  </sheetViews>
  <sheetFormatPr defaultColWidth="9" defaultRowHeight="39" customHeight="1"/>
  <cols>
    <col min="1" max="1" width="13.75" style="52" customWidth="1"/>
    <col min="2" max="2" width="13.375" style="52" customWidth="1"/>
    <col min="3" max="3" width="13.75" style="52" customWidth="1"/>
    <col min="4" max="4" width="15.125" style="52" hidden="1" customWidth="1"/>
    <col min="5" max="11" width="13.75" style="52" customWidth="1"/>
  </cols>
  <sheetData>
    <row r="1" customHeight="1" spans="1:11">
      <c r="A1" s="27" t="s">
        <v>531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="50" customFormat="1" ht="35" customHeight="1" spans="1:11">
      <c r="A2" s="54" t="s">
        <v>177</v>
      </c>
      <c r="B2" s="54" t="s">
        <v>532</v>
      </c>
      <c r="C2" s="54" t="s">
        <v>533</v>
      </c>
      <c r="D2" s="54" t="s">
        <v>534</v>
      </c>
      <c r="E2" s="54" t="s">
        <v>535</v>
      </c>
      <c r="F2" s="54" t="s">
        <v>183</v>
      </c>
      <c r="G2" s="54" t="s">
        <v>254</v>
      </c>
      <c r="H2" s="54" t="s">
        <v>536</v>
      </c>
      <c r="I2" s="54" t="s">
        <v>185</v>
      </c>
      <c r="J2" s="54" t="s">
        <v>255</v>
      </c>
      <c r="K2" s="54" t="s">
        <v>537</v>
      </c>
    </row>
    <row r="3" s="51" customFormat="1" ht="35" customHeight="1" spans="1:11">
      <c r="A3" s="55" t="s">
        <v>213</v>
      </c>
      <c r="B3" s="55" t="s">
        <v>62</v>
      </c>
      <c r="C3" s="55" t="s">
        <v>64</v>
      </c>
      <c r="D3" s="55">
        <v>6550500692</v>
      </c>
      <c r="E3" s="55">
        <v>200</v>
      </c>
      <c r="F3" s="55">
        <f>VLOOKUP(D:D,代理人!E:U,17,0)</f>
        <v>11168.7</v>
      </c>
      <c r="G3" s="55" t="str">
        <f>VLOOKUP(D:D,代理人!E:AH,27,0)</f>
        <v>淮南本部程楠伙伴目前获得龙虾节预收名额12名，获得龙虾节承保名额0名</v>
      </c>
      <c r="H3" s="55">
        <f>IF(F:F&lt;=5000,5000-F:F,0)</f>
        <v>0</v>
      </c>
      <c r="I3" s="55">
        <f>VLOOKUP(D:D,代理人!E:V,18,0)</f>
        <v>0</v>
      </c>
      <c r="J3" s="55">
        <f>VLOOKUP(D:D,代理人!E:AH,28,0)</f>
        <v>200</v>
      </c>
      <c r="K3" s="55">
        <f>IF(I:I&lt;=5000,5000-I:I,0)</f>
        <v>5000</v>
      </c>
    </row>
    <row r="4" s="51" customFormat="1" ht="35" customHeight="1" spans="1:11">
      <c r="A4" s="56" t="s">
        <v>213</v>
      </c>
      <c r="B4" s="56" t="s">
        <v>43</v>
      </c>
      <c r="C4" s="56" t="s">
        <v>71</v>
      </c>
      <c r="D4" s="56">
        <v>5689072702</v>
      </c>
      <c r="E4" s="56">
        <v>200</v>
      </c>
      <c r="F4" s="56">
        <f>VLOOKUP(D:D,代理人!E:U,17,0)</f>
        <v>9786.6</v>
      </c>
      <c r="G4" s="56" t="str">
        <f>VLOOKUP(D:D,代理人!E:AH,27,0)</f>
        <v>淮南本部方林主管目前获得龙虾节预收名额10名，获得龙虾节承保名额10名</v>
      </c>
      <c r="H4" s="56">
        <f>IF(F:F&lt;=5000,5000-F:F,0)</f>
        <v>0</v>
      </c>
      <c r="I4" s="56">
        <f>VLOOKUP(D:D,代理人!E:V,18,0)</f>
        <v>9786.6</v>
      </c>
      <c r="J4" s="56">
        <f>VLOOKUP(D:D,代理人!E:AH,28,0)</f>
        <v>200</v>
      </c>
      <c r="K4" s="56">
        <f>IF(I:I&lt;=5000,5000-I:I,0)</f>
        <v>0</v>
      </c>
    </row>
    <row r="5" s="51" customFormat="1" ht="35" customHeight="1" spans="1:11">
      <c r="A5" s="56" t="s">
        <v>48</v>
      </c>
      <c r="B5" s="56" t="s">
        <v>49</v>
      </c>
      <c r="C5" s="56" t="s">
        <v>91</v>
      </c>
      <c r="D5" s="56">
        <v>157576102</v>
      </c>
      <c r="E5" s="56">
        <v>200</v>
      </c>
      <c r="F5" s="56">
        <f>VLOOKUP(D:D,代理人!E:U,17,0)</f>
        <v>8298.5</v>
      </c>
      <c r="G5" s="56" t="str">
        <f>VLOOKUP(D:D,代理人!E:AH,27,0)</f>
        <v>谢家集杨琴伙伴目前获得龙虾节预收名额8名，获得龙虾节承保名额0名</v>
      </c>
      <c r="H5" s="56">
        <f>IF(F:F&lt;=5000,5000-F:F,0)</f>
        <v>0</v>
      </c>
      <c r="I5" s="56">
        <f>VLOOKUP(D:D,代理人!E:V,18,0)</f>
        <v>0</v>
      </c>
      <c r="J5" s="56">
        <f>VLOOKUP(D:D,代理人!E:AH,28,0)</f>
        <v>200</v>
      </c>
      <c r="K5" s="56">
        <f>IF(I:I&lt;=5000,5000-I:I,0)</f>
        <v>5000</v>
      </c>
    </row>
    <row r="6" s="51" customFormat="1" ht="35" customHeight="1" spans="1:11">
      <c r="A6" s="56" t="s">
        <v>27</v>
      </c>
      <c r="B6" s="56" t="s">
        <v>214</v>
      </c>
      <c r="C6" s="56" t="s">
        <v>60</v>
      </c>
      <c r="D6" s="56">
        <v>51137372</v>
      </c>
      <c r="E6" s="56">
        <v>200</v>
      </c>
      <c r="F6" s="56">
        <f>VLOOKUP(D:D,代理人!E:U,17,0)</f>
        <v>8161.2</v>
      </c>
      <c r="G6" s="56" t="str">
        <f>VLOOKUP(D:D,代理人!E:AH,27,0)</f>
        <v>凤台刘康丽伙伴目前获得龙虾节预收名额7名，获得龙虾节承保名额7名</v>
      </c>
      <c r="H6" s="56">
        <f>IF(F:F&lt;=5000,5000-F:F,0)</f>
        <v>0</v>
      </c>
      <c r="I6" s="56">
        <f>VLOOKUP(D:D,代理人!E:V,18,0)</f>
        <v>8116.4</v>
      </c>
      <c r="J6" s="56">
        <f>VLOOKUP(D:D,代理人!E:AH,28,0)</f>
        <v>200</v>
      </c>
      <c r="K6" s="56">
        <f>IF(I:I&lt;=5000,5000-I:I,0)</f>
        <v>0</v>
      </c>
    </row>
    <row r="7" s="51" customFormat="1" ht="35" customHeight="1" spans="1:11">
      <c r="A7" s="56" t="s">
        <v>213</v>
      </c>
      <c r="B7" s="56" t="s">
        <v>43</v>
      </c>
      <c r="C7" s="56" t="s">
        <v>45</v>
      </c>
      <c r="D7" s="56">
        <v>51108342</v>
      </c>
      <c r="E7" s="56">
        <v>200</v>
      </c>
      <c r="F7" s="56">
        <f>VLOOKUP(D:D,代理人!E:U,17,0)</f>
        <v>6605.1</v>
      </c>
      <c r="G7" s="56" t="str">
        <f>VLOOKUP(D:D,代理人!E:AH,27,0)</f>
        <v>淮南本部陈宏霞主管目前获得龙虾节预收名额7名，获得龙虾节承保名额3名</v>
      </c>
      <c r="H7" s="56">
        <f>IF(F:F&lt;=5000,5000-F:F,0)</f>
        <v>0</v>
      </c>
      <c r="I7" s="56">
        <f>VLOOKUP(D:D,代理人!E:V,18,0)</f>
        <v>3195.8</v>
      </c>
      <c r="J7" s="56">
        <f>VLOOKUP(D:D,代理人!E:AH,28,0)</f>
        <v>200</v>
      </c>
      <c r="K7" s="56">
        <f>IF(I:I&lt;=5000,5000-I:I,0)</f>
        <v>1804.2</v>
      </c>
    </row>
    <row r="8" s="51" customFormat="1" ht="35" customHeight="1" spans="1:11">
      <c r="A8" s="56" t="s">
        <v>48</v>
      </c>
      <c r="B8" s="56" t="s">
        <v>49</v>
      </c>
      <c r="C8" s="56" t="s">
        <v>104</v>
      </c>
      <c r="D8" s="56">
        <v>5449941392</v>
      </c>
      <c r="E8" s="56">
        <v>400</v>
      </c>
      <c r="F8" s="56">
        <f>VLOOKUP(D:D,代理人!E:U,17,0)</f>
        <v>5584.1</v>
      </c>
      <c r="G8" s="56" t="str">
        <f>VLOOKUP(D:D,代理人!E:AH,27,0)</f>
        <v>谢家集杨娟主管目前获得龙虾节预收名额6名，获得龙虾节承保名额6名</v>
      </c>
      <c r="H8" s="56">
        <f>IF(F:F&lt;=5000,5000-F:F,0)</f>
        <v>0</v>
      </c>
      <c r="I8" s="56">
        <f>VLOOKUP(D:D,代理人!E:V,18,0)</f>
        <v>5584.1</v>
      </c>
      <c r="J8" s="56">
        <f>VLOOKUP(D:D,代理人!E:AH,28,0)</f>
        <v>400</v>
      </c>
      <c r="K8" s="56">
        <f>IF(I:I&lt;=5000,5000-I:I,0)</f>
        <v>0</v>
      </c>
    </row>
    <row r="9" s="51" customFormat="1" ht="35" customHeight="1" spans="1:13">
      <c r="A9" s="56" t="s">
        <v>213</v>
      </c>
      <c r="B9" s="56" t="s">
        <v>62</v>
      </c>
      <c r="C9" s="56" t="s">
        <v>73</v>
      </c>
      <c r="D9" s="56">
        <v>6487584872</v>
      </c>
      <c r="E9" s="56">
        <v>200</v>
      </c>
      <c r="F9" s="56">
        <f>VLOOKUP(D:D,代理人!E:U,17,0)</f>
        <v>5341.3</v>
      </c>
      <c r="G9" s="56" t="str">
        <f>VLOOKUP(D:D,代理人!E:AH,27,0)</f>
        <v>淮南本部程梅伙伴目前获得龙虾节预收名额6名，获得龙虾节承保名额0名</v>
      </c>
      <c r="H9" s="56">
        <f>IF(F:F&lt;=5000,5000-F:F,0)</f>
        <v>0</v>
      </c>
      <c r="I9" s="56">
        <f>VLOOKUP(D:D,代理人!E:V,18,0)</f>
        <v>0</v>
      </c>
      <c r="J9" s="56">
        <f>VLOOKUP(D:D,代理人!E:AH,28,0)</f>
        <v>200</v>
      </c>
      <c r="K9" s="56">
        <f>IF(I:I&lt;=5000,5000-I:I,0)</f>
        <v>5000</v>
      </c>
      <c r="M9" s="50"/>
    </row>
    <row r="10" s="51" customFormat="1" ht="35" customHeight="1" spans="1:11">
      <c r="A10" s="55" t="s">
        <v>48</v>
      </c>
      <c r="B10" s="55" t="s">
        <v>49</v>
      </c>
      <c r="C10" s="55" t="s">
        <v>83</v>
      </c>
      <c r="D10" s="55">
        <v>6549480842</v>
      </c>
      <c r="E10" s="55">
        <v>200</v>
      </c>
      <c r="F10" s="55">
        <f>VLOOKUP(D:D,代理人!E:U,17,0)</f>
        <v>3478.4</v>
      </c>
      <c r="G10" s="55" t="str">
        <f>VLOOKUP(D:D,代理人!E:AH,27,0)</f>
        <v>谢家集刘锐伙伴目前获得龙虾节预收名额3名，获得龙虾节承保名额3名</v>
      </c>
      <c r="H10" s="55">
        <f>IF(F:F&lt;=5000,5000-F:F,0)</f>
        <v>1521.6</v>
      </c>
      <c r="I10" s="55">
        <f>VLOOKUP(D:D,代理人!E:V,18,0)</f>
        <v>3478.4</v>
      </c>
      <c r="J10" s="55">
        <f>VLOOKUP(D:D,代理人!E:AH,28,0)</f>
        <v>200</v>
      </c>
      <c r="K10" s="55">
        <f>IF(I:I&lt;=5000,5000-I:I,0)</f>
        <v>1521.6</v>
      </c>
    </row>
    <row r="11" s="51" customFormat="1" ht="35" customHeight="1" spans="1:11">
      <c r="A11" s="55" t="s">
        <v>213</v>
      </c>
      <c r="B11" s="55" t="s">
        <v>66</v>
      </c>
      <c r="C11" s="55" t="s">
        <v>68</v>
      </c>
      <c r="D11" s="55">
        <v>55996582</v>
      </c>
      <c r="E11" s="55">
        <v>200</v>
      </c>
      <c r="F11" s="55">
        <f>VLOOKUP(D:D,代理人!E:U,17,0)</f>
        <v>3151.8</v>
      </c>
      <c r="G11" s="55" t="str">
        <f>VLOOKUP(D:D,代理人!E:AH,27,0)</f>
        <v>淮南本部杨书珍主管目前获得龙虾节预收名额3名，获得龙虾节承保名额3名</v>
      </c>
      <c r="H11" s="55">
        <f>IF(F:F&lt;=5000,5000-F:F,0)</f>
        <v>1848.2</v>
      </c>
      <c r="I11" s="55">
        <f>VLOOKUP(D:D,代理人!E:V,18,0)</f>
        <v>3134.4</v>
      </c>
      <c r="J11" s="55">
        <f>VLOOKUP(D:D,代理人!E:AH,28,0)</f>
        <v>200</v>
      </c>
      <c r="K11" s="55">
        <f>IF(I:I&lt;=5000,5000-I:I,0)</f>
        <v>1865.6</v>
      </c>
    </row>
    <row r="12" s="51" customFormat="1" ht="35" customHeight="1" spans="1:11">
      <c r="A12" s="55" t="s">
        <v>213</v>
      </c>
      <c r="B12" s="55" t="s">
        <v>62</v>
      </c>
      <c r="C12" s="55" t="s">
        <v>87</v>
      </c>
      <c r="D12" s="55">
        <v>214639732</v>
      </c>
      <c r="E12" s="55">
        <v>200</v>
      </c>
      <c r="F12" s="55">
        <f>VLOOKUP(D:D,代理人!E:U,17,0)</f>
        <v>1825</v>
      </c>
      <c r="G12" s="55" t="str">
        <f>VLOOKUP(D:D,代理人!E:AH,27,0)</f>
        <v>淮南本部程文侠主管目前获得龙虾节预收名额3名，获得龙虾节承保名额0名</v>
      </c>
      <c r="H12" s="55">
        <f>IF(F:F&lt;=5000,5000-F:F,0)</f>
        <v>3175</v>
      </c>
      <c r="I12" s="55">
        <f>VLOOKUP(D:D,代理人!E:V,18,0)</f>
        <v>-383.2</v>
      </c>
      <c r="J12" s="55">
        <f>VLOOKUP(D:D,代理人!E:AH,28,0)</f>
        <v>200</v>
      </c>
      <c r="K12" s="55">
        <f>IF(I:I&lt;=5000,5000-I:I,0)</f>
        <v>5383.2</v>
      </c>
    </row>
    <row r="13" s="51" customFormat="1" ht="35" customHeight="1" spans="1:11">
      <c r="A13" s="55" t="s">
        <v>213</v>
      </c>
      <c r="B13" s="55" t="s">
        <v>43</v>
      </c>
      <c r="C13" s="55" t="s">
        <v>76</v>
      </c>
      <c r="D13" s="55">
        <v>5671371552</v>
      </c>
      <c r="E13" s="55">
        <v>200</v>
      </c>
      <c r="F13" s="55">
        <f>VLOOKUP(D:D,代理人!E:U,17,0)</f>
        <v>385.1</v>
      </c>
      <c r="G13" s="55" t="str">
        <f>VLOOKUP(D:D,代理人!E:AH,27,0)</f>
        <v>淮南本部吴苑主管目前获得龙虾节预收名额0名，获得龙虾节承保名额0名</v>
      </c>
      <c r="H13" s="55">
        <f>IF(F:F&lt;=5000,5000-F:F,0)</f>
        <v>4614.9</v>
      </c>
      <c r="I13" s="55">
        <f>VLOOKUP(D:D,代理人!E:V,18,0)</f>
        <v>-71.4</v>
      </c>
      <c r="J13" s="55">
        <f>VLOOKUP(D:D,代理人!E:AH,28,0)</f>
        <v>200</v>
      </c>
      <c r="K13" s="55">
        <f>IF(I:I&lt;=5000,5000-I:I,0)</f>
        <v>5071.4</v>
      </c>
    </row>
    <row r="14" s="51" customFormat="1" ht="35" customHeight="1" spans="1:11">
      <c r="A14" s="55" t="s">
        <v>27</v>
      </c>
      <c r="B14" s="55" t="s">
        <v>214</v>
      </c>
      <c r="C14" s="55" t="s">
        <v>54</v>
      </c>
      <c r="D14" s="55">
        <v>531925062</v>
      </c>
      <c r="E14" s="55">
        <v>200</v>
      </c>
      <c r="F14" s="55">
        <f>VLOOKUP(D:D,代理人!E:U,17,0)</f>
        <v>341.8</v>
      </c>
      <c r="G14" s="55" t="str">
        <f>VLOOKUP(D:D,代理人!E:AH,27,0)</f>
        <v>凤台康菊伙伴目前获得龙虾节预收名额0名，获得龙虾节承保名额0名</v>
      </c>
      <c r="H14" s="55">
        <f>IF(F:F&lt;=5000,5000-F:F,0)</f>
        <v>4658.2</v>
      </c>
      <c r="I14" s="55">
        <f>VLOOKUP(D:D,代理人!E:V,18,0)</f>
        <v>0</v>
      </c>
      <c r="J14" s="55">
        <f>VLOOKUP(D:D,代理人!E:AH,28,0)</f>
        <v>200</v>
      </c>
      <c r="K14" s="55">
        <f>IF(I:I&lt;=5000,5000-I:I,0)</f>
        <v>5000</v>
      </c>
    </row>
    <row r="15" s="51" customFormat="1" ht="35" customHeight="1" spans="1:11">
      <c r="A15" s="55" t="s">
        <v>213</v>
      </c>
      <c r="B15" s="55" t="s">
        <v>43</v>
      </c>
      <c r="C15" s="55" t="s">
        <v>78</v>
      </c>
      <c r="D15" s="55">
        <v>430700742</v>
      </c>
      <c r="E15" s="55">
        <v>200</v>
      </c>
      <c r="F15" s="55">
        <f>VLOOKUP(D:D,代理人!E:U,17,0)</f>
        <v>157.7</v>
      </c>
      <c r="G15" s="55" t="str">
        <f>VLOOKUP(D:D,代理人!E:AH,27,0)</f>
        <v>淮南本部宗林伙伴目前获得龙虾节预收名额0名，获得龙虾节承保名额0名</v>
      </c>
      <c r="H15" s="55">
        <f>IF(F:F&lt;=5000,5000-F:F,0)</f>
        <v>4842.3</v>
      </c>
      <c r="I15" s="55">
        <f>VLOOKUP(D:D,代理人!E:V,18,0)</f>
        <v>0</v>
      </c>
      <c r="J15" s="55">
        <f>VLOOKUP(D:D,代理人!E:AH,28,0)</f>
        <v>200</v>
      </c>
      <c r="K15" s="55">
        <f>IF(I:I&lt;=5000,5000-I:I,0)</f>
        <v>5000</v>
      </c>
    </row>
    <row r="16" s="51" customFormat="1" ht="35" customHeight="1" spans="1:11">
      <c r="A16" s="55" t="s">
        <v>27</v>
      </c>
      <c r="B16" s="55" t="s">
        <v>214</v>
      </c>
      <c r="C16" s="55" t="s">
        <v>107</v>
      </c>
      <c r="D16" s="55">
        <v>484039162</v>
      </c>
      <c r="E16" s="55">
        <v>200</v>
      </c>
      <c r="F16" s="55">
        <f>VLOOKUP(D:D,代理人!E:U,17,0)</f>
        <v>5.2</v>
      </c>
      <c r="G16" s="55" t="str">
        <f>VLOOKUP(D:D,代理人!E:AH,27,0)</f>
        <v>凤台张文粉伙伴目前获得龙虾节预收名额0名，获得龙虾节承保名额0名</v>
      </c>
      <c r="H16" s="55">
        <f>IF(F:F&lt;=5000,5000-F:F,0)</f>
        <v>4994.8</v>
      </c>
      <c r="I16" s="55">
        <f>VLOOKUP(D:D,代理人!E:V,18,0)</f>
        <v>5.2</v>
      </c>
      <c r="J16" s="55">
        <f>VLOOKUP(D:D,代理人!E:AH,28,0)</f>
        <v>200</v>
      </c>
      <c r="K16" s="55">
        <f>IF(I:I&lt;=5000,5000-I:I,0)</f>
        <v>4994.8</v>
      </c>
    </row>
    <row r="17" s="51" customFormat="1" ht="35" customHeight="1" spans="1:11">
      <c r="A17" s="55" t="s">
        <v>213</v>
      </c>
      <c r="B17" s="55" t="s">
        <v>62</v>
      </c>
      <c r="C17" s="55" t="s">
        <v>362</v>
      </c>
      <c r="D17" s="55">
        <v>6425876532</v>
      </c>
      <c r="E17" s="55">
        <v>200</v>
      </c>
      <c r="F17" s="55">
        <f>VLOOKUP(D:D,代理人!E:U,17,0)</f>
        <v>0</v>
      </c>
      <c r="G17" s="55" t="str">
        <f>VLOOKUP(D:D,代理人!E:AH,27,0)</f>
        <v>淮南本部刘翠伙伴目前获得龙虾节预收名额0名，获得龙虾节承保名额0名</v>
      </c>
      <c r="H17" s="55">
        <f>IF(F:F&lt;=5000,5000-F:F,0)</f>
        <v>5000</v>
      </c>
      <c r="I17" s="55">
        <f>VLOOKUP(D:D,代理人!E:V,18,0)</f>
        <v>0</v>
      </c>
      <c r="J17" s="55">
        <f>VLOOKUP(D:D,代理人!E:AH,28,0)</f>
        <v>200</v>
      </c>
      <c r="K17" s="55">
        <f>IF(I:I&lt;=5000,5000-I:I,0)</f>
        <v>5000</v>
      </c>
    </row>
    <row r="18" s="51" customFormat="1" ht="35" customHeight="1" spans="1:11">
      <c r="A18" s="55" t="s">
        <v>213</v>
      </c>
      <c r="B18" s="55" t="s">
        <v>43</v>
      </c>
      <c r="C18" s="55" t="s">
        <v>220</v>
      </c>
      <c r="D18" s="55">
        <v>362775482</v>
      </c>
      <c r="E18" s="55">
        <v>200</v>
      </c>
      <c r="F18" s="55">
        <f>VLOOKUP(D:D,代理人!E:U,17,0)</f>
        <v>0</v>
      </c>
      <c r="G18" s="55" t="str">
        <f>VLOOKUP(D:D,代理人!E:AH,27,0)</f>
        <v>淮南本部刘继英主管目前获得龙虾节预收名额0名，获得龙虾节承保名额0名</v>
      </c>
      <c r="H18" s="55">
        <f>IF(F:F&lt;=5000,5000-F:F,0)</f>
        <v>5000</v>
      </c>
      <c r="I18" s="55">
        <f>VLOOKUP(D:D,代理人!E:V,18,0)</f>
        <v>0</v>
      </c>
      <c r="J18" s="55">
        <f>VLOOKUP(D:D,代理人!E:AH,28,0)</f>
        <v>200</v>
      </c>
      <c r="K18" s="55">
        <f>IF(I:I&lt;=5000,5000-I:I,0)</f>
        <v>5000</v>
      </c>
    </row>
    <row r="19" s="51" customFormat="1" ht="35" customHeight="1" spans="1:11">
      <c r="A19" s="55" t="s">
        <v>213</v>
      </c>
      <c r="B19" s="55" t="s">
        <v>62</v>
      </c>
      <c r="C19" s="55" t="s">
        <v>222</v>
      </c>
      <c r="D19" s="55">
        <v>5722340032</v>
      </c>
      <c r="E19" s="55">
        <v>200</v>
      </c>
      <c r="F19" s="55">
        <f>VLOOKUP(D:D,代理人!E:U,17,0)</f>
        <v>0</v>
      </c>
      <c r="G19" s="55" t="str">
        <f>VLOOKUP(D:D,代理人!E:AH,27,0)</f>
        <v>淮南本部童会主管目前获得龙虾节预收名额0名，获得龙虾节承保名额0名</v>
      </c>
      <c r="H19" s="55">
        <f>IF(F:F&lt;=5000,5000-F:F,0)</f>
        <v>5000</v>
      </c>
      <c r="I19" s="55">
        <f>VLOOKUP(D:D,代理人!E:V,18,0)</f>
        <v>0</v>
      </c>
      <c r="J19" s="55">
        <f>VLOOKUP(D:D,代理人!E:AH,28,0)</f>
        <v>200</v>
      </c>
      <c r="K19" s="55">
        <f>IF(I:I&lt;=5000,5000-I:I,0)</f>
        <v>5000</v>
      </c>
    </row>
    <row r="20" s="51" customFormat="1" ht="35" customHeight="1" spans="1:11">
      <c r="A20" s="55" t="s">
        <v>213</v>
      </c>
      <c r="B20" s="55" t="s">
        <v>62</v>
      </c>
      <c r="C20" s="55" t="s">
        <v>304</v>
      </c>
      <c r="D20" s="55">
        <v>6526885242</v>
      </c>
      <c r="E20" s="55">
        <v>200</v>
      </c>
      <c r="F20" s="55">
        <f>VLOOKUP(D:D,代理人!E:U,17,0)</f>
        <v>0</v>
      </c>
      <c r="G20" s="55" t="str">
        <f>VLOOKUP(D:D,代理人!E:AH,27,0)</f>
        <v>淮南本部沈金悦伙伴目前获得龙虾节预收名额0名，获得龙虾节承保名额0名</v>
      </c>
      <c r="H20" s="55">
        <f>IF(F:F&lt;=5000,5000-F:F,0)</f>
        <v>5000</v>
      </c>
      <c r="I20" s="55">
        <f>VLOOKUP(D:D,代理人!E:V,18,0)</f>
        <v>0</v>
      </c>
      <c r="J20" s="55">
        <f>VLOOKUP(D:D,代理人!E:AH,28,0)</f>
        <v>200</v>
      </c>
      <c r="K20" s="55">
        <f>IF(I:I&lt;=5000,5000-I:I,0)</f>
        <v>5000</v>
      </c>
    </row>
    <row r="21" s="51" customFormat="1" ht="35" customHeight="1" spans="1:11">
      <c r="A21" s="55" t="s">
        <v>213</v>
      </c>
      <c r="B21" s="55" t="s">
        <v>62</v>
      </c>
      <c r="C21" s="55" t="s">
        <v>216</v>
      </c>
      <c r="D21" s="55">
        <v>6396788302</v>
      </c>
      <c r="E21" s="55">
        <v>200</v>
      </c>
      <c r="F21" s="55">
        <f>VLOOKUP(D:D,代理人!E:U,17,0)</f>
        <v>0</v>
      </c>
      <c r="G21" s="55" t="str">
        <f>VLOOKUP(D:D,代理人!E:AH,27,0)</f>
        <v>淮南本部王沁主管目前获得龙虾节预收名额0名，获得龙虾节承保名额0名</v>
      </c>
      <c r="H21" s="55">
        <f>IF(F:F&lt;=5000,5000-F:F,0)</f>
        <v>5000</v>
      </c>
      <c r="I21" s="55">
        <f>VLOOKUP(D:D,代理人!E:V,18,0)</f>
        <v>0</v>
      </c>
      <c r="J21" s="55">
        <f>VLOOKUP(D:D,代理人!E:AH,28,0)</f>
        <v>200</v>
      </c>
      <c r="K21" s="55">
        <f>IF(I:I&lt;=5000,5000-I:I,0)</f>
        <v>5000</v>
      </c>
    </row>
    <row r="22" s="51" customFormat="1" ht="35" customHeight="1" spans="1:11">
      <c r="A22" s="55" t="s">
        <v>213</v>
      </c>
      <c r="B22" s="55" t="s">
        <v>62</v>
      </c>
      <c r="C22" s="55" t="s">
        <v>316</v>
      </c>
      <c r="D22" s="55">
        <v>6493243482</v>
      </c>
      <c r="E22" s="55">
        <v>200</v>
      </c>
      <c r="F22" s="55">
        <f>VLOOKUP(D:D,代理人!E:U,17,0)</f>
        <v>0</v>
      </c>
      <c r="G22" s="55" t="str">
        <f>VLOOKUP(D:D,代理人!E:AH,27,0)</f>
        <v>淮南本部徐基云伙伴目前获得龙虾节预收名额0名，获得龙虾节承保名额0名</v>
      </c>
      <c r="H22" s="55">
        <f>IF(F:F&lt;=5000,5000-F:F,0)</f>
        <v>5000</v>
      </c>
      <c r="I22" s="55">
        <f>VLOOKUP(D:D,代理人!E:V,18,0)</f>
        <v>0</v>
      </c>
      <c r="J22" s="55">
        <f>VLOOKUP(D:D,代理人!E:AH,28,0)</f>
        <v>200</v>
      </c>
      <c r="K22" s="55">
        <f>IF(I:I&lt;=5000,5000-I:I,0)</f>
        <v>5000</v>
      </c>
    </row>
    <row r="23" s="51" customFormat="1" ht="35" customHeight="1" spans="1:11">
      <c r="A23" s="55" t="s">
        <v>213</v>
      </c>
      <c r="B23" s="55" t="s">
        <v>62</v>
      </c>
      <c r="C23" s="55" t="s">
        <v>399</v>
      </c>
      <c r="D23" s="55">
        <v>6328797672</v>
      </c>
      <c r="E23" s="55">
        <v>200</v>
      </c>
      <c r="F23" s="55">
        <f>VLOOKUP(D:D,代理人!E:U,17,0)</f>
        <v>0</v>
      </c>
      <c r="G23" s="55" t="str">
        <f>VLOOKUP(D:D,代理人!E:AH,27,0)</f>
        <v>淮南本部程业云伙伴目前获得龙虾节预收名额0名，获得龙虾节承保名额0名</v>
      </c>
      <c r="H23" s="55">
        <f>IF(F:F&lt;=5000,5000-F:F,0)</f>
        <v>5000</v>
      </c>
      <c r="I23" s="55">
        <f>VLOOKUP(D:D,代理人!E:V,18,0)</f>
        <v>0</v>
      </c>
      <c r="J23" s="55">
        <f>VLOOKUP(D:D,代理人!E:AH,28,0)</f>
        <v>200</v>
      </c>
      <c r="K23" s="55">
        <f>IF(I:I&lt;=5000,5000-I:I,0)</f>
        <v>5000</v>
      </c>
    </row>
    <row r="24" s="51" customFormat="1" ht="35" customHeight="1" spans="1:11">
      <c r="A24" s="55" t="s">
        <v>213</v>
      </c>
      <c r="B24" s="55" t="s">
        <v>43</v>
      </c>
      <c r="C24" s="55" t="s">
        <v>479</v>
      </c>
      <c r="D24" s="55">
        <v>5596364242</v>
      </c>
      <c r="E24" s="55">
        <v>200</v>
      </c>
      <c r="F24" s="55">
        <f>VLOOKUP(D:D,代理人!E:U,17,0)</f>
        <v>0</v>
      </c>
      <c r="G24" s="55" t="str">
        <f>VLOOKUP(D:D,代理人!E:AH,27,0)</f>
        <v>淮南本部胡孝萍伙伴目前获得龙虾节预收名额0名，获得龙虾节承保名额0名</v>
      </c>
      <c r="H24" s="55">
        <f>IF(F:F&lt;=5000,5000-F:F,0)</f>
        <v>5000</v>
      </c>
      <c r="I24" s="55">
        <f>VLOOKUP(D:D,代理人!E:V,18,0)</f>
        <v>0</v>
      </c>
      <c r="J24" s="55">
        <f>VLOOKUP(D:D,代理人!E:AH,28,0)</f>
        <v>200</v>
      </c>
      <c r="K24" s="55">
        <f>IF(I:I&lt;=5000,5000-I:I,0)</f>
        <v>5000</v>
      </c>
    </row>
    <row r="25" s="51" customFormat="1" ht="35" customHeight="1" spans="1:11">
      <c r="A25" s="55" t="s">
        <v>213</v>
      </c>
      <c r="B25" s="55" t="s">
        <v>43</v>
      </c>
      <c r="C25" s="55" t="s">
        <v>415</v>
      </c>
      <c r="D25" s="55">
        <v>6270653892</v>
      </c>
      <c r="E25" s="55">
        <v>200</v>
      </c>
      <c r="F25" s="55">
        <f>VLOOKUP(D:D,代理人!E:U,17,0)</f>
        <v>0</v>
      </c>
      <c r="G25" s="55" t="str">
        <f>VLOOKUP(D:D,代理人!E:AH,27,0)</f>
        <v>淮南本部吴程程伙伴目前获得龙虾节预收名额0名，获得龙虾节承保名额0名</v>
      </c>
      <c r="H25" s="55">
        <f>IF(F:F&lt;=5000,5000-F:F,0)</f>
        <v>5000</v>
      </c>
      <c r="I25" s="55">
        <f>VLOOKUP(D:D,代理人!E:V,18,0)</f>
        <v>0</v>
      </c>
      <c r="J25" s="55">
        <f>VLOOKUP(D:D,代理人!E:AH,28,0)</f>
        <v>200</v>
      </c>
      <c r="K25" s="55">
        <f>IF(I:I&lt;=5000,5000-I:I,0)</f>
        <v>5000</v>
      </c>
    </row>
    <row r="26" s="51" customFormat="1" ht="35" customHeight="1" spans="1:11">
      <c r="A26" s="55" t="s">
        <v>213</v>
      </c>
      <c r="B26" s="55" t="s">
        <v>62</v>
      </c>
      <c r="C26" s="55" t="s">
        <v>223</v>
      </c>
      <c r="D26" s="55">
        <v>5228523972</v>
      </c>
      <c r="E26" s="55">
        <v>200</v>
      </c>
      <c r="F26" s="55">
        <f>VLOOKUP(D:D,代理人!E:U,17,0)</f>
        <v>0</v>
      </c>
      <c r="G26" s="55" t="str">
        <f>VLOOKUP(D:D,代理人!E:AH,27,0)</f>
        <v>淮南本部何静主管目前获得龙虾节预收名额0名，获得龙虾节承保名额0名</v>
      </c>
      <c r="H26" s="55">
        <f>IF(F:F&lt;=5000,5000-F:F,0)</f>
        <v>5000</v>
      </c>
      <c r="I26" s="55">
        <f>VLOOKUP(D:D,代理人!E:V,18,0)</f>
        <v>0</v>
      </c>
      <c r="J26" s="55">
        <f>VLOOKUP(D:D,代理人!E:AH,28,0)</f>
        <v>200</v>
      </c>
      <c r="K26" s="55">
        <f>IF(I:I&lt;=5000,5000-I:I,0)</f>
        <v>5000</v>
      </c>
    </row>
    <row r="27" s="51" customFormat="1" ht="35" customHeight="1" spans="1:11">
      <c r="A27" s="55" t="s">
        <v>213</v>
      </c>
      <c r="B27" s="55" t="s">
        <v>62</v>
      </c>
      <c r="C27" s="55" t="s">
        <v>334</v>
      </c>
      <c r="D27" s="55">
        <v>6448088632</v>
      </c>
      <c r="E27" s="55">
        <v>200</v>
      </c>
      <c r="F27" s="55">
        <f>VLOOKUP(D:D,代理人!E:U,17,0)</f>
        <v>0</v>
      </c>
      <c r="G27" s="55" t="str">
        <f>VLOOKUP(D:D,代理人!E:AH,27,0)</f>
        <v>淮南本部褚孝妹伙伴目前获得龙虾节预收名额0名，获得龙虾节承保名额0名</v>
      </c>
      <c r="H27" s="55">
        <f>IF(F:F&lt;=5000,5000-F:F,0)</f>
        <v>5000</v>
      </c>
      <c r="I27" s="55">
        <f>VLOOKUP(D:D,代理人!E:V,18,0)</f>
        <v>0</v>
      </c>
      <c r="J27" s="55">
        <f>VLOOKUP(D:D,代理人!E:AH,28,0)</f>
        <v>200</v>
      </c>
      <c r="K27" s="55">
        <f>IF(I:I&lt;=5000,5000-I:I,0)</f>
        <v>5000</v>
      </c>
    </row>
    <row r="28" s="51" customFormat="1" ht="35" customHeight="1" spans="1:11">
      <c r="A28" s="55" t="s">
        <v>213</v>
      </c>
      <c r="B28" s="55" t="s">
        <v>62</v>
      </c>
      <c r="C28" s="55" t="s">
        <v>285</v>
      </c>
      <c r="D28" s="55">
        <v>6554680762</v>
      </c>
      <c r="E28" s="55">
        <v>200</v>
      </c>
      <c r="F28" s="55">
        <f>VLOOKUP(D:D,代理人!E:U,17,0)</f>
        <v>0</v>
      </c>
      <c r="G28" s="55" t="str">
        <f>VLOOKUP(D:D,代理人!E:AH,27,0)</f>
        <v>淮南本部褚恋恋伙伴目前获得龙虾节预收名额0名，获得龙虾节承保名额0名</v>
      </c>
      <c r="H28" s="55">
        <f>IF(F:F&lt;=5000,5000-F:F,0)</f>
        <v>5000</v>
      </c>
      <c r="I28" s="55">
        <f>VLOOKUP(D:D,代理人!E:V,18,0)</f>
        <v>0</v>
      </c>
      <c r="J28" s="55">
        <f>VLOOKUP(D:D,代理人!E:AH,28,0)</f>
        <v>200</v>
      </c>
      <c r="K28" s="55">
        <f>IF(I:I&lt;=5000,5000-I:I,0)</f>
        <v>5000</v>
      </c>
    </row>
    <row r="29" s="51" customFormat="1" ht="35" customHeight="1" spans="1:11">
      <c r="A29" s="55" t="s">
        <v>213</v>
      </c>
      <c r="B29" s="55" t="s">
        <v>43</v>
      </c>
      <c r="C29" s="55" t="s">
        <v>524</v>
      </c>
      <c r="D29" s="55">
        <v>164606852</v>
      </c>
      <c r="E29" s="55">
        <v>200</v>
      </c>
      <c r="F29" s="55">
        <f>VLOOKUP(D:D,代理人!E:U,17,0)</f>
        <v>0</v>
      </c>
      <c r="G29" s="55" t="str">
        <f>VLOOKUP(D:D,代理人!E:AH,27,0)</f>
        <v>淮南本部杨会玲伙伴目前获得龙虾节预收名额0名，获得龙虾节承保名额0名</v>
      </c>
      <c r="H29" s="55">
        <f>IF(F:F&lt;=5000,5000-F:F,0)</f>
        <v>5000</v>
      </c>
      <c r="I29" s="55">
        <f>VLOOKUP(D:D,代理人!E:V,18,0)</f>
        <v>0</v>
      </c>
      <c r="J29" s="55">
        <f>VLOOKUP(D:D,代理人!E:AH,28,0)</f>
        <v>200</v>
      </c>
      <c r="K29" s="55">
        <f>IF(I:I&lt;=5000,5000-I:I,0)</f>
        <v>5000</v>
      </c>
    </row>
    <row r="30" s="51" customFormat="1" ht="35" customHeight="1" spans="1:11">
      <c r="A30" s="55" t="s">
        <v>213</v>
      </c>
      <c r="B30" s="55" t="s">
        <v>43</v>
      </c>
      <c r="C30" s="55" t="s">
        <v>528</v>
      </c>
      <c r="D30" s="55">
        <v>86051232</v>
      </c>
      <c r="E30" s="55">
        <v>200</v>
      </c>
      <c r="F30" s="55">
        <f>VLOOKUP(D:D,代理人!E:U,17,0)</f>
        <v>0</v>
      </c>
      <c r="G30" s="55" t="str">
        <f>VLOOKUP(D:D,代理人!E:AH,27,0)</f>
        <v>淮南本部蔡士兰伙伴目前获得龙虾节预收名额0名，获得龙虾节承保名额0名</v>
      </c>
      <c r="H30" s="55">
        <f>IF(F:F&lt;=5000,5000-F:F,0)</f>
        <v>5000</v>
      </c>
      <c r="I30" s="55">
        <f>VLOOKUP(D:D,代理人!E:V,18,0)</f>
        <v>0</v>
      </c>
      <c r="J30" s="55">
        <f>VLOOKUP(D:D,代理人!E:AH,28,0)</f>
        <v>200</v>
      </c>
      <c r="K30" s="55">
        <f>IF(I:I&lt;=5000,5000-I:I,0)</f>
        <v>5000</v>
      </c>
    </row>
    <row r="31" s="51" customFormat="1" ht="35" customHeight="1" spans="1:11">
      <c r="A31" s="55" t="s">
        <v>213</v>
      </c>
      <c r="B31" s="55" t="s">
        <v>62</v>
      </c>
      <c r="C31" s="55" t="s">
        <v>300</v>
      </c>
      <c r="D31" s="55">
        <v>6547517232</v>
      </c>
      <c r="E31" s="55">
        <v>200</v>
      </c>
      <c r="F31" s="55">
        <f>VLOOKUP(D:D,代理人!E:U,17,0)</f>
        <v>0</v>
      </c>
      <c r="G31" s="55" t="str">
        <f>VLOOKUP(D:D,代理人!E:AH,27,0)</f>
        <v>淮南本部程单单伙伴目前获得龙虾节预收名额0名，获得龙虾节承保名额0名</v>
      </c>
      <c r="H31" s="55">
        <f>IF(F:F&lt;=5000,5000-F:F,0)</f>
        <v>5000</v>
      </c>
      <c r="I31" s="55">
        <f>VLOOKUP(D:D,代理人!E:V,18,0)</f>
        <v>0</v>
      </c>
      <c r="J31" s="55">
        <f>VLOOKUP(D:D,代理人!E:AH,28,0)</f>
        <v>200</v>
      </c>
      <c r="K31" s="55">
        <f>IF(I:I&lt;=5000,5000-I:I,0)</f>
        <v>5000</v>
      </c>
    </row>
    <row r="32" s="51" customFormat="1" ht="35" customHeight="1" spans="1:11">
      <c r="A32" s="55" t="s">
        <v>213</v>
      </c>
      <c r="B32" s="55" t="s">
        <v>66</v>
      </c>
      <c r="C32" s="55" t="s">
        <v>485</v>
      </c>
      <c r="D32" s="55">
        <v>5495685512</v>
      </c>
      <c r="E32" s="55">
        <v>200</v>
      </c>
      <c r="F32" s="55">
        <f>VLOOKUP(D:D,代理人!E:U,17,0)</f>
        <v>0</v>
      </c>
      <c r="G32" s="55" t="str">
        <f>VLOOKUP(D:D,代理人!E:AH,27,0)</f>
        <v>淮南本部孙雅莉伙伴目前获得龙虾节预收名额0名，获得龙虾节承保名额0名</v>
      </c>
      <c r="H32" s="55">
        <f>IF(F:F&lt;=5000,5000-F:F,0)</f>
        <v>5000</v>
      </c>
      <c r="I32" s="55">
        <f>VLOOKUP(D:D,代理人!E:V,18,0)</f>
        <v>0</v>
      </c>
      <c r="J32" s="55">
        <f>VLOOKUP(D:D,代理人!E:AH,28,0)</f>
        <v>200</v>
      </c>
      <c r="K32" s="55">
        <f>IF(I:I&lt;=5000,5000-I:I,0)</f>
        <v>5000</v>
      </c>
    </row>
    <row r="33" s="51" customFormat="1" ht="35" customHeight="1" spans="1:11">
      <c r="A33" s="55" t="s">
        <v>213</v>
      </c>
      <c r="B33" s="55" t="s">
        <v>62</v>
      </c>
      <c r="C33" s="55" t="s">
        <v>301</v>
      </c>
      <c r="D33" s="55">
        <v>6547493692</v>
      </c>
      <c r="E33" s="55">
        <v>200</v>
      </c>
      <c r="F33" s="55">
        <f>VLOOKUP(D:D,代理人!E:U,17,0)</f>
        <v>0</v>
      </c>
      <c r="G33" s="55" t="str">
        <f>VLOOKUP(D:D,代理人!E:AH,27,0)</f>
        <v>淮南本部夏海力伙伴目前获得龙虾节预收名额0名，获得龙虾节承保名额0名</v>
      </c>
      <c r="H33" s="55">
        <f>IF(F:F&lt;=5000,5000-F:F,0)</f>
        <v>5000</v>
      </c>
      <c r="I33" s="55">
        <f>VLOOKUP(D:D,代理人!E:V,18,0)</f>
        <v>0</v>
      </c>
      <c r="J33" s="55">
        <f>VLOOKUP(D:D,代理人!E:AH,28,0)</f>
        <v>200</v>
      </c>
      <c r="K33" s="55">
        <f>IF(I:I&lt;=5000,5000-I:I,0)</f>
        <v>5000</v>
      </c>
    </row>
    <row r="34" s="51" customFormat="1" ht="35" customHeight="1" spans="1:11">
      <c r="A34" s="55" t="s">
        <v>213</v>
      </c>
      <c r="B34" s="55" t="s">
        <v>62</v>
      </c>
      <c r="C34" s="55" t="s">
        <v>218</v>
      </c>
      <c r="D34" s="55">
        <v>6409592302</v>
      </c>
      <c r="E34" s="55">
        <v>200</v>
      </c>
      <c r="F34" s="55">
        <f>VLOOKUP(D:D,代理人!E:U,17,0)</f>
        <v>0</v>
      </c>
      <c r="G34" s="55" t="str">
        <f>VLOOKUP(D:D,代理人!E:AH,27,0)</f>
        <v>淮南本部宋业凤主管目前获得龙虾节预收名额0名，获得龙虾节承保名额0名</v>
      </c>
      <c r="H34" s="55">
        <f>IF(F:F&lt;=5000,5000-F:F,0)</f>
        <v>5000</v>
      </c>
      <c r="I34" s="55">
        <f>VLOOKUP(D:D,代理人!E:V,18,0)</f>
        <v>0</v>
      </c>
      <c r="J34" s="55">
        <f>VLOOKUP(D:D,代理人!E:AH,28,0)</f>
        <v>200</v>
      </c>
      <c r="K34" s="55">
        <f>IF(I:I&lt;=5000,5000-I:I,0)</f>
        <v>5000</v>
      </c>
    </row>
    <row r="35" s="51" customFormat="1" ht="35" customHeight="1" spans="1:11">
      <c r="A35" s="55" t="s">
        <v>213</v>
      </c>
      <c r="B35" s="55" t="s">
        <v>62</v>
      </c>
      <c r="C35" s="55" t="s">
        <v>269</v>
      </c>
      <c r="D35" s="55">
        <v>6575257432</v>
      </c>
      <c r="E35" s="55">
        <v>200</v>
      </c>
      <c r="F35" s="55">
        <f>VLOOKUP(D:D,代理人!E:U,17,0)</f>
        <v>0</v>
      </c>
      <c r="G35" s="55" t="str">
        <f>VLOOKUP(D:D,代理人!E:AH,27,0)</f>
        <v>淮南本部杨海山伙伴目前获得龙虾节预收名额0名，获得龙虾节承保名额0名</v>
      </c>
      <c r="H35" s="55">
        <f>IF(F:F&lt;=5000,5000-F:F,0)</f>
        <v>5000</v>
      </c>
      <c r="I35" s="55">
        <f>VLOOKUP(D:D,代理人!E:V,18,0)</f>
        <v>0</v>
      </c>
      <c r="J35" s="55">
        <f>VLOOKUP(D:D,代理人!E:AH,28,0)</f>
        <v>200</v>
      </c>
      <c r="K35" s="55">
        <f>IF(I:I&lt;=5000,5000-I:I,0)</f>
        <v>5000</v>
      </c>
    </row>
    <row r="36" s="51" customFormat="1" ht="35" customHeight="1" spans="1:11">
      <c r="A36" s="55" t="s">
        <v>27</v>
      </c>
      <c r="B36" s="55" t="s">
        <v>214</v>
      </c>
      <c r="C36" s="55" t="s">
        <v>526</v>
      </c>
      <c r="D36" s="55">
        <v>105176282</v>
      </c>
      <c r="E36" s="55">
        <v>200</v>
      </c>
      <c r="F36" s="55">
        <f>VLOOKUP(D:D,代理人!E:U,17,0)</f>
        <v>0</v>
      </c>
      <c r="G36" s="55" t="str">
        <f>VLOOKUP(D:D,代理人!E:AH,27,0)</f>
        <v>凤台武保米伙伴目前获得龙虾节预收名额0名，获得龙虾节承保名额0名</v>
      </c>
      <c r="H36" s="55">
        <f>IF(F:F&lt;=5000,5000-F:F,0)</f>
        <v>5000</v>
      </c>
      <c r="I36" s="55">
        <f>VLOOKUP(D:D,代理人!E:V,18,0)</f>
        <v>0</v>
      </c>
      <c r="J36" s="55">
        <f>VLOOKUP(D:D,代理人!E:AH,28,0)</f>
        <v>200</v>
      </c>
      <c r="K36" s="55">
        <f>IF(I:I&lt;=5000,5000-I:I,0)</f>
        <v>5000</v>
      </c>
    </row>
    <row r="37" s="51" customFormat="1" ht="35" customHeight="1" spans="1:11">
      <c r="A37" s="55" t="s">
        <v>27</v>
      </c>
      <c r="B37" s="55" t="s">
        <v>214</v>
      </c>
      <c r="C37" s="55" t="s">
        <v>429</v>
      </c>
      <c r="D37" s="55">
        <v>6165252972</v>
      </c>
      <c r="E37" s="55">
        <v>200</v>
      </c>
      <c r="F37" s="55">
        <f>VLOOKUP(D:D,代理人!E:U,17,0)</f>
        <v>0</v>
      </c>
      <c r="G37" s="55" t="str">
        <f>VLOOKUP(D:D,代理人!E:AH,27,0)</f>
        <v>凤台叶永艳伙伴目前获得龙虾节预收名额0名，获得龙虾节承保名额0名</v>
      </c>
      <c r="H37" s="55">
        <f>IF(F:F&lt;=5000,5000-F:F,0)</f>
        <v>5000</v>
      </c>
      <c r="I37" s="55">
        <f>VLOOKUP(D:D,代理人!E:V,18,0)</f>
        <v>0</v>
      </c>
      <c r="J37" s="55">
        <f>VLOOKUP(D:D,代理人!E:AH,28,0)</f>
        <v>200</v>
      </c>
      <c r="K37" s="55">
        <f>IF(I:I&lt;=5000,5000-I:I,0)</f>
        <v>5000</v>
      </c>
    </row>
    <row r="38" s="51" customFormat="1" ht="35" customHeight="1" spans="1:11">
      <c r="A38" s="55" t="s">
        <v>27</v>
      </c>
      <c r="B38" s="55" t="s">
        <v>28</v>
      </c>
      <c r="C38" s="55" t="s">
        <v>309</v>
      </c>
      <c r="D38" s="55">
        <v>6501704222</v>
      </c>
      <c r="E38" s="55">
        <v>200</v>
      </c>
      <c r="F38" s="55">
        <f>VLOOKUP(D:D,代理人!E:U,17,0)</f>
        <v>0</v>
      </c>
      <c r="G38" s="55" t="str">
        <f>VLOOKUP(D:D,代理人!E:AH,27,0)</f>
        <v>凤台李悦伙伴目前获得龙虾节预收名额0名，获得龙虾节承保名额0名</v>
      </c>
      <c r="H38" s="55">
        <f>IF(F:F&lt;=5000,5000-F:F,0)</f>
        <v>5000</v>
      </c>
      <c r="I38" s="55">
        <f>VLOOKUP(D:D,代理人!E:V,18,0)</f>
        <v>0</v>
      </c>
      <c r="J38" s="55">
        <f>VLOOKUP(D:D,代理人!E:AH,28,0)</f>
        <v>200</v>
      </c>
      <c r="K38" s="55">
        <f>IF(I:I&lt;=5000,5000-I:I,0)</f>
        <v>5000</v>
      </c>
    </row>
    <row r="39" s="51" customFormat="1" ht="35" customHeight="1" spans="1:11">
      <c r="A39" s="55" t="s">
        <v>27</v>
      </c>
      <c r="B39" s="55" t="s">
        <v>28</v>
      </c>
      <c r="C39" s="55" t="s">
        <v>30</v>
      </c>
      <c r="D39" s="55">
        <v>588442562</v>
      </c>
      <c r="E39" s="55">
        <v>400</v>
      </c>
      <c r="F39" s="55">
        <f>VLOOKUP(D:D,代理人!E:U,17,0)</f>
        <v>0</v>
      </c>
      <c r="G39" s="55" t="str">
        <f>VLOOKUP(D:D,代理人!E:AH,27,0)</f>
        <v>凤台陈桂美主管目前获得龙虾节预收名额4名，获得龙虾节承保名额0名</v>
      </c>
      <c r="H39" s="55">
        <f>IF(F:F&lt;=5000,5000-F:F,0)</f>
        <v>5000</v>
      </c>
      <c r="I39" s="55">
        <f>VLOOKUP(D:D,代理人!E:V,18,0)</f>
        <v>0</v>
      </c>
      <c r="J39" s="55">
        <f>VLOOKUP(D:D,代理人!E:AH,28,0)</f>
        <v>400</v>
      </c>
      <c r="K39" s="55">
        <f>IF(I:I&lt;=5000,5000-I:I,0)</f>
        <v>5000</v>
      </c>
    </row>
    <row r="40" s="51" customFormat="1" ht="35" customHeight="1" spans="1:11">
      <c r="A40" s="55" t="s">
        <v>27</v>
      </c>
      <c r="B40" s="55" t="s">
        <v>28</v>
      </c>
      <c r="C40" s="55" t="s">
        <v>289</v>
      </c>
      <c r="D40" s="55">
        <v>6551184192</v>
      </c>
      <c r="E40" s="55">
        <v>200</v>
      </c>
      <c r="F40" s="55">
        <f>VLOOKUP(D:D,代理人!E:U,17,0)</f>
        <v>0</v>
      </c>
      <c r="G40" s="55" t="str">
        <f>VLOOKUP(D:D,代理人!E:AH,27,0)</f>
        <v>凤台王朋伙伴目前获得龙虾节预收名额0名，获得龙虾节承保名额0名</v>
      </c>
      <c r="H40" s="55">
        <f>IF(F:F&lt;=5000,5000-F:F,0)</f>
        <v>5000</v>
      </c>
      <c r="I40" s="55">
        <f>VLOOKUP(D:D,代理人!E:V,18,0)</f>
        <v>0</v>
      </c>
      <c r="J40" s="55">
        <f>VLOOKUP(D:D,代理人!E:AH,28,0)</f>
        <v>200</v>
      </c>
      <c r="K40" s="55">
        <f>IF(I:I&lt;=5000,5000-I:I,0)</f>
        <v>5000</v>
      </c>
    </row>
    <row r="41" s="51" customFormat="1" ht="35" customHeight="1" spans="1:11">
      <c r="A41" s="55" t="s">
        <v>27</v>
      </c>
      <c r="B41" s="55" t="s">
        <v>28</v>
      </c>
      <c r="C41" s="55" t="s">
        <v>350</v>
      </c>
      <c r="D41" s="55">
        <v>6434509532</v>
      </c>
      <c r="E41" s="55">
        <v>200</v>
      </c>
      <c r="F41" s="55">
        <f>VLOOKUP(D:D,代理人!E:U,17,0)</f>
        <v>0</v>
      </c>
      <c r="G41" s="55" t="str">
        <f>VLOOKUP(D:D,代理人!E:AH,27,0)</f>
        <v>凤台叶艳伙伴目前获得龙虾节预收名额0名，获得龙虾节承保名额0名</v>
      </c>
      <c r="H41" s="55">
        <f>IF(F:F&lt;=5000,5000-F:F,0)</f>
        <v>5000</v>
      </c>
      <c r="I41" s="55">
        <f>VLOOKUP(D:D,代理人!E:V,18,0)</f>
        <v>0</v>
      </c>
      <c r="J41" s="55">
        <f>VLOOKUP(D:D,代理人!E:AH,28,0)</f>
        <v>200</v>
      </c>
      <c r="K41" s="55">
        <f>IF(I:I&lt;=5000,5000-I:I,0)</f>
        <v>5000</v>
      </c>
    </row>
    <row r="42" s="51" customFormat="1" ht="35" customHeight="1" spans="1:11">
      <c r="A42" s="55" t="s">
        <v>27</v>
      </c>
      <c r="B42" s="55" t="s">
        <v>28</v>
      </c>
      <c r="C42" s="55" t="s">
        <v>264</v>
      </c>
      <c r="D42" s="55">
        <v>6578633392</v>
      </c>
      <c r="E42" s="55">
        <v>200</v>
      </c>
      <c r="F42" s="55">
        <f>VLOOKUP(D:D,代理人!E:U,17,0)</f>
        <v>0</v>
      </c>
      <c r="G42" s="55" t="str">
        <f>VLOOKUP(D:D,代理人!E:AH,27,0)</f>
        <v>凤台任永生伙伴目前获得龙虾节预收名额0名，获得龙虾节承保名额0名</v>
      </c>
      <c r="H42" s="55">
        <f>IF(F:F&lt;=5000,5000-F:F,0)</f>
        <v>5000</v>
      </c>
      <c r="I42" s="55">
        <f>VLOOKUP(D:D,代理人!E:V,18,0)</f>
        <v>0</v>
      </c>
      <c r="J42" s="55">
        <f>VLOOKUP(D:D,代理人!E:AH,28,0)</f>
        <v>200</v>
      </c>
      <c r="K42" s="55">
        <f>IF(I:I&lt;=5000,5000-I:I,0)</f>
        <v>5000</v>
      </c>
    </row>
    <row r="43" s="51" customFormat="1" ht="35" customHeight="1" spans="1:11">
      <c r="A43" s="55" t="s">
        <v>27</v>
      </c>
      <c r="B43" s="55" t="s">
        <v>28</v>
      </c>
      <c r="C43" s="55" t="s">
        <v>225</v>
      </c>
      <c r="D43" s="55">
        <v>6025005442</v>
      </c>
      <c r="E43" s="55">
        <v>200</v>
      </c>
      <c r="F43" s="55">
        <f>VLOOKUP(D:D,代理人!E:U,17,0)</f>
        <v>0</v>
      </c>
      <c r="G43" s="55" t="str">
        <f>VLOOKUP(D:D,代理人!E:AH,27,0)</f>
        <v>凤台陈娟主管目前获得龙虾节预收名额0名，获得龙虾节承保名额0名</v>
      </c>
      <c r="H43" s="55">
        <f>IF(F:F&lt;=5000,5000-F:F,0)</f>
        <v>5000</v>
      </c>
      <c r="I43" s="55">
        <f>VLOOKUP(D:D,代理人!E:V,18,0)</f>
        <v>0</v>
      </c>
      <c r="J43" s="55">
        <f>VLOOKUP(D:D,代理人!E:AH,28,0)</f>
        <v>200</v>
      </c>
      <c r="K43" s="55">
        <f>IF(I:I&lt;=5000,5000-I:I,0)</f>
        <v>5000</v>
      </c>
    </row>
    <row r="44" s="51" customFormat="1" ht="35" customHeight="1" spans="1:11">
      <c r="A44" s="55" t="s">
        <v>27</v>
      </c>
      <c r="B44" s="55" t="s">
        <v>28</v>
      </c>
      <c r="C44" s="55" t="s">
        <v>341</v>
      </c>
      <c r="D44" s="55">
        <v>6438319742</v>
      </c>
      <c r="E44" s="55">
        <v>200</v>
      </c>
      <c r="F44" s="55">
        <f>VLOOKUP(D:D,代理人!E:U,17,0)</f>
        <v>0</v>
      </c>
      <c r="G44" s="55" t="str">
        <f>VLOOKUP(D:D,代理人!E:AH,27,0)</f>
        <v>凤台米莲伙伴目前获得龙虾节预收名额0名，获得龙虾节承保名额0名</v>
      </c>
      <c r="H44" s="55">
        <f>IF(F:F&lt;=5000,5000-F:F,0)</f>
        <v>5000</v>
      </c>
      <c r="I44" s="55">
        <f>VLOOKUP(D:D,代理人!E:V,18,0)</f>
        <v>0</v>
      </c>
      <c r="J44" s="55">
        <f>VLOOKUP(D:D,代理人!E:AH,28,0)</f>
        <v>200</v>
      </c>
      <c r="K44" s="55">
        <f>IF(I:I&lt;=5000,5000-I:I,0)</f>
        <v>5000</v>
      </c>
    </row>
    <row r="45" s="51" customFormat="1" ht="35" customHeight="1" spans="1:11">
      <c r="A45" s="55" t="s">
        <v>27</v>
      </c>
      <c r="B45" s="55" t="s">
        <v>28</v>
      </c>
      <c r="C45" s="55" t="s">
        <v>79</v>
      </c>
      <c r="D45" s="55">
        <v>6554611872</v>
      </c>
      <c r="E45" s="55">
        <v>200</v>
      </c>
      <c r="F45" s="55">
        <f>VLOOKUP(D:D,代理人!E:U,17,0)</f>
        <v>0</v>
      </c>
      <c r="G45" s="55" t="str">
        <f>VLOOKUP(D:D,代理人!E:AH,27,0)</f>
        <v>凤台柏祖林伙伴目前获得龙虾节预收名额0名，获得龙虾节承保名额0名</v>
      </c>
      <c r="H45" s="55">
        <f>IF(F:F&lt;=5000,5000-F:F,0)</f>
        <v>5000</v>
      </c>
      <c r="I45" s="55">
        <f>VLOOKUP(D:D,代理人!E:V,18,0)</f>
        <v>0</v>
      </c>
      <c r="J45" s="55">
        <f>VLOOKUP(D:D,代理人!E:AH,28,0)</f>
        <v>200</v>
      </c>
      <c r="K45" s="55">
        <f>IF(I:I&lt;=5000,5000-I:I,0)</f>
        <v>5000</v>
      </c>
    </row>
    <row r="46" s="51" customFormat="1" ht="35" customHeight="1" spans="1:11">
      <c r="A46" s="55" t="s">
        <v>27</v>
      </c>
      <c r="B46" s="55" t="s">
        <v>214</v>
      </c>
      <c r="C46" s="55" t="s">
        <v>515</v>
      </c>
      <c r="D46" s="55">
        <v>553691302</v>
      </c>
      <c r="E46" s="55">
        <v>200</v>
      </c>
      <c r="F46" s="55">
        <f>VLOOKUP(D:D,代理人!E:U,17,0)</f>
        <v>0</v>
      </c>
      <c r="G46" s="55" t="str">
        <f>VLOOKUP(D:D,代理人!E:AH,27,0)</f>
        <v>凤台万传秀伙伴目前获得龙虾节预收名额0名，获得龙虾节承保名额0名</v>
      </c>
      <c r="H46" s="55">
        <f>IF(F:F&lt;=5000,5000-F:F,0)</f>
        <v>5000</v>
      </c>
      <c r="I46" s="55">
        <f>VLOOKUP(D:D,代理人!E:V,18,0)</f>
        <v>0</v>
      </c>
      <c r="J46" s="55">
        <f>VLOOKUP(D:D,代理人!E:AH,28,0)</f>
        <v>200</v>
      </c>
      <c r="K46" s="55">
        <f>IF(I:I&lt;=5000,5000-I:I,0)</f>
        <v>5000</v>
      </c>
    </row>
    <row r="47" s="51" customFormat="1" ht="35" customHeight="1" spans="1:11">
      <c r="A47" s="55" t="s">
        <v>27</v>
      </c>
      <c r="B47" s="55" t="s">
        <v>37</v>
      </c>
      <c r="C47" s="55" t="s">
        <v>39</v>
      </c>
      <c r="D47" s="55">
        <v>68852502</v>
      </c>
      <c r="E47" s="55">
        <v>400</v>
      </c>
      <c r="F47" s="55">
        <f>VLOOKUP(D:D,代理人!E:U,17,0)</f>
        <v>4.6</v>
      </c>
      <c r="G47" s="55" t="str">
        <f>VLOOKUP(D:D,代理人!E:AH,27,0)</f>
        <v>凤台胡本阁主管目前获得龙虾节预收名额0名，获得龙虾节承保名额0名</v>
      </c>
      <c r="H47" s="55">
        <f>IF(F:F&lt;=5000,5000-F:F,0)</f>
        <v>4995.4</v>
      </c>
      <c r="I47" s="55">
        <f>VLOOKUP(D:D,代理人!E:V,18,0)</f>
        <v>0</v>
      </c>
      <c r="J47" s="55">
        <f>VLOOKUP(D:D,代理人!E:AH,28,0)</f>
        <v>400</v>
      </c>
      <c r="K47" s="55">
        <f>IF(I:I&lt;=5000,5000-I:I,0)</f>
        <v>5000</v>
      </c>
    </row>
    <row r="48" s="51" customFormat="1" ht="35" customHeight="1" spans="1:11">
      <c r="A48" s="55" t="s">
        <v>27</v>
      </c>
      <c r="B48" s="55" t="s">
        <v>37</v>
      </c>
      <c r="C48" s="55" t="s">
        <v>366</v>
      </c>
      <c r="D48" s="55">
        <v>6425025272</v>
      </c>
      <c r="E48" s="55">
        <v>200</v>
      </c>
      <c r="F48" s="55">
        <f>VLOOKUP(D:D,代理人!E:U,17,0)</f>
        <v>0</v>
      </c>
      <c r="G48" s="55" t="str">
        <f>VLOOKUP(D:D,代理人!E:AH,27,0)</f>
        <v>凤台陈利萍伙伴目前获得龙虾节预收名额0名，获得龙虾节承保名额0名</v>
      </c>
      <c r="H48" s="55">
        <f>IF(F:F&lt;=5000,5000-F:F,0)</f>
        <v>5000</v>
      </c>
      <c r="I48" s="55">
        <f>VLOOKUP(D:D,代理人!E:V,18,0)</f>
        <v>0</v>
      </c>
      <c r="J48" s="55">
        <f>VLOOKUP(D:D,代理人!E:AH,28,0)</f>
        <v>200</v>
      </c>
      <c r="K48" s="55">
        <f>IF(I:I&lt;=5000,5000-I:I,0)</f>
        <v>5000</v>
      </c>
    </row>
    <row r="49" s="51" customFormat="1" ht="35" customHeight="1" spans="1:11">
      <c r="A49" s="55" t="s">
        <v>27</v>
      </c>
      <c r="B49" s="55" t="s">
        <v>37</v>
      </c>
      <c r="C49" s="55" t="s">
        <v>368</v>
      </c>
      <c r="D49" s="55">
        <v>6424700762</v>
      </c>
      <c r="E49" s="55">
        <v>200</v>
      </c>
      <c r="F49" s="55">
        <f>VLOOKUP(D:D,代理人!E:U,17,0)</f>
        <v>0</v>
      </c>
      <c r="G49" s="55" t="str">
        <f>VLOOKUP(D:D,代理人!E:AH,27,0)</f>
        <v>凤台孙艳伙伴目前获得龙虾节预收名额0名，获得龙虾节承保名额0名</v>
      </c>
      <c r="H49" s="55">
        <f>IF(F:F&lt;=5000,5000-F:F,0)</f>
        <v>5000</v>
      </c>
      <c r="I49" s="55">
        <f>VLOOKUP(D:D,代理人!E:V,18,0)</f>
        <v>0</v>
      </c>
      <c r="J49" s="55">
        <f>VLOOKUP(D:D,代理人!E:AH,28,0)</f>
        <v>200</v>
      </c>
      <c r="K49" s="55">
        <f>IF(I:I&lt;=5000,5000-I:I,0)</f>
        <v>5000</v>
      </c>
    </row>
    <row r="50" s="51" customFormat="1" ht="35" customHeight="1" spans="1:11">
      <c r="A50" s="55" t="s">
        <v>27</v>
      </c>
      <c r="B50" s="55" t="s">
        <v>37</v>
      </c>
      <c r="C50" s="55" t="s">
        <v>347</v>
      </c>
      <c r="D50" s="55">
        <v>6438544552</v>
      </c>
      <c r="E50" s="55">
        <v>200</v>
      </c>
      <c r="F50" s="55">
        <f>VLOOKUP(D:D,代理人!E:U,17,0)</f>
        <v>0</v>
      </c>
      <c r="G50" s="55" t="str">
        <f>VLOOKUP(D:D,代理人!E:AH,27,0)</f>
        <v>凤台彭丽杰伙伴目前获得龙虾节预收名额0名，获得龙虾节承保名额0名</v>
      </c>
      <c r="H50" s="55">
        <f>IF(F:F&lt;=5000,5000-F:F,0)</f>
        <v>5000</v>
      </c>
      <c r="I50" s="55">
        <f>VLOOKUP(D:D,代理人!E:V,18,0)</f>
        <v>0</v>
      </c>
      <c r="J50" s="55">
        <f>VLOOKUP(D:D,代理人!E:AH,28,0)</f>
        <v>200</v>
      </c>
      <c r="K50" s="55">
        <f>IF(I:I&lt;=5000,5000-I:I,0)</f>
        <v>5000</v>
      </c>
    </row>
    <row r="51" s="51" customFormat="1" ht="35" customHeight="1" spans="1:11">
      <c r="A51" s="55" t="s">
        <v>27</v>
      </c>
      <c r="B51" s="55" t="s">
        <v>37</v>
      </c>
      <c r="C51" s="55" t="s">
        <v>227</v>
      </c>
      <c r="D51" s="55">
        <v>5323989142</v>
      </c>
      <c r="E51" s="55">
        <v>200</v>
      </c>
      <c r="F51" s="55">
        <f>VLOOKUP(D:D,代理人!E:U,17,0)</f>
        <v>0</v>
      </c>
      <c r="G51" s="55" t="str">
        <f>VLOOKUP(D:D,代理人!E:AH,27,0)</f>
        <v>凤台李开梅主管目前获得龙虾节预收名额0名，获得龙虾节承保名额0名</v>
      </c>
      <c r="H51" s="55">
        <f>IF(F:F&lt;=5000,5000-F:F,0)</f>
        <v>5000</v>
      </c>
      <c r="I51" s="55">
        <f>VLOOKUP(D:D,代理人!E:V,18,0)</f>
        <v>0</v>
      </c>
      <c r="J51" s="55">
        <f>VLOOKUP(D:D,代理人!E:AH,28,0)</f>
        <v>200</v>
      </c>
      <c r="K51" s="55">
        <f>IF(I:I&lt;=5000,5000-I:I,0)</f>
        <v>5000</v>
      </c>
    </row>
    <row r="52" s="51" customFormat="1" ht="35" customHeight="1" spans="1:11">
      <c r="A52" s="55" t="s">
        <v>27</v>
      </c>
      <c r="B52" s="55" t="s">
        <v>214</v>
      </c>
      <c r="C52" s="55" t="s">
        <v>266</v>
      </c>
      <c r="D52" s="55">
        <v>6579086682</v>
      </c>
      <c r="E52" s="55">
        <v>200</v>
      </c>
      <c r="F52" s="55">
        <f>VLOOKUP(D:D,代理人!E:U,17,0)</f>
        <v>0</v>
      </c>
      <c r="G52" s="55" t="str">
        <f>VLOOKUP(D:D,代理人!E:AH,27,0)</f>
        <v>凤台谢丽伙伴目前获得龙虾节预收名额0名，获得龙虾节承保名额0名</v>
      </c>
      <c r="H52" s="55">
        <f>IF(F:F&lt;=5000,5000-F:F,0)</f>
        <v>5000</v>
      </c>
      <c r="I52" s="55">
        <f>VLOOKUP(D:D,代理人!E:V,18,0)</f>
        <v>0</v>
      </c>
      <c r="J52" s="55">
        <f>VLOOKUP(D:D,代理人!E:AH,28,0)</f>
        <v>200</v>
      </c>
      <c r="K52" s="55">
        <f>IF(I:I&lt;=5000,5000-I:I,0)</f>
        <v>5000</v>
      </c>
    </row>
    <row r="53" s="51" customFormat="1" ht="35" customHeight="1" spans="1:11">
      <c r="A53" s="55" t="s">
        <v>27</v>
      </c>
      <c r="B53" s="55" t="s">
        <v>214</v>
      </c>
      <c r="C53" s="55" t="s">
        <v>297</v>
      </c>
      <c r="D53" s="55">
        <v>6549227922</v>
      </c>
      <c r="E53" s="55">
        <v>200</v>
      </c>
      <c r="F53" s="55">
        <f>VLOOKUP(D:D,代理人!E:U,17,0)</f>
        <v>0</v>
      </c>
      <c r="G53" s="55" t="str">
        <f>VLOOKUP(D:D,代理人!E:AH,27,0)</f>
        <v>凤台黄玲伙伴目前获得龙虾节预收名额0名，获得龙虾节承保名额0名</v>
      </c>
      <c r="H53" s="55">
        <f>IF(F:F&lt;=5000,5000-F:F,0)</f>
        <v>5000</v>
      </c>
      <c r="I53" s="55">
        <f>VLOOKUP(D:D,代理人!E:V,18,0)</f>
        <v>0</v>
      </c>
      <c r="J53" s="55">
        <f>VLOOKUP(D:D,代理人!E:AH,28,0)</f>
        <v>200</v>
      </c>
      <c r="K53" s="55">
        <f>IF(I:I&lt;=5000,5000-I:I,0)</f>
        <v>5000</v>
      </c>
    </row>
    <row r="54" s="51" customFormat="1" ht="35" customHeight="1" spans="1:11">
      <c r="A54" s="55" t="s">
        <v>27</v>
      </c>
      <c r="B54" s="55" t="s">
        <v>214</v>
      </c>
      <c r="C54" s="55" t="s">
        <v>221</v>
      </c>
      <c r="D54" s="55">
        <v>283558582</v>
      </c>
      <c r="E54" s="55">
        <v>200</v>
      </c>
      <c r="F54" s="55">
        <f>VLOOKUP(D:D,代理人!E:U,17,0)</f>
        <v>0</v>
      </c>
      <c r="G54" s="55" t="str">
        <f>VLOOKUP(D:D,代理人!E:AH,27,0)</f>
        <v>凤台左颖主管目前获得龙虾节预收名额0名，获得龙虾节承保名额0名</v>
      </c>
      <c r="H54" s="55">
        <f>IF(F:F&lt;=5000,5000-F:F,0)</f>
        <v>5000</v>
      </c>
      <c r="I54" s="55">
        <f>VLOOKUP(D:D,代理人!E:V,18,0)</f>
        <v>0</v>
      </c>
      <c r="J54" s="55">
        <f>VLOOKUP(D:D,代理人!E:AH,28,0)</f>
        <v>200</v>
      </c>
      <c r="K54" s="55">
        <f>IF(I:I&lt;=5000,5000-I:I,0)</f>
        <v>5000</v>
      </c>
    </row>
    <row r="55" s="51" customFormat="1" ht="35" customHeight="1" spans="1:11">
      <c r="A55" s="55" t="s">
        <v>27</v>
      </c>
      <c r="B55" s="55" t="s">
        <v>214</v>
      </c>
      <c r="C55" s="55" t="s">
        <v>453</v>
      </c>
      <c r="D55" s="55">
        <v>5829841442</v>
      </c>
      <c r="E55" s="55">
        <v>200</v>
      </c>
      <c r="F55" s="55">
        <f>VLOOKUP(D:D,代理人!E:U,17,0)</f>
        <v>0</v>
      </c>
      <c r="G55" s="55" t="str">
        <f>VLOOKUP(D:D,代理人!E:AH,27,0)</f>
        <v>凤台缪侠伙伴目前获得龙虾节预收名额0名，获得龙虾节承保名额0名</v>
      </c>
      <c r="H55" s="55">
        <f>IF(F:F&lt;=5000,5000-F:F,0)</f>
        <v>5000</v>
      </c>
      <c r="I55" s="55">
        <f>VLOOKUP(D:D,代理人!E:V,18,0)</f>
        <v>0</v>
      </c>
      <c r="J55" s="55">
        <f>VLOOKUP(D:D,代理人!E:AH,28,0)</f>
        <v>200</v>
      </c>
      <c r="K55" s="55">
        <f>IF(I:I&lt;=5000,5000-I:I,0)</f>
        <v>5000</v>
      </c>
    </row>
    <row r="56" s="51" customFormat="1" ht="35" customHeight="1" spans="1:11">
      <c r="A56" s="55" t="s">
        <v>27</v>
      </c>
      <c r="B56" s="55" t="s">
        <v>214</v>
      </c>
      <c r="C56" s="55" t="s">
        <v>106</v>
      </c>
      <c r="D56" s="55">
        <v>6550456242</v>
      </c>
      <c r="E56" s="55">
        <v>200</v>
      </c>
      <c r="F56" s="55">
        <f>VLOOKUP(D:D,代理人!E:U,17,0)</f>
        <v>0</v>
      </c>
      <c r="G56" s="55" t="str">
        <f>VLOOKUP(D:D,代理人!E:AH,27,0)</f>
        <v>凤台郑皓月伙伴目前获得龙虾节预收名额0名，获得龙虾节承保名额0名</v>
      </c>
      <c r="H56" s="55">
        <f>IF(F:F&lt;=5000,5000-F:F,0)</f>
        <v>5000</v>
      </c>
      <c r="I56" s="55">
        <f>VLOOKUP(D:D,代理人!E:V,18,0)</f>
        <v>0</v>
      </c>
      <c r="J56" s="55">
        <f>VLOOKUP(D:D,代理人!E:AH,28,0)</f>
        <v>200</v>
      </c>
      <c r="K56" s="55">
        <f>IF(I:I&lt;=5000,5000-I:I,0)</f>
        <v>5000</v>
      </c>
    </row>
    <row r="57" s="51" customFormat="1" ht="35" customHeight="1" spans="1:11">
      <c r="A57" s="55" t="s">
        <v>48</v>
      </c>
      <c r="B57" s="55" t="s">
        <v>49</v>
      </c>
      <c r="C57" s="55" t="s">
        <v>217</v>
      </c>
      <c r="D57" s="55">
        <v>51103872</v>
      </c>
      <c r="E57" s="55">
        <v>400</v>
      </c>
      <c r="F57" s="55">
        <f>VLOOKUP(D:D,代理人!E:U,17,0)</f>
        <v>0</v>
      </c>
      <c r="G57" s="55" t="str">
        <f>VLOOKUP(D:D,代理人!E:AH,27,0)</f>
        <v>谢家集叶琳主管目前获得龙虾节预收名额0名，获得龙虾节承保名额0名</v>
      </c>
      <c r="H57" s="55">
        <f>IF(F:F&lt;=5000,5000-F:F,0)</f>
        <v>5000</v>
      </c>
      <c r="I57" s="55">
        <f>VLOOKUP(D:D,代理人!E:V,18,0)</f>
        <v>0</v>
      </c>
      <c r="J57" s="55">
        <f>VLOOKUP(D:D,代理人!E:AH,28,0)</f>
        <v>400</v>
      </c>
      <c r="K57" s="55">
        <f>IF(I:I&lt;=5000,5000-I:I,0)</f>
        <v>5000</v>
      </c>
    </row>
    <row r="58" s="51" customFormat="1" ht="35" customHeight="1" spans="1:11">
      <c r="A58" s="55" t="s">
        <v>48</v>
      </c>
      <c r="B58" s="55" t="s">
        <v>49</v>
      </c>
      <c r="C58" s="55" t="s">
        <v>219</v>
      </c>
      <c r="D58" s="55">
        <v>5159113652</v>
      </c>
      <c r="E58" s="55">
        <v>400</v>
      </c>
      <c r="F58" s="55">
        <f>VLOOKUP(D:D,代理人!E:U,17,0)</f>
        <v>0</v>
      </c>
      <c r="G58" s="55" t="str">
        <f>VLOOKUP(D:D,代理人!E:AH,27,0)</f>
        <v>谢家集陆彬主管目前获得龙虾节预收名额0名，获得龙虾节承保名额0名</v>
      </c>
      <c r="H58" s="55">
        <f>IF(F:F&lt;=5000,5000-F:F,0)</f>
        <v>5000</v>
      </c>
      <c r="I58" s="55">
        <f>VLOOKUP(D:D,代理人!E:V,18,0)</f>
        <v>0</v>
      </c>
      <c r="J58" s="55">
        <f>VLOOKUP(D:D,代理人!E:AH,28,0)</f>
        <v>400</v>
      </c>
      <c r="K58" s="55">
        <f>IF(I:I&lt;=5000,5000-I:I,0)</f>
        <v>5000</v>
      </c>
    </row>
    <row r="59" s="51" customFormat="1" ht="35" customHeight="1" spans="1:11">
      <c r="A59" s="55" t="s">
        <v>48</v>
      </c>
      <c r="B59" s="55" t="s">
        <v>49</v>
      </c>
      <c r="C59" s="55" t="s">
        <v>426</v>
      </c>
      <c r="D59" s="55">
        <v>6173444452</v>
      </c>
      <c r="E59" s="55">
        <v>200</v>
      </c>
      <c r="F59" s="55">
        <f>VLOOKUP(D:D,代理人!E:U,17,0)</f>
        <v>0</v>
      </c>
      <c r="G59" s="55" t="str">
        <f>VLOOKUP(D:D,代理人!E:AH,27,0)</f>
        <v>谢家集吴家美伙伴目前获得龙虾节预收名额0名，获得龙虾节承保名额0名</v>
      </c>
      <c r="H59" s="55">
        <f>IF(F:F&lt;=5000,5000-F:F,0)</f>
        <v>5000</v>
      </c>
      <c r="I59" s="55">
        <f>VLOOKUP(D:D,代理人!E:V,18,0)</f>
        <v>0</v>
      </c>
      <c r="J59" s="55">
        <f>VLOOKUP(D:D,代理人!E:AH,28,0)</f>
        <v>200</v>
      </c>
      <c r="K59" s="55">
        <f>IF(I:I&lt;=5000,5000-I:I,0)</f>
        <v>5000</v>
      </c>
    </row>
    <row r="60" s="51" customFormat="1" ht="35" customHeight="1" spans="1:11">
      <c r="A60" s="55" t="s">
        <v>48</v>
      </c>
      <c r="B60" s="55" t="s">
        <v>49</v>
      </c>
      <c r="C60" s="55" t="s">
        <v>428</v>
      </c>
      <c r="D60" s="55">
        <v>6170483702</v>
      </c>
      <c r="E60" s="55">
        <v>200</v>
      </c>
      <c r="F60" s="55">
        <f>VLOOKUP(D:D,代理人!E:U,17,0)</f>
        <v>0</v>
      </c>
      <c r="G60" s="55" t="str">
        <f>VLOOKUP(D:D,代理人!E:AH,27,0)</f>
        <v>谢家集陈榕华伙伴目前获得龙虾节预收名额0名，获得龙虾节承保名额0名</v>
      </c>
      <c r="H60" s="55">
        <f>IF(F:F&lt;=5000,5000-F:F,0)</f>
        <v>5000</v>
      </c>
      <c r="I60" s="55">
        <f>VLOOKUP(D:D,代理人!E:V,18,0)</f>
        <v>0</v>
      </c>
      <c r="J60" s="55">
        <f>VLOOKUP(D:D,代理人!E:AH,28,0)</f>
        <v>200</v>
      </c>
      <c r="K60" s="55">
        <f>IF(I:I&lt;=5000,5000-I:I,0)</f>
        <v>5000</v>
      </c>
    </row>
    <row r="61" s="51" customFormat="1" ht="35" customHeight="1" spans="1:11">
      <c r="A61" s="55" t="s">
        <v>48</v>
      </c>
      <c r="B61" s="55" t="s">
        <v>49</v>
      </c>
      <c r="C61" s="55" t="s">
        <v>434</v>
      </c>
      <c r="D61" s="55">
        <v>6124158482</v>
      </c>
      <c r="E61" s="55">
        <v>200</v>
      </c>
      <c r="F61" s="55">
        <f>VLOOKUP(D:D,代理人!E:U,17,0)</f>
        <v>0</v>
      </c>
      <c r="G61" s="55" t="str">
        <f>VLOOKUP(D:D,代理人!E:AH,27,0)</f>
        <v>谢家集马强伙伴目前获得龙虾节预收名额0名，获得龙虾节承保名额0名</v>
      </c>
      <c r="H61" s="55">
        <f>IF(F:F&lt;=5000,5000-F:F,0)</f>
        <v>5000</v>
      </c>
      <c r="I61" s="55">
        <f>VLOOKUP(D:D,代理人!E:V,18,0)</f>
        <v>0</v>
      </c>
      <c r="J61" s="55">
        <f>VLOOKUP(D:D,代理人!E:AH,28,0)</f>
        <v>200</v>
      </c>
      <c r="K61" s="55">
        <f>IF(I:I&lt;=5000,5000-I:I,0)</f>
        <v>5000</v>
      </c>
    </row>
    <row r="62" s="51" customFormat="1" ht="35" customHeight="1" spans="1:11">
      <c r="A62" s="55" t="s">
        <v>48</v>
      </c>
      <c r="B62" s="55" t="s">
        <v>49</v>
      </c>
      <c r="C62" s="55" t="s">
        <v>400</v>
      </c>
      <c r="D62" s="55">
        <v>6328391532</v>
      </c>
      <c r="E62" s="55">
        <v>200</v>
      </c>
      <c r="F62" s="55">
        <f>VLOOKUP(D:D,代理人!E:U,17,0)</f>
        <v>0</v>
      </c>
      <c r="G62" s="55" t="str">
        <f>VLOOKUP(D:D,代理人!E:AH,27,0)</f>
        <v>谢家集倪小平伙伴目前获得龙虾节预收名额0名，获得龙虾节承保名额0名</v>
      </c>
      <c r="H62" s="55">
        <f>IF(F:F&lt;=5000,5000-F:F,0)</f>
        <v>5000</v>
      </c>
      <c r="I62" s="55">
        <f>VLOOKUP(D:D,代理人!E:V,18,0)</f>
        <v>0</v>
      </c>
      <c r="J62" s="55">
        <f>VLOOKUP(D:D,代理人!E:AH,28,0)</f>
        <v>200</v>
      </c>
      <c r="K62" s="55">
        <f>IF(I:I&lt;=5000,5000-I:I,0)</f>
        <v>5000</v>
      </c>
    </row>
    <row r="63" s="51" customFormat="1" ht="35" customHeight="1" spans="1:11">
      <c r="A63" s="55" t="s">
        <v>48</v>
      </c>
      <c r="B63" s="55" t="s">
        <v>49</v>
      </c>
      <c r="C63" s="55" t="s">
        <v>275</v>
      </c>
      <c r="D63" s="55">
        <v>6560423702</v>
      </c>
      <c r="E63" s="55">
        <v>200</v>
      </c>
      <c r="F63" s="55">
        <f>VLOOKUP(D:D,代理人!E:U,17,0)</f>
        <v>0</v>
      </c>
      <c r="G63" s="55" t="str">
        <f>VLOOKUP(D:D,代理人!E:AH,27,0)</f>
        <v>谢家集单红侠伙伴目前获得龙虾节预收名额0名，获得龙虾节承保名额0名</v>
      </c>
      <c r="H63" s="55">
        <f>IF(F:F&lt;=5000,5000-F:F,0)</f>
        <v>5000</v>
      </c>
      <c r="I63" s="55">
        <f>VLOOKUP(D:D,代理人!E:V,18,0)</f>
        <v>0</v>
      </c>
      <c r="J63" s="55">
        <f>VLOOKUP(D:D,代理人!E:AH,28,0)</f>
        <v>200</v>
      </c>
      <c r="K63" s="55">
        <f>IF(I:I&lt;=5000,5000-I:I,0)</f>
        <v>5000</v>
      </c>
    </row>
    <row r="64" s="51" customFormat="1" ht="35" customHeight="1" spans="1:11">
      <c r="A64" s="55" t="s">
        <v>48</v>
      </c>
      <c r="B64" s="55" t="s">
        <v>49</v>
      </c>
      <c r="C64" s="55" t="s">
        <v>465</v>
      </c>
      <c r="D64" s="55">
        <v>5793398452</v>
      </c>
      <c r="E64" s="55">
        <v>200</v>
      </c>
      <c r="F64" s="55">
        <f>VLOOKUP(D:D,代理人!E:U,17,0)</f>
        <v>0</v>
      </c>
      <c r="G64" s="55" t="str">
        <f>VLOOKUP(D:D,代理人!E:AH,27,0)</f>
        <v>谢家集施燕群伙伴目前获得龙虾节预收名额0名，获得龙虾节承保名额0名</v>
      </c>
      <c r="H64" s="55">
        <f>IF(F:F&lt;=5000,5000-F:F,0)</f>
        <v>5000</v>
      </c>
      <c r="I64" s="55">
        <f>VLOOKUP(D:D,代理人!E:V,18,0)</f>
        <v>0</v>
      </c>
      <c r="J64" s="55">
        <f>VLOOKUP(D:D,代理人!E:AH,28,0)</f>
        <v>200</v>
      </c>
      <c r="K64" s="55">
        <f>IF(I:I&lt;=5000,5000-I:I,0)</f>
        <v>5000</v>
      </c>
    </row>
    <row r="65" s="51" customFormat="1" ht="35" customHeight="1" spans="1:11">
      <c r="A65" s="55" t="s">
        <v>48</v>
      </c>
      <c r="B65" s="55" t="s">
        <v>49</v>
      </c>
      <c r="C65" s="55" t="s">
        <v>387</v>
      </c>
      <c r="D65" s="55">
        <v>6360574692</v>
      </c>
      <c r="E65" s="55">
        <v>200</v>
      </c>
      <c r="F65" s="55">
        <f>VLOOKUP(D:D,代理人!E:U,17,0)</f>
        <v>0</v>
      </c>
      <c r="G65" s="55" t="str">
        <f>VLOOKUP(D:D,代理人!E:AH,27,0)</f>
        <v>谢家集吴怀兰伙伴目前获得龙虾节预收名额0名，获得龙虾节承保名额0名</v>
      </c>
      <c r="H65" s="55">
        <f>IF(F:F&lt;=5000,5000-F:F,0)</f>
        <v>5000</v>
      </c>
      <c r="I65" s="55">
        <f>VLOOKUP(D:D,代理人!E:V,18,0)</f>
        <v>0</v>
      </c>
      <c r="J65" s="55">
        <f>VLOOKUP(D:D,代理人!E:AH,28,0)</f>
        <v>200</v>
      </c>
      <c r="K65" s="55">
        <f>IF(I:I&lt;=5000,5000-I:I,0)</f>
        <v>5000</v>
      </c>
    </row>
    <row r="66" s="51" customFormat="1" ht="35" customHeight="1" spans="1:11">
      <c r="A66" s="55" t="s">
        <v>48</v>
      </c>
      <c r="B66" s="55" t="s">
        <v>49</v>
      </c>
      <c r="C66" s="55" t="s">
        <v>282</v>
      </c>
      <c r="D66" s="55">
        <v>6556490182</v>
      </c>
      <c r="E66" s="55">
        <v>200</v>
      </c>
      <c r="F66" s="55">
        <f>VLOOKUP(D:D,代理人!E:U,17,0)</f>
        <v>0</v>
      </c>
      <c r="G66" s="55" t="str">
        <f>VLOOKUP(D:D,代理人!E:AH,27,0)</f>
        <v>谢家集杨晶晶伙伴目前获得龙虾节预收名额0名，获得龙虾节承保名额0名</v>
      </c>
      <c r="H66" s="55">
        <f>IF(F:F&lt;=5000,5000-F:F,0)</f>
        <v>5000</v>
      </c>
      <c r="I66" s="55">
        <f>VLOOKUP(D:D,代理人!E:V,18,0)</f>
        <v>0</v>
      </c>
      <c r="J66" s="55">
        <f>VLOOKUP(D:D,代理人!E:AH,28,0)</f>
        <v>200</v>
      </c>
      <c r="K66" s="55">
        <f>IF(I:I&lt;=5000,5000-I:I,0)</f>
        <v>5000</v>
      </c>
    </row>
    <row r="67" s="51" customFormat="1" ht="35" customHeight="1" spans="1:11">
      <c r="A67" s="55" t="s">
        <v>48</v>
      </c>
      <c r="B67" s="55" t="s">
        <v>49</v>
      </c>
      <c r="C67" s="55" t="s">
        <v>90</v>
      </c>
      <c r="D67" s="55">
        <v>6137982332</v>
      </c>
      <c r="E67" s="55">
        <v>200</v>
      </c>
      <c r="F67" s="55">
        <f>VLOOKUP(D:D,代理人!E:U,17,0)</f>
        <v>-45.8</v>
      </c>
      <c r="G67" s="55" t="str">
        <f>VLOOKUP(D:D,代理人!E:AH,27,0)</f>
        <v>谢家集樊琦伙伴目前获得龙虾节预收名额0名，获得龙虾节承保名额0名</v>
      </c>
      <c r="H67" s="55">
        <f>IF(F:F&lt;=5000,5000-F:F,0)</f>
        <v>5045.8</v>
      </c>
      <c r="I67" s="55">
        <f>VLOOKUP(D:D,代理人!E:V,18,0)</f>
        <v>-45.8</v>
      </c>
      <c r="J67" s="55">
        <f>VLOOKUP(D:D,代理人!E:AH,28,0)</f>
        <v>200</v>
      </c>
      <c r="K67" s="55">
        <f>IF(I:I&lt;=5000,5000-I:I,0)</f>
        <v>5045.8</v>
      </c>
    </row>
    <row r="68" s="51" customFormat="1" ht="35" customHeight="1" spans="1:11">
      <c r="A68" s="55" t="s">
        <v>48</v>
      </c>
      <c r="B68" s="55" t="s">
        <v>49</v>
      </c>
      <c r="C68" s="55" t="s">
        <v>99</v>
      </c>
      <c r="D68" s="55">
        <v>6183615882</v>
      </c>
      <c r="E68" s="55">
        <v>200</v>
      </c>
      <c r="F68" s="55">
        <f>VLOOKUP(D:D,代理人!E:U,17,0)</f>
        <v>-128</v>
      </c>
      <c r="G68" s="55" t="str">
        <f>VLOOKUP(D:D,代理人!E:AH,27,0)</f>
        <v>谢家集王新雯伙伴目前获得龙虾节预收名额0名，获得龙虾节承保名额0名</v>
      </c>
      <c r="H68" s="55">
        <f>IF(F:F&lt;=5000,5000-F:F,0)</f>
        <v>5128</v>
      </c>
      <c r="I68" s="55">
        <f>VLOOKUP(D:D,代理人!E:V,18,0)</f>
        <v>0</v>
      </c>
      <c r="J68" s="55">
        <f>VLOOKUP(D:D,代理人!E:AH,28,0)</f>
        <v>200</v>
      </c>
      <c r="K68" s="55">
        <f>IF(I:I&lt;=5000,5000-I:I,0)</f>
        <v>5000</v>
      </c>
    </row>
    <row r="69" s="51" customFormat="1" ht="35" customHeight="1" spans="1:11">
      <c r="A69" s="55" t="s">
        <v>27</v>
      </c>
      <c r="B69" s="55" t="s">
        <v>214</v>
      </c>
      <c r="C69" s="55" t="s">
        <v>96</v>
      </c>
      <c r="D69" s="55">
        <v>480193632</v>
      </c>
      <c r="E69" s="55">
        <v>200</v>
      </c>
      <c r="F69" s="55">
        <f>VLOOKUP(D:D,代理人!E:U,17,0)</f>
        <v>-231.3</v>
      </c>
      <c r="G69" s="55" t="str">
        <f>VLOOKUP(D:D,代理人!E:AH,27,0)</f>
        <v>凤台缪玉玲伙伴目前获得龙虾节预收名额0名，获得龙虾节承保名额0名</v>
      </c>
      <c r="H69" s="55">
        <f>IF(F:F&lt;=5000,5000-F:F,0)</f>
        <v>5231.3</v>
      </c>
      <c r="I69" s="55">
        <f>VLOOKUP(D:D,代理人!E:V,18,0)</f>
        <v>-231.3</v>
      </c>
      <c r="J69" s="55">
        <f>VLOOKUP(D:D,代理人!E:AH,28,0)</f>
        <v>200</v>
      </c>
      <c r="K69" s="55">
        <f>IF(I:I&lt;=5000,5000-I:I,0)</f>
        <v>5231.3</v>
      </c>
    </row>
    <row r="70" ht="35" customHeight="1" spans="1:11">
      <c r="A70" s="57" t="s">
        <v>538</v>
      </c>
      <c r="B70" s="58" t="str">
        <f>"本部目前"&amp;COUNTIFS(A:A,"本部",F:F,"&gt;=5000")&amp;"人预收达标100%返还，"&amp;COUNTIFS(A:A,"本部",F:F,"&gt;=3000")-COUNTIFS(A:A,"本部",F:F,"&gt;=5000")&amp;"人达标50%返还，"&amp;COUNTIFS(A:A,"本部",F:F,"&lt;3000")&amp;"人暂未返还"</f>
        <v>本部目前4人预收达标100%返还，1人达标50%返还，22人暂未返还</v>
      </c>
      <c r="C70" s="58"/>
      <c r="D70" s="58"/>
      <c r="E70" s="58"/>
      <c r="F70" s="58"/>
      <c r="G70" s="58"/>
      <c r="H70" s="58"/>
      <c r="I70" s="58"/>
      <c r="J70" s="58"/>
      <c r="K70" s="58"/>
    </row>
    <row r="71" ht="35" customHeight="1" spans="1:11">
      <c r="A71" s="59" t="s">
        <v>539</v>
      </c>
      <c r="B71" s="60" t="str">
        <f>"凤台目前"&amp;COUNTIFS(A:A,"凤台",F:F,"&gt;=5000")&amp;"人预收达标100%返还，"&amp;COUNTIFS(A:A,"凤台",F:F,"&gt;=3000")-COUNTIFS(A:A,"凤台",F:F,"&gt;=5000")&amp;"人达标50%返还，"&amp;COUNTIFS(A:A,"凤台",F:F,"&lt;3000")&amp;"人暂未返还"</f>
        <v>凤台目前1人预收达标100%返还，0人达标50%返还，24人暂未返还</v>
      </c>
      <c r="C71" s="60"/>
      <c r="D71" s="60"/>
      <c r="E71" s="60"/>
      <c r="F71" s="60"/>
      <c r="G71" s="60"/>
      <c r="H71" s="60"/>
      <c r="I71" s="60"/>
      <c r="J71" s="60"/>
      <c r="K71" s="60"/>
    </row>
    <row r="72" ht="35" customHeight="1" spans="1:11">
      <c r="A72" s="59" t="s">
        <v>540</v>
      </c>
      <c r="B72" s="60" t="str">
        <f>"谢家集目前"&amp;COUNTIFS(A:A,"谢家集",F:F,"&gt;=5000")&amp;"人预收达标100%返还，"&amp;COUNTIFS(A:A,"谢家集",F:F,"&gt;=3000")-COUNTIFS(A:A,"谢家集",F:F,"&gt;=5000")&amp;"人达标50%返还，"&amp;COUNTIFS(A:A,"谢家集",F:F,"&lt;3000")&amp;"人暂未返还"</f>
        <v>谢家集目前2人预收达标100%返还，1人达标50%返还，12人暂未返还</v>
      </c>
      <c r="C72" s="60"/>
      <c r="D72" s="60"/>
      <c r="E72" s="60"/>
      <c r="F72" s="60"/>
      <c r="G72" s="60"/>
      <c r="H72" s="60"/>
      <c r="I72" s="60"/>
      <c r="J72" s="60"/>
      <c r="K72" s="60"/>
    </row>
    <row r="73" ht="35" customHeight="1"/>
    <row r="74" ht="35" customHeight="1"/>
    <row r="75" ht="35" customHeight="1"/>
    <row r="76" ht="35" customHeight="1"/>
    <row r="77" ht="35" customHeight="1"/>
    <row r="78" ht="35" customHeight="1"/>
    <row r="79" ht="35" customHeight="1"/>
    <row r="80" ht="35" customHeight="1"/>
    <row r="81" ht="35" customHeight="1"/>
    <row r="82" ht="35" customHeight="1"/>
    <row r="83" ht="35" customHeight="1"/>
    <row r="84" ht="35" customHeight="1"/>
    <row r="85" ht="35" customHeight="1"/>
    <row r="86" ht="35" customHeight="1"/>
    <row r="87" ht="35" customHeight="1"/>
    <row r="88" ht="35" customHeight="1"/>
    <row r="89" ht="35" customHeight="1"/>
    <row r="90" ht="35" customHeight="1"/>
    <row r="91" ht="35" customHeight="1"/>
  </sheetData>
  <autoFilter ref="A2:K72">
    <sortState ref="A2:K72">
      <sortCondition ref="F2" descending="1"/>
    </sortState>
    <extLst/>
  </autoFilter>
  <mergeCells count="1">
    <mergeCell ref="A1:K1"/>
  </mergeCells>
  <conditionalFormatting sqref="A3:K69">
    <cfRule type="expression" dxfId="17" priority="1">
      <formula>AND($H3&gt;0,$H3&lt;=2000)</formula>
    </cfRule>
    <cfRule type="expression" dxfId="18" priority="2">
      <formula>$H3=0</formula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1:J311"/>
  <sheetViews>
    <sheetView zoomScale="160" zoomScaleNormal="160" workbookViewId="0">
      <selection activeCell="I3" sqref="I3"/>
    </sheetView>
  </sheetViews>
  <sheetFormatPr defaultColWidth="9" defaultRowHeight="15"/>
  <cols>
    <col min="1" max="1" width="12.875" style="25" customWidth="1"/>
    <col min="2" max="2" width="8.875" style="25" customWidth="1"/>
    <col min="3" max="3" width="17.125" style="25" customWidth="1"/>
    <col min="4" max="4" width="10.875" style="25" customWidth="1"/>
    <col min="5" max="5" width="9.625" style="25" hidden="1" customWidth="1"/>
    <col min="6" max="6" width="15.25" style="25" customWidth="1"/>
    <col min="7" max="7" width="18.125" style="25" customWidth="1"/>
    <col min="8" max="10" width="18.25" style="25" customWidth="1"/>
    <col min="11" max="16384" width="9" style="40"/>
  </cols>
  <sheetData>
    <row r="1" ht="33" customHeight="1" spans="1:10">
      <c r="A1" s="41" t="s">
        <v>541</v>
      </c>
      <c r="B1" s="41"/>
      <c r="C1" s="41"/>
      <c r="D1" s="41"/>
      <c r="E1" s="34"/>
      <c r="F1" s="41"/>
      <c r="G1" s="41"/>
      <c r="H1" s="41"/>
      <c r="I1" s="41"/>
      <c r="J1" s="41"/>
    </row>
    <row r="2" ht="31" customHeight="1" spans="1:10">
      <c r="A2" s="42" t="s">
        <v>0</v>
      </c>
      <c r="B2" s="42" t="s">
        <v>1</v>
      </c>
      <c r="C2" s="42" t="s">
        <v>2</v>
      </c>
      <c r="D2" s="42" t="s">
        <v>3</v>
      </c>
      <c r="E2" s="43" t="s">
        <v>4</v>
      </c>
      <c r="F2" s="42" t="s">
        <v>183</v>
      </c>
      <c r="G2" s="42" t="s">
        <v>246</v>
      </c>
      <c r="H2" s="42" t="s">
        <v>247</v>
      </c>
      <c r="I2" s="42" t="s">
        <v>542</v>
      </c>
      <c r="J2" s="42" t="s">
        <v>543</v>
      </c>
    </row>
    <row r="3" spans="1:10">
      <c r="A3" s="4" t="s">
        <v>42</v>
      </c>
      <c r="B3" s="4" t="s">
        <v>62</v>
      </c>
      <c r="C3" s="4" t="s">
        <v>63</v>
      </c>
      <c r="D3" s="4" t="s">
        <v>64</v>
      </c>
      <c r="E3" s="44">
        <v>6550500692</v>
      </c>
      <c r="F3" s="4">
        <f>VLOOKUP(E:E,代理人!E:U,17,0)</f>
        <v>11168.7</v>
      </c>
      <c r="G3" s="4">
        <f>VLOOKUP(E:E,代理人!E:X,20,0)</f>
        <v>1</v>
      </c>
      <c r="H3" s="4">
        <f>VLOOKUP(E:E,代理人!E:Y,21,0)</f>
        <v>1116.87</v>
      </c>
      <c r="I3" s="4"/>
      <c r="J3" s="4" t="str">
        <f>_xlfn.IFS(G:G&gt;=3,"20%",OR(G:G=1,G:G=2),"10%",G:G=0,0)</f>
        <v>10%</v>
      </c>
    </row>
    <row r="4" spans="1:10">
      <c r="A4" s="4" t="s">
        <v>42</v>
      </c>
      <c r="B4" s="4" t="s">
        <v>43</v>
      </c>
      <c r="C4" s="4" t="s">
        <v>70</v>
      </c>
      <c r="D4" s="4" t="s">
        <v>71</v>
      </c>
      <c r="E4" s="44">
        <v>5689072702</v>
      </c>
      <c r="F4" s="4">
        <f>VLOOKUP(E:E,代理人!E:U,17,0)</f>
        <v>9786.6</v>
      </c>
      <c r="G4" s="4">
        <f>VLOOKUP(E:E,代理人!E:X,20,0)</f>
        <v>2</v>
      </c>
      <c r="H4" s="4">
        <f>VLOOKUP(E:E,代理人!E:Y,21,0)</f>
        <v>978.66</v>
      </c>
      <c r="I4" s="4"/>
      <c r="J4" s="4" t="str">
        <f>_xlfn.IFS(G:G&gt;=3,"20%",OR(G:G=1,G:G=2),"10%",G:G=0,0)</f>
        <v>10%</v>
      </c>
    </row>
    <row r="5" spans="1:10">
      <c r="A5" s="4" t="s">
        <v>48</v>
      </c>
      <c r="B5" s="4" t="s">
        <v>49</v>
      </c>
      <c r="C5" s="4" t="s">
        <v>50</v>
      </c>
      <c r="D5" s="4" t="s">
        <v>91</v>
      </c>
      <c r="E5" s="44">
        <v>157576102</v>
      </c>
      <c r="F5" s="4">
        <f>VLOOKUP(E:E,代理人!E:U,17,0)</f>
        <v>8298.5</v>
      </c>
      <c r="G5" s="4">
        <f>VLOOKUP(E:E,代理人!E:X,20,0)</f>
        <v>1</v>
      </c>
      <c r="H5" s="4">
        <f>VLOOKUP(E:E,代理人!E:Y,21,0)</f>
        <v>829.85</v>
      </c>
      <c r="I5" s="4"/>
      <c r="J5" s="4" t="str">
        <f>_xlfn.IFS(G:G&gt;=3,"20%",OR(G:G=1,G:G=2),"10%",G:G=0,0)</f>
        <v>10%</v>
      </c>
    </row>
    <row r="6" spans="1:10">
      <c r="A6" s="4" t="s">
        <v>27</v>
      </c>
      <c r="B6" s="4" t="s">
        <v>58</v>
      </c>
      <c r="C6" s="4" t="s">
        <v>59</v>
      </c>
      <c r="D6" s="4" t="s">
        <v>60</v>
      </c>
      <c r="E6" s="44">
        <v>51137372</v>
      </c>
      <c r="F6" s="4">
        <f>VLOOKUP(E:E,代理人!E:U,17,0)</f>
        <v>8161.2</v>
      </c>
      <c r="G6" s="4">
        <f>VLOOKUP(E:E,代理人!E:X,20,0)</f>
        <v>2</v>
      </c>
      <c r="H6" s="4">
        <f>VLOOKUP(E:E,代理人!E:Y,21,0)</f>
        <v>816.12</v>
      </c>
      <c r="I6" s="4"/>
      <c r="J6" s="4" t="str">
        <f>_xlfn.IFS(G:G&gt;=3,"20%",OR(G:G=1,G:G=2),"10%",G:G=0,0)</f>
        <v>10%</v>
      </c>
    </row>
    <row r="7" spans="1:10">
      <c r="A7" s="4" t="s">
        <v>42</v>
      </c>
      <c r="B7" s="4" t="s">
        <v>43</v>
      </c>
      <c r="C7" s="4" t="s">
        <v>44</v>
      </c>
      <c r="D7" s="4" t="s">
        <v>45</v>
      </c>
      <c r="E7" s="44">
        <v>51108342</v>
      </c>
      <c r="F7" s="4">
        <f>VLOOKUP(E:E,代理人!E:U,17,0)</f>
        <v>6605.1</v>
      </c>
      <c r="G7" s="4">
        <f>VLOOKUP(E:E,代理人!E:X,20,0)</f>
        <v>2</v>
      </c>
      <c r="H7" s="4">
        <f>VLOOKUP(E:E,代理人!E:Y,21,0)</f>
        <v>660.51</v>
      </c>
      <c r="I7" s="4"/>
      <c r="J7" s="4" t="str">
        <f>_xlfn.IFS(G:G&gt;=3,"20%",OR(G:G=1,G:G=2),"10%",G:G=0,0)</f>
        <v>10%</v>
      </c>
    </row>
    <row r="8" spans="1:10">
      <c r="A8" s="4" t="s">
        <v>48</v>
      </c>
      <c r="B8" s="4" t="s">
        <v>49</v>
      </c>
      <c r="C8" s="4" t="s">
        <v>98</v>
      </c>
      <c r="D8" s="4" t="s">
        <v>104</v>
      </c>
      <c r="E8" s="44">
        <v>5449941392</v>
      </c>
      <c r="F8" s="4">
        <f>VLOOKUP(E:E,代理人!E:U,17,0)</f>
        <v>5584.1</v>
      </c>
      <c r="G8" s="4">
        <f>VLOOKUP(E:E,代理人!E:X,20,0)</f>
        <v>1</v>
      </c>
      <c r="H8" s="4">
        <f>VLOOKUP(E:E,代理人!E:Y,21,0)</f>
        <v>558.41</v>
      </c>
      <c r="I8" s="4"/>
      <c r="J8" s="4" t="str">
        <f>_xlfn.IFS(G:G&gt;=3,"20%",OR(G:G=1,G:G=2),"10%",G:G=0,0)</f>
        <v>10%</v>
      </c>
    </row>
    <row r="9" spans="1:10">
      <c r="A9" s="4" t="s">
        <v>42</v>
      </c>
      <c r="B9" s="4" t="s">
        <v>62</v>
      </c>
      <c r="C9" s="4" t="s">
        <v>72</v>
      </c>
      <c r="D9" s="4" t="s">
        <v>73</v>
      </c>
      <c r="E9" s="44">
        <v>6487584872</v>
      </c>
      <c r="F9" s="4">
        <f>VLOOKUP(E:E,代理人!E:U,17,0)</f>
        <v>5341.3</v>
      </c>
      <c r="G9" s="4">
        <f>VLOOKUP(E:E,代理人!E:X,20,0)</f>
        <v>1</v>
      </c>
      <c r="H9" s="4">
        <f>VLOOKUP(E:E,代理人!E:Y,21,0)</f>
        <v>534.13</v>
      </c>
      <c r="I9" s="4"/>
      <c r="J9" s="4" t="str">
        <f>_xlfn.IFS(G:G&gt;=3,"20%",OR(G:G=1,G:G=2),"10%",G:G=0,0)</f>
        <v>10%</v>
      </c>
    </row>
    <row r="10" spans="1:10">
      <c r="A10" s="4" t="s">
        <v>48</v>
      </c>
      <c r="B10" s="4" t="s">
        <v>49</v>
      </c>
      <c r="C10" s="4" t="s">
        <v>82</v>
      </c>
      <c r="D10" s="4" t="s">
        <v>83</v>
      </c>
      <c r="E10" s="44">
        <v>6549480842</v>
      </c>
      <c r="F10" s="4">
        <f>VLOOKUP(E:E,代理人!E:U,17,0)</f>
        <v>3478.4</v>
      </c>
      <c r="G10" s="4">
        <f>VLOOKUP(E:E,代理人!E:X,20,0)</f>
        <v>1</v>
      </c>
      <c r="H10" s="4">
        <f>VLOOKUP(E:E,代理人!E:Y,21,0)</f>
        <v>347.84</v>
      </c>
      <c r="I10" s="4"/>
      <c r="J10" s="4" t="str">
        <f>_xlfn.IFS(G:G&gt;=3,"20%",OR(G:G=1,G:G=2),"10%",G:G=0,0)</f>
        <v>10%</v>
      </c>
    </row>
    <row r="11" spans="1:10">
      <c r="A11" s="4" t="s">
        <v>42</v>
      </c>
      <c r="B11" s="4" t="s">
        <v>66</v>
      </c>
      <c r="C11" s="4" t="s">
        <v>67</v>
      </c>
      <c r="D11" s="4" t="s">
        <v>68</v>
      </c>
      <c r="E11" s="44">
        <v>55996582</v>
      </c>
      <c r="F11" s="4">
        <f>VLOOKUP(E:E,代理人!E:U,17,0)</f>
        <v>3151.8</v>
      </c>
      <c r="G11" s="4">
        <f>VLOOKUP(E:E,代理人!E:X,20,0)</f>
        <v>1</v>
      </c>
      <c r="H11" s="4">
        <f>VLOOKUP(E:E,代理人!E:Y,21,0)</f>
        <v>315.18</v>
      </c>
      <c r="I11" s="4"/>
      <c r="J11" s="4" t="str">
        <f>_xlfn.IFS(G:G&gt;=3,"20%",OR(G:G=1,G:G=2),"10%",G:G=0,0)</f>
        <v>10%</v>
      </c>
    </row>
    <row r="12" spans="1:10">
      <c r="A12" s="4" t="s">
        <v>42</v>
      </c>
      <c r="B12" s="4" t="s">
        <v>66</v>
      </c>
      <c r="C12" s="4" t="s">
        <v>67</v>
      </c>
      <c r="D12" s="4" t="s">
        <v>97</v>
      </c>
      <c r="E12" s="44">
        <v>628297282</v>
      </c>
      <c r="F12" s="4">
        <f>VLOOKUP(E:E,代理人!E:U,17,0)</f>
        <v>2607.1</v>
      </c>
      <c r="G12" s="4">
        <f>VLOOKUP(E:E,代理人!E:X,20,0)</f>
        <v>1</v>
      </c>
      <c r="H12" s="4">
        <f>VLOOKUP(E:E,代理人!E:Y,21,0)</f>
        <v>260.71</v>
      </c>
      <c r="I12" s="4"/>
      <c r="J12" s="4" t="str">
        <f>_xlfn.IFS(G:G&gt;=3,"20%",OR(G:G=1,G:G=2),"10%",G:G=0,0)</f>
        <v>10%</v>
      </c>
    </row>
    <row r="13" spans="1:10">
      <c r="A13" s="4" t="s">
        <v>42</v>
      </c>
      <c r="B13" s="4" t="s">
        <v>62</v>
      </c>
      <c r="C13" s="4" t="s">
        <v>86</v>
      </c>
      <c r="D13" s="4" t="s">
        <v>87</v>
      </c>
      <c r="E13" s="44">
        <v>214639732</v>
      </c>
      <c r="F13" s="4">
        <f>VLOOKUP(E:E,代理人!E:U,17,0)</f>
        <v>1825</v>
      </c>
      <c r="G13" s="4">
        <f>VLOOKUP(E:E,代理人!E:X,20,0)</f>
        <v>1</v>
      </c>
      <c r="H13" s="4">
        <f>VLOOKUP(E:E,代理人!E:Y,21,0)</f>
        <v>182.5</v>
      </c>
      <c r="I13" s="4"/>
      <c r="J13" s="4" t="str">
        <f>_xlfn.IFS(G:G&gt;=3,"20%",OR(G:G=1,G:G=2),"10%",G:G=0,0)</f>
        <v>10%</v>
      </c>
    </row>
    <row r="14" spans="1:10">
      <c r="A14" s="4" t="s">
        <v>42</v>
      </c>
      <c r="B14" s="4" t="s">
        <v>43</v>
      </c>
      <c r="C14" s="4" t="s">
        <v>75</v>
      </c>
      <c r="D14" s="4" t="s">
        <v>76</v>
      </c>
      <c r="E14" s="44">
        <v>5671371552</v>
      </c>
      <c r="F14" s="4">
        <f>VLOOKUP(E:E,代理人!E:U,17,0)</f>
        <v>385.1</v>
      </c>
      <c r="G14" s="4">
        <f>VLOOKUP(E:E,代理人!E:X,20,0)</f>
        <v>0</v>
      </c>
      <c r="H14" s="4">
        <f>VLOOKUP(E:E,代理人!E:Y,21,0)</f>
        <v>0</v>
      </c>
      <c r="I14" s="4"/>
      <c r="J14" s="4">
        <f>_xlfn.IFS(G:G&gt;=3,"20%",OR(G:G=1,G:G=2),"10%",G:G=0,0)</f>
        <v>0</v>
      </c>
    </row>
    <row r="15" spans="1:10">
      <c r="A15" s="4" t="s">
        <v>27</v>
      </c>
      <c r="B15" s="4" t="s">
        <v>52</v>
      </c>
      <c r="C15" s="4" t="s">
        <v>53</v>
      </c>
      <c r="D15" s="4" t="s">
        <v>54</v>
      </c>
      <c r="E15" s="44">
        <v>531925062</v>
      </c>
      <c r="F15" s="4">
        <f>VLOOKUP(E:E,代理人!E:U,17,0)</f>
        <v>341.8</v>
      </c>
      <c r="G15" s="4">
        <f>VLOOKUP(E:E,代理人!E:X,20,0)</f>
        <v>0</v>
      </c>
      <c r="H15" s="4">
        <f>VLOOKUP(E:E,代理人!E:Y,21,0)</f>
        <v>0</v>
      </c>
      <c r="I15" s="4"/>
      <c r="J15" s="4">
        <f>_xlfn.IFS(G:G&gt;=3,"20%",OR(G:G=1,G:G=2),"10%",G:G=0,0)</f>
        <v>0</v>
      </c>
    </row>
    <row r="16" spans="1:10">
      <c r="A16" s="4" t="s">
        <v>42</v>
      </c>
      <c r="B16" s="4" t="s">
        <v>43</v>
      </c>
      <c r="C16" s="4" t="s">
        <v>77</v>
      </c>
      <c r="D16" s="4" t="s">
        <v>78</v>
      </c>
      <c r="E16" s="44">
        <v>430700742</v>
      </c>
      <c r="F16" s="4">
        <f>VLOOKUP(E:E,代理人!E:U,17,0)</f>
        <v>157.7</v>
      </c>
      <c r="G16" s="4">
        <f>VLOOKUP(E:E,代理人!E:X,20,0)</f>
        <v>0</v>
      </c>
      <c r="H16" s="4">
        <f>VLOOKUP(E:E,代理人!E:Y,21,0)</f>
        <v>0</v>
      </c>
      <c r="I16" s="4"/>
      <c r="J16" s="4">
        <f>_xlfn.IFS(G:G&gt;=3,"20%",OR(G:G=1,G:G=2),"10%",G:G=0,0)</f>
        <v>0</v>
      </c>
    </row>
    <row r="17" spans="1:10">
      <c r="A17" s="4" t="s">
        <v>27</v>
      </c>
      <c r="B17" s="4" t="s">
        <v>100</v>
      </c>
      <c r="C17" s="4" t="s">
        <v>101</v>
      </c>
      <c r="D17" s="4" t="s">
        <v>102</v>
      </c>
      <c r="E17" s="44">
        <v>61598022</v>
      </c>
      <c r="F17" s="4">
        <f>VLOOKUP(E:E,代理人!E:U,17,0)</f>
        <v>91</v>
      </c>
      <c r="G17" s="4">
        <f>VLOOKUP(E:E,代理人!E:X,20,0)</f>
        <v>0</v>
      </c>
      <c r="H17" s="4">
        <f>VLOOKUP(E:E,代理人!E:Y,21,0)</f>
        <v>0</v>
      </c>
      <c r="I17" s="4"/>
      <c r="J17" s="4">
        <f>_xlfn.IFS(G:G&gt;=3,"20%",OR(G:G=1,G:G=2),"10%",G:G=0,0)</f>
        <v>0</v>
      </c>
    </row>
    <row r="18" spans="1:10">
      <c r="A18" s="4" t="s">
        <v>42</v>
      </c>
      <c r="B18" s="4" t="s">
        <v>62</v>
      </c>
      <c r="C18" s="4" t="s">
        <v>92</v>
      </c>
      <c r="D18" s="4" t="s">
        <v>93</v>
      </c>
      <c r="E18" s="44">
        <v>6559818092</v>
      </c>
      <c r="F18" s="4">
        <f>VLOOKUP(E:E,代理人!E:U,17,0)</f>
        <v>31.4</v>
      </c>
      <c r="G18" s="4">
        <f>VLOOKUP(E:E,代理人!E:X,20,0)</f>
        <v>0</v>
      </c>
      <c r="H18" s="4">
        <f>VLOOKUP(E:E,代理人!E:Y,21,0)</f>
        <v>0</v>
      </c>
      <c r="I18" s="4"/>
      <c r="J18" s="4">
        <f>_xlfn.IFS(G:G&gt;=3,"20%",OR(G:G=1,G:G=2),"10%",G:G=0,0)</f>
        <v>0</v>
      </c>
    </row>
    <row r="19" spans="1:10">
      <c r="A19" s="4" t="s">
        <v>27</v>
      </c>
      <c r="B19" s="4" t="s">
        <v>37</v>
      </c>
      <c r="C19" s="4" t="s">
        <v>110</v>
      </c>
      <c r="D19" s="4" t="s">
        <v>111</v>
      </c>
      <c r="E19" s="44">
        <v>477030872</v>
      </c>
      <c r="F19" s="4">
        <f>VLOOKUP(E:E,代理人!E:U,17,0)</f>
        <v>27.9</v>
      </c>
      <c r="G19" s="4">
        <f>VLOOKUP(E:E,代理人!E:X,20,0)</f>
        <v>0</v>
      </c>
      <c r="H19" s="4">
        <f>VLOOKUP(E:E,代理人!E:Y,21,0)</f>
        <v>0</v>
      </c>
      <c r="I19" s="4"/>
      <c r="J19" s="4">
        <f>_xlfn.IFS(G:G&gt;=3,"20%",OR(G:G=1,G:G=2),"10%",G:G=0,0)</f>
        <v>0</v>
      </c>
    </row>
    <row r="20" spans="1:10">
      <c r="A20" s="4" t="s">
        <v>42</v>
      </c>
      <c r="B20" s="4" t="s">
        <v>62</v>
      </c>
      <c r="C20" s="4" t="s">
        <v>108</v>
      </c>
      <c r="D20" s="4" t="s">
        <v>109</v>
      </c>
      <c r="E20" s="4">
        <v>5503363952</v>
      </c>
      <c r="F20" s="4">
        <f>VLOOKUP(E:E,代理人!E:U,17,0)</f>
        <v>13.7</v>
      </c>
      <c r="G20" s="4">
        <f>VLOOKUP(E:E,代理人!E:X,20,0)</f>
        <v>0</v>
      </c>
      <c r="H20" s="4">
        <f>VLOOKUP(E:E,代理人!E:Y,21,0)</f>
        <v>0</v>
      </c>
      <c r="I20" s="4"/>
      <c r="J20" s="4">
        <f>_xlfn.IFS(G:G&gt;=3,"20%",OR(G:G=1,G:G=2),"10%",G:G=0,0)</f>
        <v>0</v>
      </c>
    </row>
    <row r="21" spans="1:10">
      <c r="A21" s="4" t="s">
        <v>27</v>
      </c>
      <c r="B21" s="4" t="s">
        <v>100</v>
      </c>
      <c r="C21" s="4" t="s">
        <v>101</v>
      </c>
      <c r="D21" s="4" t="s">
        <v>107</v>
      </c>
      <c r="E21" s="4">
        <v>484039162</v>
      </c>
      <c r="F21" s="4">
        <f>VLOOKUP(E:E,代理人!E:U,17,0)</f>
        <v>5.2</v>
      </c>
      <c r="G21" s="4">
        <f>VLOOKUP(E:E,代理人!E:X,20,0)</f>
        <v>0</v>
      </c>
      <c r="H21" s="4">
        <f>VLOOKUP(E:E,代理人!E:Y,21,0)</f>
        <v>0</v>
      </c>
      <c r="I21" s="4"/>
      <c r="J21" s="4">
        <f>_xlfn.IFS(G:G&gt;=3,"20%",OR(G:G=1,G:G=2),"10%",G:G=0,0)</f>
        <v>0</v>
      </c>
    </row>
    <row r="22" spans="1:10">
      <c r="A22" s="4" t="s">
        <v>27</v>
      </c>
      <c r="B22" s="4" t="s">
        <v>28</v>
      </c>
      <c r="C22" s="4" t="s">
        <v>29</v>
      </c>
      <c r="D22" s="4" t="s">
        <v>260</v>
      </c>
      <c r="E22" s="4">
        <v>6580196262</v>
      </c>
      <c r="F22" s="4">
        <f>VLOOKUP(E:E,代理人!E:U,17,0)</f>
        <v>0</v>
      </c>
      <c r="G22" s="4">
        <f>VLOOKUP(E:E,代理人!E:X,20,0)</f>
        <v>0</v>
      </c>
      <c r="H22" s="4">
        <f>VLOOKUP(E:E,代理人!E:Y,21,0)</f>
        <v>0</v>
      </c>
      <c r="I22" s="4"/>
      <c r="J22" s="4">
        <f>_xlfn.IFS(G:G&gt;=3,"20%",OR(G:G=1,G:G=2),"10%",G:G=0,0)</f>
        <v>0</v>
      </c>
    </row>
    <row r="23" spans="1:10">
      <c r="A23" s="4" t="s">
        <v>27</v>
      </c>
      <c r="B23" s="4" t="s">
        <v>28</v>
      </c>
      <c r="C23" s="4" t="s">
        <v>29</v>
      </c>
      <c r="D23" s="4" t="s">
        <v>261</v>
      </c>
      <c r="E23" s="4">
        <v>6580545282</v>
      </c>
      <c r="F23" s="4">
        <f>VLOOKUP(E:E,代理人!E:U,17,0)</f>
        <v>0</v>
      </c>
      <c r="G23" s="4">
        <f>VLOOKUP(E:E,代理人!E:X,20,0)</f>
        <v>0</v>
      </c>
      <c r="H23" s="4">
        <f>VLOOKUP(E:E,代理人!E:Y,21,0)</f>
        <v>0</v>
      </c>
      <c r="I23" s="4"/>
      <c r="J23" s="4">
        <f>_xlfn.IFS(G:G&gt;=3,"20%",OR(G:G=1,G:G=2),"10%",G:G=0,0)</f>
        <v>0</v>
      </c>
    </row>
    <row r="24" spans="1:10">
      <c r="A24" s="4" t="s">
        <v>42</v>
      </c>
      <c r="B24" s="4" t="s">
        <v>62</v>
      </c>
      <c r="C24" s="4" t="s">
        <v>108</v>
      </c>
      <c r="D24" s="4" t="s">
        <v>262</v>
      </c>
      <c r="E24" s="4">
        <v>6580502702</v>
      </c>
      <c r="F24" s="4">
        <f>VLOOKUP(E:E,代理人!E:U,17,0)</f>
        <v>0</v>
      </c>
      <c r="G24" s="4">
        <f>VLOOKUP(E:E,代理人!E:X,20,0)</f>
        <v>0</v>
      </c>
      <c r="H24" s="4">
        <f>VLOOKUP(E:E,代理人!E:Y,21,0)</f>
        <v>0</v>
      </c>
      <c r="I24" s="4"/>
      <c r="J24" s="4">
        <f>_xlfn.IFS(G:G&gt;=3,"20%",OR(G:G=1,G:G=2),"10%",G:G=0,0)</f>
        <v>0</v>
      </c>
    </row>
    <row r="25" spans="1:10">
      <c r="A25" s="4" t="s">
        <v>27</v>
      </c>
      <c r="B25" s="4" t="s">
        <v>94</v>
      </c>
      <c r="C25" s="4" t="s">
        <v>95</v>
      </c>
      <c r="D25" s="4" t="s">
        <v>263</v>
      </c>
      <c r="E25" s="4">
        <v>6579892592</v>
      </c>
      <c r="F25" s="4">
        <f>VLOOKUP(E:E,代理人!E:U,17,0)</f>
        <v>0</v>
      </c>
      <c r="G25" s="4">
        <f>VLOOKUP(E:E,代理人!E:X,20,0)</f>
        <v>0</v>
      </c>
      <c r="H25" s="4">
        <f>VLOOKUP(E:E,代理人!E:Y,21,0)</f>
        <v>0</v>
      </c>
      <c r="I25" s="4"/>
      <c r="J25" s="4">
        <f>_xlfn.IFS(G:G&gt;=3,"20%",OR(G:G=1,G:G=2),"10%",G:G=0,0)</f>
        <v>0</v>
      </c>
    </row>
    <row r="26" spans="1:10">
      <c r="A26" s="4" t="s">
        <v>27</v>
      </c>
      <c r="B26" s="4" t="s">
        <v>28</v>
      </c>
      <c r="C26" s="4" t="s">
        <v>29</v>
      </c>
      <c r="D26" s="4" t="s">
        <v>264</v>
      </c>
      <c r="E26" s="4">
        <v>6578633392</v>
      </c>
      <c r="F26" s="4">
        <f>VLOOKUP(E:E,代理人!E:U,17,0)</f>
        <v>0</v>
      </c>
      <c r="G26" s="4">
        <f>VLOOKUP(E:E,代理人!E:X,20,0)</f>
        <v>0</v>
      </c>
      <c r="H26" s="4">
        <f>VLOOKUP(E:E,代理人!E:Y,21,0)</f>
        <v>0</v>
      </c>
      <c r="I26" s="4"/>
      <c r="J26" s="4">
        <f>_xlfn.IFS(G:G&gt;=3,"20%",OR(G:G=1,G:G=2),"10%",G:G=0,0)</f>
        <v>0</v>
      </c>
    </row>
    <row r="27" spans="1:10">
      <c r="A27" s="4" t="s">
        <v>27</v>
      </c>
      <c r="B27" s="4" t="s">
        <v>28</v>
      </c>
      <c r="C27" s="4" t="s">
        <v>29</v>
      </c>
      <c r="D27" s="4" t="s">
        <v>265</v>
      </c>
      <c r="E27" s="4">
        <v>6579141032</v>
      </c>
      <c r="F27" s="4">
        <f>VLOOKUP(E:E,代理人!E:U,17,0)</f>
        <v>0</v>
      </c>
      <c r="G27" s="4">
        <f>VLOOKUP(E:E,代理人!E:X,20,0)</f>
        <v>0</v>
      </c>
      <c r="H27" s="4">
        <f>VLOOKUP(E:E,代理人!E:Y,21,0)</f>
        <v>0</v>
      </c>
      <c r="I27" s="4"/>
      <c r="J27" s="4">
        <f>_xlfn.IFS(G:G&gt;=3,"20%",OR(G:G=1,G:G=2),"10%",G:G=0,0)</f>
        <v>0</v>
      </c>
    </row>
    <row r="28" spans="1:10">
      <c r="A28" s="4" t="s">
        <v>27</v>
      </c>
      <c r="B28" s="4" t="s">
        <v>100</v>
      </c>
      <c r="C28" s="4" t="s">
        <v>101</v>
      </c>
      <c r="D28" s="4" t="s">
        <v>266</v>
      </c>
      <c r="E28" s="4">
        <v>6579086682</v>
      </c>
      <c r="F28" s="4">
        <f>VLOOKUP(E:E,代理人!E:U,17,0)</f>
        <v>0</v>
      </c>
      <c r="G28" s="4">
        <f>VLOOKUP(E:E,代理人!E:X,20,0)</f>
        <v>0</v>
      </c>
      <c r="H28" s="4">
        <f>VLOOKUP(E:E,代理人!E:Y,21,0)</f>
        <v>0</v>
      </c>
      <c r="I28" s="4"/>
      <c r="J28" s="4">
        <f>_xlfn.IFS(G:G&gt;=3,"20%",OR(G:G=1,G:G=2),"10%",G:G=0,0)</f>
        <v>0</v>
      </c>
    </row>
    <row r="29" spans="1:10">
      <c r="A29" s="4" t="s">
        <v>42</v>
      </c>
      <c r="B29" s="4" t="s">
        <v>62</v>
      </c>
      <c r="C29" s="4" t="s">
        <v>72</v>
      </c>
      <c r="D29" s="4" t="s">
        <v>267</v>
      </c>
      <c r="E29" s="4">
        <v>6578542762</v>
      </c>
      <c r="F29" s="4">
        <f>VLOOKUP(E:E,代理人!E:U,17,0)</f>
        <v>0</v>
      </c>
      <c r="G29" s="4">
        <f>VLOOKUP(E:E,代理人!E:X,20,0)</f>
        <v>0</v>
      </c>
      <c r="H29" s="4">
        <f>VLOOKUP(E:E,代理人!E:Y,21,0)</f>
        <v>0</v>
      </c>
      <c r="I29" s="4"/>
      <c r="J29" s="4">
        <f>_xlfn.IFS(G:G&gt;=3,"20%",OR(G:G=1,G:G=2),"10%",G:G=0,0)</f>
        <v>0</v>
      </c>
    </row>
    <row r="30" spans="1:10">
      <c r="A30" s="4" t="s">
        <v>27</v>
      </c>
      <c r="B30" s="4" t="s">
        <v>28</v>
      </c>
      <c r="C30" s="4" t="s">
        <v>29</v>
      </c>
      <c r="D30" s="4" t="s">
        <v>268</v>
      </c>
      <c r="E30" s="4">
        <v>6577775832</v>
      </c>
      <c r="F30" s="4">
        <f>VLOOKUP(E:E,代理人!E:U,17,0)</f>
        <v>0</v>
      </c>
      <c r="G30" s="4">
        <f>VLOOKUP(E:E,代理人!E:X,20,0)</f>
        <v>0</v>
      </c>
      <c r="H30" s="4">
        <f>VLOOKUP(E:E,代理人!E:Y,21,0)</f>
        <v>0</v>
      </c>
      <c r="I30" s="4"/>
      <c r="J30" s="4">
        <f>_xlfn.IFS(G:G&gt;=3,"20%",OR(G:G=1,G:G=2),"10%",G:G=0,0)</f>
        <v>0</v>
      </c>
    </row>
    <row r="31" spans="1:10">
      <c r="A31" s="4" t="s">
        <v>42</v>
      </c>
      <c r="B31" s="4" t="s">
        <v>62</v>
      </c>
      <c r="C31" s="4" t="s">
        <v>72</v>
      </c>
      <c r="D31" s="4" t="s">
        <v>269</v>
      </c>
      <c r="E31" s="4">
        <v>6575257432</v>
      </c>
      <c r="F31" s="4">
        <f>VLOOKUP(E:E,代理人!E:U,17,0)</f>
        <v>0</v>
      </c>
      <c r="G31" s="4">
        <f>VLOOKUP(E:E,代理人!E:X,20,0)</f>
        <v>0</v>
      </c>
      <c r="H31" s="4">
        <f>VLOOKUP(E:E,代理人!E:Y,21,0)</f>
        <v>0</v>
      </c>
      <c r="I31" s="4"/>
      <c r="J31" s="4">
        <f>_xlfn.IFS(G:G&gt;=3,"20%",OR(G:G=1,G:G=2),"10%",G:G=0,0)</f>
        <v>0</v>
      </c>
    </row>
    <row r="32" spans="1:10">
      <c r="A32" s="4" t="s">
        <v>48</v>
      </c>
      <c r="B32" s="4" t="s">
        <v>49</v>
      </c>
      <c r="C32" s="4" t="s">
        <v>98</v>
      </c>
      <c r="D32" s="4" t="s">
        <v>270</v>
      </c>
      <c r="E32" s="4">
        <v>6567279892</v>
      </c>
      <c r="F32" s="4">
        <f>VLOOKUP(E:E,代理人!E:U,17,0)</f>
        <v>0</v>
      </c>
      <c r="G32" s="4">
        <f>VLOOKUP(E:E,代理人!E:X,20,0)</f>
        <v>0</v>
      </c>
      <c r="H32" s="4">
        <f>VLOOKUP(E:E,代理人!E:Y,21,0)</f>
        <v>0</v>
      </c>
      <c r="I32" s="4"/>
      <c r="J32" s="4">
        <f>_xlfn.IFS(G:G&gt;=3,"20%",OR(G:G=1,G:G=2),"10%",G:G=0,0)</f>
        <v>0</v>
      </c>
    </row>
    <row r="33" spans="1:10">
      <c r="A33" s="4" t="s">
        <v>42</v>
      </c>
      <c r="B33" s="4" t="s">
        <v>62</v>
      </c>
      <c r="C33" s="4" t="s">
        <v>108</v>
      </c>
      <c r="D33" s="4" t="s">
        <v>271</v>
      </c>
      <c r="E33" s="4">
        <v>6563912032</v>
      </c>
      <c r="F33" s="4">
        <f>VLOOKUP(E:E,代理人!E:U,17,0)</f>
        <v>0</v>
      </c>
      <c r="G33" s="4">
        <f>VLOOKUP(E:E,代理人!E:X,20,0)</f>
        <v>0</v>
      </c>
      <c r="H33" s="4">
        <f>VLOOKUP(E:E,代理人!E:Y,21,0)</f>
        <v>0</v>
      </c>
      <c r="I33" s="4"/>
      <c r="J33" s="4">
        <f>_xlfn.IFS(G:G&gt;=3,"20%",OR(G:G=1,G:G=2),"10%",G:G=0,0)</f>
        <v>0</v>
      </c>
    </row>
    <row r="34" spans="1:10">
      <c r="A34" s="4" t="s">
        <v>48</v>
      </c>
      <c r="B34" s="4" t="s">
        <v>49</v>
      </c>
      <c r="C34" s="4" t="s">
        <v>98</v>
      </c>
      <c r="D34" s="4" t="s">
        <v>272</v>
      </c>
      <c r="E34" s="4">
        <v>6561874132</v>
      </c>
      <c r="F34" s="4">
        <f>VLOOKUP(E:E,代理人!E:U,17,0)</f>
        <v>0</v>
      </c>
      <c r="G34" s="4">
        <f>VLOOKUP(E:E,代理人!E:X,20,0)</f>
        <v>0</v>
      </c>
      <c r="H34" s="4">
        <f>VLOOKUP(E:E,代理人!E:Y,21,0)</f>
        <v>0</v>
      </c>
      <c r="I34" s="4"/>
      <c r="J34" s="4">
        <f>_xlfn.IFS(G:G&gt;=3,"20%",OR(G:G=1,G:G=2),"10%",G:G=0,0)</f>
        <v>0</v>
      </c>
    </row>
    <row r="35" spans="1:10">
      <c r="A35" s="4" t="s">
        <v>42</v>
      </c>
      <c r="B35" s="4" t="s">
        <v>62</v>
      </c>
      <c r="C35" s="4" t="s">
        <v>72</v>
      </c>
      <c r="D35" s="4" t="s">
        <v>273</v>
      </c>
      <c r="E35" s="4">
        <v>6561864162</v>
      </c>
      <c r="F35" s="4">
        <f>VLOOKUP(E:E,代理人!E:U,17,0)</f>
        <v>0</v>
      </c>
      <c r="G35" s="4">
        <f>VLOOKUP(E:E,代理人!E:X,20,0)</f>
        <v>0</v>
      </c>
      <c r="H35" s="4">
        <f>VLOOKUP(E:E,代理人!E:Y,21,0)</f>
        <v>0</v>
      </c>
      <c r="I35" s="4"/>
      <c r="J35" s="4">
        <f>_xlfn.IFS(G:G&gt;=3,"20%",OR(G:G=1,G:G=2),"10%",G:G=0,0)</f>
        <v>0</v>
      </c>
    </row>
    <row r="36" spans="1:10">
      <c r="A36" s="4" t="s">
        <v>42</v>
      </c>
      <c r="B36" s="4" t="s">
        <v>43</v>
      </c>
      <c r="C36" s="4" t="s">
        <v>77</v>
      </c>
      <c r="D36" s="4" t="s">
        <v>274</v>
      </c>
      <c r="E36" s="4">
        <v>6561860562</v>
      </c>
      <c r="F36" s="4">
        <f>VLOOKUP(E:E,代理人!E:U,17,0)</f>
        <v>0</v>
      </c>
      <c r="G36" s="4">
        <f>VLOOKUP(E:E,代理人!E:X,20,0)</f>
        <v>0</v>
      </c>
      <c r="H36" s="4">
        <f>VLOOKUP(E:E,代理人!E:Y,21,0)</f>
        <v>0</v>
      </c>
      <c r="I36" s="4"/>
      <c r="J36" s="4">
        <f>_xlfn.IFS(G:G&gt;=3,"20%",OR(G:G=1,G:G=2),"10%",G:G=0,0)</f>
        <v>0</v>
      </c>
    </row>
    <row r="37" spans="1:10">
      <c r="A37" s="4" t="s">
        <v>48</v>
      </c>
      <c r="B37" s="4" t="s">
        <v>49</v>
      </c>
      <c r="C37" s="4" t="s">
        <v>50</v>
      </c>
      <c r="D37" s="4" t="s">
        <v>275</v>
      </c>
      <c r="E37" s="4">
        <v>6560423702</v>
      </c>
      <c r="F37" s="4">
        <f>VLOOKUP(E:E,代理人!E:U,17,0)</f>
        <v>0</v>
      </c>
      <c r="G37" s="4">
        <f>VLOOKUP(E:E,代理人!E:X,20,0)</f>
        <v>0</v>
      </c>
      <c r="H37" s="4">
        <f>VLOOKUP(E:E,代理人!E:Y,21,0)</f>
        <v>0</v>
      </c>
      <c r="I37" s="4"/>
      <c r="J37" s="4">
        <f>_xlfn.IFS(G:G&gt;=3,"20%",OR(G:G=1,G:G=2),"10%",G:G=0,0)</f>
        <v>0</v>
      </c>
    </row>
    <row r="38" spans="1:10">
      <c r="A38" s="4" t="s">
        <v>42</v>
      </c>
      <c r="B38" s="4" t="s">
        <v>62</v>
      </c>
      <c r="C38" s="4" t="s">
        <v>86</v>
      </c>
      <c r="D38" s="4" t="s">
        <v>276</v>
      </c>
      <c r="E38" s="4">
        <v>6560355712</v>
      </c>
      <c r="F38" s="4">
        <f>VLOOKUP(E:E,代理人!E:U,17,0)</f>
        <v>0</v>
      </c>
      <c r="G38" s="4">
        <f>VLOOKUP(E:E,代理人!E:X,20,0)</f>
        <v>0</v>
      </c>
      <c r="H38" s="4">
        <f>VLOOKUP(E:E,代理人!E:Y,21,0)</f>
        <v>0</v>
      </c>
      <c r="I38" s="4"/>
      <c r="J38" s="4">
        <f>_xlfn.IFS(G:G&gt;=3,"20%",OR(G:G=1,G:G=2),"10%",G:G=0,0)</f>
        <v>0</v>
      </c>
    </row>
    <row r="39" spans="1:10">
      <c r="A39" s="4" t="s">
        <v>42</v>
      </c>
      <c r="B39" s="4" t="s">
        <v>62</v>
      </c>
      <c r="C39" s="4" t="s">
        <v>72</v>
      </c>
      <c r="D39" s="4" t="s">
        <v>277</v>
      </c>
      <c r="E39" s="4">
        <v>6560214262</v>
      </c>
      <c r="F39" s="4">
        <f>VLOOKUP(E:E,代理人!E:U,17,0)</f>
        <v>0</v>
      </c>
      <c r="G39" s="4">
        <f>VLOOKUP(E:E,代理人!E:X,20,0)</f>
        <v>0</v>
      </c>
      <c r="H39" s="4">
        <f>VLOOKUP(E:E,代理人!E:Y,21,0)</f>
        <v>0</v>
      </c>
      <c r="I39" s="4"/>
      <c r="J39" s="4">
        <f>_xlfn.IFS(G:G&gt;=3,"20%",OR(G:G=1,G:G=2),"10%",G:G=0,0)</f>
        <v>0</v>
      </c>
    </row>
    <row r="40" spans="1:10">
      <c r="A40" s="4" t="s">
        <v>48</v>
      </c>
      <c r="B40" s="4" t="s">
        <v>49</v>
      </c>
      <c r="C40" s="4" t="s">
        <v>98</v>
      </c>
      <c r="D40" s="4" t="s">
        <v>278</v>
      </c>
      <c r="E40" s="4">
        <v>6560149942</v>
      </c>
      <c r="F40" s="4">
        <f>VLOOKUP(E:E,代理人!E:U,17,0)</f>
        <v>0</v>
      </c>
      <c r="G40" s="4">
        <f>VLOOKUP(E:E,代理人!E:X,20,0)</f>
        <v>0</v>
      </c>
      <c r="H40" s="4">
        <f>VLOOKUP(E:E,代理人!E:Y,21,0)</f>
        <v>0</v>
      </c>
      <c r="I40" s="4"/>
      <c r="J40" s="4">
        <f>_xlfn.IFS(G:G&gt;=3,"20%",OR(G:G=1,G:G=2),"10%",G:G=0,0)</f>
        <v>0</v>
      </c>
    </row>
    <row r="41" spans="1:10">
      <c r="A41" s="4" t="s">
        <v>27</v>
      </c>
      <c r="B41" s="4" t="s">
        <v>94</v>
      </c>
      <c r="C41" s="4" t="s">
        <v>95</v>
      </c>
      <c r="D41" s="4" t="s">
        <v>279</v>
      </c>
      <c r="E41" s="4">
        <v>6560072882</v>
      </c>
      <c r="F41" s="4">
        <f>VLOOKUP(E:E,代理人!E:U,17,0)</f>
        <v>0</v>
      </c>
      <c r="G41" s="4">
        <f>VLOOKUP(E:E,代理人!E:X,20,0)</f>
        <v>0</v>
      </c>
      <c r="H41" s="4">
        <f>VLOOKUP(E:E,代理人!E:Y,21,0)</f>
        <v>0</v>
      </c>
      <c r="I41" s="4"/>
      <c r="J41" s="4">
        <f>_xlfn.IFS(G:G&gt;=3,"20%",OR(G:G=1,G:G=2),"10%",G:G=0,0)</f>
        <v>0</v>
      </c>
    </row>
    <row r="42" spans="1:10">
      <c r="A42" s="4" t="s">
        <v>27</v>
      </c>
      <c r="B42" s="4" t="s">
        <v>100</v>
      </c>
      <c r="C42" s="4" t="s">
        <v>101</v>
      </c>
      <c r="D42" s="4" t="s">
        <v>280</v>
      </c>
      <c r="E42" s="4">
        <v>6560025732</v>
      </c>
      <c r="F42" s="4">
        <f>VLOOKUP(E:E,代理人!E:U,17,0)</f>
        <v>0</v>
      </c>
      <c r="G42" s="4">
        <f>VLOOKUP(E:E,代理人!E:X,20,0)</f>
        <v>0</v>
      </c>
      <c r="H42" s="4">
        <f>VLOOKUP(E:E,代理人!E:Y,21,0)</f>
        <v>0</v>
      </c>
      <c r="I42" s="4"/>
      <c r="J42" s="4">
        <f>_xlfn.IFS(G:G&gt;=3,"20%",OR(G:G=1,G:G=2),"10%",G:G=0,0)</f>
        <v>0</v>
      </c>
    </row>
    <row r="43" spans="1:10">
      <c r="A43" s="4" t="s">
        <v>48</v>
      </c>
      <c r="B43" s="4" t="s">
        <v>49</v>
      </c>
      <c r="C43" s="4" t="s">
        <v>98</v>
      </c>
      <c r="D43" s="4" t="s">
        <v>281</v>
      </c>
      <c r="E43" s="4">
        <v>6559333092</v>
      </c>
      <c r="F43" s="4">
        <f>VLOOKUP(E:E,代理人!E:U,17,0)</f>
        <v>0</v>
      </c>
      <c r="G43" s="4">
        <f>VLOOKUP(E:E,代理人!E:X,20,0)</f>
        <v>0</v>
      </c>
      <c r="H43" s="4">
        <f>VLOOKUP(E:E,代理人!E:Y,21,0)</f>
        <v>0</v>
      </c>
      <c r="I43" s="4"/>
      <c r="J43" s="4">
        <f>_xlfn.IFS(G:G&gt;=3,"20%",OR(G:G=1,G:G=2),"10%",G:G=0,0)</f>
        <v>0</v>
      </c>
    </row>
    <row r="44" spans="1:10">
      <c r="A44" s="4" t="s">
        <v>48</v>
      </c>
      <c r="B44" s="4" t="s">
        <v>49</v>
      </c>
      <c r="C44" s="4" t="s">
        <v>50</v>
      </c>
      <c r="D44" s="4" t="s">
        <v>282</v>
      </c>
      <c r="E44" s="4">
        <v>6556490182</v>
      </c>
      <c r="F44" s="4">
        <f>VLOOKUP(E:E,代理人!E:U,17,0)</f>
        <v>0</v>
      </c>
      <c r="G44" s="4">
        <f>VLOOKUP(E:E,代理人!E:X,20,0)</f>
        <v>0</v>
      </c>
      <c r="H44" s="4">
        <f>VLOOKUP(E:E,代理人!E:Y,21,0)</f>
        <v>0</v>
      </c>
      <c r="I44" s="4"/>
      <c r="J44" s="4">
        <f>_xlfn.IFS(G:G&gt;=3,"20%",OR(G:G=1,G:G=2),"10%",G:G=0,0)</f>
        <v>0</v>
      </c>
    </row>
    <row r="45" spans="1:10">
      <c r="A45" s="4" t="s">
        <v>48</v>
      </c>
      <c r="B45" s="4" t="s">
        <v>49</v>
      </c>
      <c r="C45" s="4" t="s">
        <v>98</v>
      </c>
      <c r="D45" s="4" t="s">
        <v>283</v>
      </c>
      <c r="E45" s="4">
        <v>6556481112</v>
      </c>
      <c r="F45" s="4">
        <f>VLOOKUP(E:E,代理人!E:U,17,0)</f>
        <v>0</v>
      </c>
      <c r="G45" s="4">
        <f>VLOOKUP(E:E,代理人!E:X,20,0)</f>
        <v>0</v>
      </c>
      <c r="H45" s="4">
        <f>VLOOKUP(E:E,代理人!E:Y,21,0)</f>
        <v>0</v>
      </c>
      <c r="I45" s="4"/>
      <c r="J45" s="4">
        <f>_xlfn.IFS(G:G&gt;=3,"20%",OR(G:G=1,G:G=2),"10%",G:G=0,0)</f>
        <v>0</v>
      </c>
    </row>
    <row r="46" spans="1:10">
      <c r="A46" s="4" t="s">
        <v>42</v>
      </c>
      <c r="B46" s="4" t="s">
        <v>62</v>
      </c>
      <c r="C46" s="4" t="s">
        <v>86</v>
      </c>
      <c r="D46" s="4" t="s">
        <v>284</v>
      </c>
      <c r="E46" s="4">
        <v>6555905482</v>
      </c>
      <c r="F46" s="4">
        <f>VLOOKUP(E:E,代理人!E:U,17,0)</f>
        <v>0</v>
      </c>
      <c r="G46" s="4">
        <f>VLOOKUP(E:E,代理人!E:X,20,0)</f>
        <v>0</v>
      </c>
      <c r="H46" s="4">
        <f>VLOOKUP(E:E,代理人!E:Y,21,0)</f>
        <v>0</v>
      </c>
      <c r="I46" s="4"/>
      <c r="J46" s="4">
        <f>_xlfn.IFS(G:G&gt;=3,"20%",OR(G:G=1,G:G=2),"10%",G:G=0,0)</f>
        <v>0</v>
      </c>
    </row>
    <row r="47" spans="1:10">
      <c r="A47" s="4" t="s">
        <v>42</v>
      </c>
      <c r="B47" s="4" t="s">
        <v>62</v>
      </c>
      <c r="C47" s="4" t="s">
        <v>63</v>
      </c>
      <c r="D47" s="4" t="s">
        <v>285</v>
      </c>
      <c r="E47" s="4">
        <v>6554680762</v>
      </c>
      <c r="F47" s="4">
        <f>VLOOKUP(E:E,代理人!E:U,17,0)</f>
        <v>0</v>
      </c>
      <c r="G47" s="4">
        <f>VLOOKUP(E:E,代理人!E:X,20,0)</f>
        <v>0</v>
      </c>
      <c r="H47" s="4">
        <f>VLOOKUP(E:E,代理人!E:Y,21,0)</f>
        <v>0</v>
      </c>
      <c r="I47" s="4"/>
      <c r="J47" s="4">
        <f>_xlfn.IFS(G:G&gt;=3,"20%",OR(G:G=1,G:G=2),"10%",G:G=0,0)</f>
        <v>0</v>
      </c>
    </row>
    <row r="48" spans="1:10">
      <c r="A48" s="4" t="s">
        <v>27</v>
      </c>
      <c r="B48" s="4" t="s">
        <v>28</v>
      </c>
      <c r="C48" s="4" t="s">
        <v>29</v>
      </c>
      <c r="D48" s="4" t="s">
        <v>79</v>
      </c>
      <c r="E48" s="4">
        <v>6554611872</v>
      </c>
      <c r="F48" s="4">
        <f>VLOOKUP(E:E,代理人!E:U,17,0)</f>
        <v>0</v>
      </c>
      <c r="G48" s="4">
        <f>VLOOKUP(E:E,代理人!E:X,20,0)</f>
        <v>0</v>
      </c>
      <c r="H48" s="4">
        <f>VLOOKUP(E:E,代理人!E:Y,21,0)</f>
        <v>0</v>
      </c>
      <c r="I48" s="4"/>
      <c r="J48" s="4">
        <f>_xlfn.IFS(G:G&gt;=3,"20%",OR(G:G=1,G:G=2),"10%",G:G=0,0)</f>
        <v>0</v>
      </c>
    </row>
    <row r="49" spans="1:10">
      <c r="A49" s="4" t="s">
        <v>27</v>
      </c>
      <c r="B49" s="4" t="s">
        <v>37</v>
      </c>
      <c r="C49" s="4" t="s">
        <v>226</v>
      </c>
      <c r="D49" s="4" t="s">
        <v>286</v>
      </c>
      <c r="E49" s="4">
        <v>6554598232</v>
      </c>
      <c r="F49" s="4">
        <f>VLOOKUP(E:E,代理人!E:U,17,0)</f>
        <v>0</v>
      </c>
      <c r="G49" s="4">
        <f>VLOOKUP(E:E,代理人!E:X,20,0)</f>
        <v>0</v>
      </c>
      <c r="H49" s="4">
        <f>VLOOKUP(E:E,代理人!E:Y,21,0)</f>
        <v>0</v>
      </c>
      <c r="I49" s="4"/>
      <c r="J49" s="4">
        <f>_xlfn.IFS(G:G&gt;=3,"20%",OR(G:G=1,G:G=2),"10%",G:G=0,0)</f>
        <v>0</v>
      </c>
    </row>
    <row r="50" spans="1:10">
      <c r="A50" s="4" t="s">
        <v>48</v>
      </c>
      <c r="B50" s="4" t="s">
        <v>49</v>
      </c>
      <c r="C50" s="4" t="s">
        <v>50</v>
      </c>
      <c r="D50" s="4" t="s">
        <v>287</v>
      </c>
      <c r="E50" s="4">
        <v>6554581962</v>
      </c>
      <c r="F50" s="4">
        <f>VLOOKUP(E:E,代理人!E:U,17,0)</f>
        <v>0</v>
      </c>
      <c r="G50" s="4">
        <f>VLOOKUP(E:E,代理人!E:X,20,0)</f>
        <v>0</v>
      </c>
      <c r="H50" s="4">
        <f>VLOOKUP(E:E,代理人!E:Y,21,0)</f>
        <v>0</v>
      </c>
      <c r="I50" s="4"/>
      <c r="J50" s="4">
        <f>_xlfn.IFS(G:G&gt;=3,"20%",OR(G:G=1,G:G=2),"10%",G:G=0,0)</f>
        <v>0</v>
      </c>
    </row>
    <row r="51" spans="1:10">
      <c r="A51" s="4" t="s">
        <v>48</v>
      </c>
      <c r="B51" s="4" t="s">
        <v>49</v>
      </c>
      <c r="C51" s="4" t="s">
        <v>98</v>
      </c>
      <c r="D51" s="4" t="s">
        <v>288</v>
      </c>
      <c r="E51" s="4">
        <v>6552982812</v>
      </c>
      <c r="F51" s="4">
        <f>VLOOKUP(E:E,代理人!E:U,17,0)</f>
        <v>0</v>
      </c>
      <c r="G51" s="4">
        <f>VLOOKUP(E:E,代理人!E:X,20,0)</f>
        <v>0</v>
      </c>
      <c r="H51" s="4">
        <f>VLOOKUP(E:E,代理人!E:Y,21,0)</f>
        <v>0</v>
      </c>
      <c r="I51" s="4"/>
      <c r="J51" s="4">
        <f>_xlfn.IFS(G:G&gt;=3,"20%",OR(G:G=1,G:G=2),"10%",G:G=0,0)</f>
        <v>0</v>
      </c>
    </row>
    <row r="52" spans="1:10">
      <c r="A52" s="4" t="s">
        <v>27</v>
      </c>
      <c r="B52" s="4" t="s">
        <v>28</v>
      </c>
      <c r="C52" s="4" t="s">
        <v>29</v>
      </c>
      <c r="D52" s="4" t="s">
        <v>289</v>
      </c>
      <c r="E52" s="4">
        <v>6551184192</v>
      </c>
      <c r="F52" s="4">
        <f>VLOOKUP(E:E,代理人!E:U,17,0)</f>
        <v>0</v>
      </c>
      <c r="G52" s="4">
        <f>VLOOKUP(E:E,代理人!E:X,20,0)</f>
        <v>0</v>
      </c>
      <c r="H52" s="4">
        <f>VLOOKUP(E:E,代理人!E:Y,21,0)</f>
        <v>0</v>
      </c>
      <c r="I52" s="4"/>
      <c r="J52" s="4">
        <f>_xlfn.IFS(G:G&gt;=3,"20%",OR(G:G=1,G:G=2),"10%",G:G=0,0)</f>
        <v>0</v>
      </c>
    </row>
    <row r="53" spans="1:10">
      <c r="A53" s="4" t="s">
        <v>27</v>
      </c>
      <c r="B53" s="4" t="s">
        <v>94</v>
      </c>
      <c r="C53" s="4" t="s">
        <v>95</v>
      </c>
      <c r="D53" s="4" t="s">
        <v>290</v>
      </c>
      <c r="E53" s="4">
        <v>6551176022</v>
      </c>
      <c r="F53" s="4">
        <f>VLOOKUP(E:E,代理人!E:U,17,0)</f>
        <v>0</v>
      </c>
      <c r="G53" s="4">
        <f>VLOOKUP(E:E,代理人!E:X,20,0)</f>
        <v>0</v>
      </c>
      <c r="H53" s="4">
        <f>VLOOKUP(E:E,代理人!E:Y,21,0)</f>
        <v>0</v>
      </c>
      <c r="I53" s="4"/>
      <c r="J53" s="4">
        <f>_xlfn.IFS(G:G&gt;=3,"20%",OR(G:G=1,G:G=2),"10%",G:G=0,0)</f>
        <v>0</v>
      </c>
    </row>
    <row r="54" spans="1:10">
      <c r="A54" s="4" t="s">
        <v>42</v>
      </c>
      <c r="B54" s="4" t="s">
        <v>43</v>
      </c>
      <c r="C54" s="4" t="s">
        <v>75</v>
      </c>
      <c r="D54" s="4" t="s">
        <v>291</v>
      </c>
      <c r="E54" s="4">
        <v>6551158852</v>
      </c>
      <c r="F54" s="4">
        <f>VLOOKUP(E:E,代理人!E:U,17,0)</f>
        <v>0</v>
      </c>
      <c r="G54" s="4">
        <f>VLOOKUP(E:E,代理人!E:X,20,0)</f>
        <v>0</v>
      </c>
      <c r="H54" s="4">
        <f>VLOOKUP(E:E,代理人!E:Y,21,0)</f>
        <v>0</v>
      </c>
      <c r="I54" s="4"/>
      <c r="J54" s="4">
        <f>_xlfn.IFS(G:G&gt;=3,"20%",OR(G:G=1,G:G=2),"10%",G:G=0,0)</f>
        <v>0</v>
      </c>
    </row>
    <row r="55" spans="1:10">
      <c r="A55" s="4" t="s">
        <v>48</v>
      </c>
      <c r="B55" s="4" t="s">
        <v>49</v>
      </c>
      <c r="C55" s="4" t="s">
        <v>50</v>
      </c>
      <c r="D55" s="4" t="s">
        <v>292</v>
      </c>
      <c r="E55" s="4">
        <v>6550477082</v>
      </c>
      <c r="F55" s="4">
        <f>VLOOKUP(E:E,代理人!E:U,17,0)</f>
        <v>0</v>
      </c>
      <c r="G55" s="4">
        <f>VLOOKUP(E:E,代理人!E:X,20,0)</f>
        <v>0</v>
      </c>
      <c r="H55" s="4">
        <f>VLOOKUP(E:E,代理人!E:Y,21,0)</f>
        <v>0</v>
      </c>
      <c r="I55" s="4"/>
      <c r="J55" s="4">
        <f>_xlfn.IFS(G:G&gt;=3,"20%",OR(G:G=1,G:G=2),"10%",G:G=0,0)</f>
        <v>0</v>
      </c>
    </row>
    <row r="56" spans="1:10">
      <c r="A56" s="4" t="s">
        <v>27</v>
      </c>
      <c r="B56" s="4" t="s">
        <v>100</v>
      </c>
      <c r="C56" s="4" t="s">
        <v>101</v>
      </c>
      <c r="D56" s="4" t="s">
        <v>106</v>
      </c>
      <c r="E56" s="4">
        <v>6550456242</v>
      </c>
      <c r="F56" s="4">
        <f>VLOOKUP(E:E,代理人!E:U,17,0)</f>
        <v>0</v>
      </c>
      <c r="G56" s="4">
        <f>VLOOKUP(E:E,代理人!E:X,20,0)</f>
        <v>0</v>
      </c>
      <c r="H56" s="4">
        <f>VLOOKUP(E:E,代理人!E:Y,21,0)</f>
        <v>0</v>
      </c>
      <c r="I56" s="4"/>
      <c r="J56" s="4">
        <f>_xlfn.IFS(G:G&gt;=3,"20%",OR(G:G=1,G:G=2),"10%",G:G=0,0)</f>
        <v>0</v>
      </c>
    </row>
    <row r="57" spans="1:10">
      <c r="A57" s="4" t="s">
        <v>48</v>
      </c>
      <c r="B57" s="4" t="s">
        <v>49</v>
      </c>
      <c r="C57" s="4" t="s">
        <v>50</v>
      </c>
      <c r="D57" s="4" t="s">
        <v>293</v>
      </c>
      <c r="E57" s="4">
        <v>6549661202</v>
      </c>
      <c r="F57" s="4">
        <f>VLOOKUP(E:E,代理人!E:U,17,0)</f>
        <v>0</v>
      </c>
      <c r="G57" s="4">
        <f>VLOOKUP(E:E,代理人!E:X,20,0)</f>
        <v>0</v>
      </c>
      <c r="H57" s="4">
        <f>VLOOKUP(E:E,代理人!E:Y,21,0)</f>
        <v>0</v>
      </c>
      <c r="I57" s="4"/>
      <c r="J57" s="4">
        <f>_xlfn.IFS(G:G&gt;=3,"20%",OR(G:G=1,G:G=2),"10%",G:G=0,0)</f>
        <v>0</v>
      </c>
    </row>
    <row r="58" spans="1:10">
      <c r="A58" s="4" t="s">
        <v>27</v>
      </c>
      <c r="B58" s="4" t="s">
        <v>294</v>
      </c>
      <c r="C58" s="4" t="s">
        <v>295</v>
      </c>
      <c r="D58" s="4" t="s">
        <v>296</v>
      </c>
      <c r="E58" s="4">
        <v>6549233322</v>
      </c>
      <c r="F58" s="4">
        <f>VLOOKUP(E:E,代理人!E:U,17,0)</f>
        <v>0</v>
      </c>
      <c r="G58" s="4">
        <f>VLOOKUP(E:E,代理人!E:X,20,0)</f>
        <v>0</v>
      </c>
      <c r="H58" s="4">
        <f>VLOOKUP(E:E,代理人!E:Y,21,0)</f>
        <v>0</v>
      </c>
      <c r="I58" s="4"/>
      <c r="J58" s="4">
        <f>_xlfn.IFS(G:G&gt;=3,"20%",OR(G:G=1,G:G=2),"10%",G:G=0,0)</f>
        <v>0</v>
      </c>
    </row>
    <row r="59" spans="1:10">
      <c r="A59" s="4" t="s">
        <v>27</v>
      </c>
      <c r="B59" s="4" t="s">
        <v>100</v>
      </c>
      <c r="C59" s="4" t="s">
        <v>101</v>
      </c>
      <c r="D59" s="4" t="s">
        <v>297</v>
      </c>
      <c r="E59" s="4">
        <v>6549227922</v>
      </c>
      <c r="F59" s="4">
        <f>VLOOKUP(E:E,代理人!E:U,17,0)</f>
        <v>0</v>
      </c>
      <c r="G59" s="4">
        <f>VLOOKUP(E:E,代理人!E:X,20,0)</f>
        <v>0</v>
      </c>
      <c r="H59" s="4">
        <f>VLOOKUP(E:E,代理人!E:Y,21,0)</f>
        <v>0</v>
      </c>
      <c r="I59" s="4"/>
      <c r="J59" s="4">
        <f>_xlfn.IFS(G:G&gt;=3,"20%",OR(G:G=1,G:G=2),"10%",G:G=0,0)</f>
        <v>0</v>
      </c>
    </row>
    <row r="60" spans="1:10">
      <c r="A60" s="4" t="s">
        <v>42</v>
      </c>
      <c r="B60" s="4" t="s">
        <v>62</v>
      </c>
      <c r="C60" s="4" t="s">
        <v>228</v>
      </c>
      <c r="D60" s="4" t="s">
        <v>298</v>
      </c>
      <c r="E60" s="4">
        <v>6548957762</v>
      </c>
      <c r="F60" s="4">
        <f>VLOOKUP(E:E,代理人!E:U,17,0)</f>
        <v>0</v>
      </c>
      <c r="G60" s="4">
        <f>VLOOKUP(E:E,代理人!E:X,20,0)</f>
        <v>0</v>
      </c>
      <c r="H60" s="4">
        <f>VLOOKUP(E:E,代理人!E:Y,21,0)</f>
        <v>0</v>
      </c>
      <c r="I60" s="4"/>
      <c r="J60" s="4">
        <f>_xlfn.IFS(G:G&gt;=3,"20%",OR(G:G=1,G:G=2),"10%",G:G=0,0)</f>
        <v>0</v>
      </c>
    </row>
    <row r="61" spans="1:10">
      <c r="A61" s="4" t="s">
        <v>42</v>
      </c>
      <c r="B61" s="4" t="s">
        <v>66</v>
      </c>
      <c r="C61" s="4" t="s">
        <v>67</v>
      </c>
      <c r="D61" s="4" t="s">
        <v>299</v>
      </c>
      <c r="E61" s="4">
        <v>6547564382</v>
      </c>
      <c r="F61" s="4">
        <f>VLOOKUP(E:E,代理人!E:U,17,0)</f>
        <v>0</v>
      </c>
      <c r="G61" s="4">
        <f>VLOOKUP(E:E,代理人!E:X,20,0)</f>
        <v>0</v>
      </c>
      <c r="H61" s="4">
        <f>VLOOKUP(E:E,代理人!E:Y,21,0)</f>
        <v>0</v>
      </c>
      <c r="I61" s="4"/>
      <c r="J61" s="4">
        <f>_xlfn.IFS(G:G&gt;=3,"20%",OR(G:G=1,G:G=2),"10%",G:G=0,0)</f>
        <v>0</v>
      </c>
    </row>
    <row r="62" spans="1:10">
      <c r="A62" s="4" t="s">
        <v>42</v>
      </c>
      <c r="B62" s="4" t="s">
        <v>62</v>
      </c>
      <c r="C62" s="4" t="s">
        <v>108</v>
      </c>
      <c r="D62" s="4" t="s">
        <v>300</v>
      </c>
      <c r="E62" s="4">
        <v>6547517232</v>
      </c>
      <c r="F62" s="4">
        <f>VLOOKUP(E:E,代理人!E:U,17,0)</f>
        <v>0</v>
      </c>
      <c r="G62" s="4">
        <f>VLOOKUP(E:E,代理人!E:X,20,0)</f>
        <v>0</v>
      </c>
      <c r="H62" s="4">
        <f>VLOOKUP(E:E,代理人!E:Y,21,0)</f>
        <v>0</v>
      </c>
      <c r="I62" s="4"/>
      <c r="J62" s="4">
        <f>_xlfn.IFS(G:G&gt;=3,"20%",OR(G:G=1,G:G=2),"10%",G:G=0,0)</f>
        <v>0</v>
      </c>
    </row>
    <row r="63" spans="1:10">
      <c r="A63" s="4" t="s">
        <v>42</v>
      </c>
      <c r="B63" s="4" t="s">
        <v>62</v>
      </c>
      <c r="C63" s="4" t="s">
        <v>108</v>
      </c>
      <c r="D63" s="4" t="s">
        <v>301</v>
      </c>
      <c r="E63" s="4">
        <v>6547493692</v>
      </c>
      <c r="F63" s="4">
        <f>VLOOKUP(E:E,代理人!E:U,17,0)</f>
        <v>0</v>
      </c>
      <c r="G63" s="4">
        <f>VLOOKUP(E:E,代理人!E:X,20,0)</f>
        <v>0</v>
      </c>
      <c r="H63" s="4">
        <f>VLOOKUP(E:E,代理人!E:Y,21,0)</f>
        <v>0</v>
      </c>
      <c r="I63" s="4"/>
      <c r="J63" s="4">
        <f>_xlfn.IFS(G:G&gt;=3,"20%",OR(G:G=1,G:G=2),"10%",G:G=0,0)</f>
        <v>0</v>
      </c>
    </row>
    <row r="64" spans="1:10">
      <c r="A64" s="4" t="s">
        <v>42</v>
      </c>
      <c r="B64" s="4" t="s">
        <v>66</v>
      </c>
      <c r="C64" s="4" t="s">
        <v>67</v>
      </c>
      <c r="D64" s="4" t="s">
        <v>302</v>
      </c>
      <c r="E64" s="4">
        <v>6545451222</v>
      </c>
      <c r="F64" s="4">
        <f>VLOOKUP(E:E,代理人!E:U,17,0)</f>
        <v>0</v>
      </c>
      <c r="G64" s="4">
        <f>VLOOKUP(E:E,代理人!E:X,20,0)</f>
        <v>0</v>
      </c>
      <c r="H64" s="4">
        <f>VLOOKUP(E:E,代理人!E:Y,21,0)</f>
        <v>0</v>
      </c>
      <c r="I64" s="4"/>
      <c r="J64" s="4">
        <f>_xlfn.IFS(G:G&gt;=3,"20%",OR(G:G=1,G:G=2),"10%",G:G=0,0)</f>
        <v>0</v>
      </c>
    </row>
    <row r="65" spans="1:10">
      <c r="A65" s="4" t="s">
        <v>42</v>
      </c>
      <c r="B65" s="4" t="s">
        <v>43</v>
      </c>
      <c r="C65" s="4" t="s">
        <v>70</v>
      </c>
      <c r="D65" s="4" t="s">
        <v>303</v>
      </c>
      <c r="E65" s="4">
        <v>6529280332</v>
      </c>
      <c r="F65" s="4">
        <f>VLOOKUP(E:E,代理人!E:U,17,0)</f>
        <v>0</v>
      </c>
      <c r="G65" s="4">
        <f>VLOOKUP(E:E,代理人!E:X,20,0)</f>
        <v>0</v>
      </c>
      <c r="H65" s="4">
        <f>VLOOKUP(E:E,代理人!E:Y,21,0)</f>
        <v>0</v>
      </c>
      <c r="I65" s="4"/>
      <c r="J65" s="4">
        <f>_xlfn.IFS(G:G&gt;=3,"20%",OR(G:G=1,G:G=2),"10%",G:G=0,0)</f>
        <v>0</v>
      </c>
    </row>
    <row r="66" spans="1:10">
      <c r="A66" s="4" t="s">
        <v>42</v>
      </c>
      <c r="B66" s="4" t="s">
        <v>62</v>
      </c>
      <c r="C66" s="4" t="s">
        <v>92</v>
      </c>
      <c r="D66" s="4" t="s">
        <v>304</v>
      </c>
      <c r="E66" s="4">
        <v>6526885242</v>
      </c>
      <c r="F66" s="4">
        <f>VLOOKUP(E:E,代理人!E:U,17,0)</f>
        <v>0</v>
      </c>
      <c r="G66" s="4">
        <f>VLOOKUP(E:E,代理人!E:X,20,0)</f>
        <v>0</v>
      </c>
      <c r="H66" s="4">
        <f>VLOOKUP(E:E,代理人!E:Y,21,0)</f>
        <v>0</v>
      </c>
      <c r="I66" s="4"/>
      <c r="J66" s="4">
        <f>_xlfn.IFS(G:G&gt;=3,"20%",OR(G:G=1,G:G=2),"10%",G:G=0,0)</f>
        <v>0</v>
      </c>
    </row>
    <row r="67" spans="1:10">
      <c r="A67" s="4" t="s">
        <v>48</v>
      </c>
      <c r="B67" s="4" t="s">
        <v>49</v>
      </c>
      <c r="C67" s="4" t="s">
        <v>50</v>
      </c>
      <c r="D67" s="4" t="s">
        <v>305</v>
      </c>
      <c r="E67" s="4">
        <v>6524201922</v>
      </c>
      <c r="F67" s="4">
        <f>VLOOKUP(E:E,代理人!E:U,17,0)</f>
        <v>0</v>
      </c>
      <c r="G67" s="4">
        <f>VLOOKUP(E:E,代理人!E:X,20,0)</f>
        <v>0</v>
      </c>
      <c r="H67" s="4">
        <f>VLOOKUP(E:E,代理人!E:Y,21,0)</f>
        <v>0</v>
      </c>
      <c r="I67" s="4"/>
      <c r="J67" s="4">
        <f>_xlfn.IFS(G:G&gt;=3,"20%",OR(G:G=1,G:G=2),"10%",G:G=0,0)</f>
        <v>0</v>
      </c>
    </row>
    <row r="68" spans="1:10">
      <c r="A68" s="4" t="s">
        <v>42</v>
      </c>
      <c r="B68" s="4" t="s">
        <v>62</v>
      </c>
      <c r="C68" s="4" t="s">
        <v>72</v>
      </c>
      <c r="D68" s="4" t="s">
        <v>306</v>
      </c>
      <c r="E68" s="4">
        <v>6520282942</v>
      </c>
      <c r="F68" s="4">
        <f>VLOOKUP(E:E,代理人!E:U,17,0)</f>
        <v>0</v>
      </c>
      <c r="G68" s="4">
        <f>VLOOKUP(E:E,代理人!E:X,20,0)</f>
        <v>0</v>
      </c>
      <c r="H68" s="4">
        <f>VLOOKUP(E:E,代理人!E:Y,21,0)</f>
        <v>0</v>
      </c>
      <c r="I68" s="4"/>
      <c r="J68" s="4">
        <f>_xlfn.IFS(G:G&gt;=3,"20%",OR(G:G=1,G:G=2),"10%",G:G=0,0)</f>
        <v>0</v>
      </c>
    </row>
    <row r="69" spans="1:10">
      <c r="A69" s="4" t="s">
        <v>42</v>
      </c>
      <c r="B69" s="4" t="s">
        <v>62</v>
      </c>
      <c r="C69" s="4" t="s">
        <v>72</v>
      </c>
      <c r="D69" s="4" t="s">
        <v>307</v>
      </c>
      <c r="E69" s="4">
        <v>6520274772</v>
      </c>
      <c r="F69" s="4">
        <f>VLOOKUP(E:E,代理人!E:U,17,0)</f>
        <v>0</v>
      </c>
      <c r="G69" s="4">
        <f>VLOOKUP(E:E,代理人!E:X,20,0)</f>
        <v>0</v>
      </c>
      <c r="H69" s="4">
        <f>VLOOKUP(E:E,代理人!E:Y,21,0)</f>
        <v>0</v>
      </c>
      <c r="I69" s="4"/>
      <c r="J69" s="4">
        <f>_xlfn.IFS(G:G&gt;=3,"20%",OR(G:G=1,G:G=2),"10%",G:G=0,0)</f>
        <v>0</v>
      </c>
    </row>
    <row r="70" spans="1:10">
      <c r="A70" s="4" t="s">
        <v>42</v>
      </c>
      <c r="B70" s="4" t="s">
        <v>62</v>
      </c>
      <c r="C70" s="4" t="s">
        <v>72</v>
      </c>
      <c r="D70" s="4" t="s">
        <v>308</v>
      </c>
      <c r="E70" s="4">
        <v>6520254832</v>
      </c>
      <c r="F70" s="4">
        <f>VLOOKUP(E:E,代理人!E:U,17,0)</f>
        <v>0</v>
      </c>
      <c r="G70" s="4">
        <f>VLOOKUP(E:E,代理人!E:X,20,0)</f>
        <v>0</v>
      </c>
      <c r="H70" s="4">
        <f>VLOOKUP(E:E,代理人!E:Y,21,0)</f>
        <v>0</v>
      </c>
      <c r="I70" s="4"/>
      <c r="J70" s="4">
        <f>_xlfn.IFS(G:G&gt;=3,"20%",OR(G:G=1,G:G=2),"10%",G:G=0,0)</f>
        <v>0</v>
      </c>
    </row>
    <row r="71" spans="1:10">
      <c r="A71" s="4" t="s">
        <v>27</v>
      </c>
      <c r="B71" s="4" t="s">
        <v>28</v>
      </c>
      <c r="C71" s="4" t="s">
        <v>29</v>
      </c>
      <c r="D71" s="4" t="s">
        <v>309</v>
      </c>
      <c r="E71" s="4">
        <v>6501704222</v>
      </c>
      <c r="F71" s="4">
        <f>VLOOKUP(E:E,代理人!E:U,17,0)</f>
        <v>0</v>
      </c>
      <c r="G71" s="4">
        <f>VLOOKUP(E:E,代理人!E:X,20,0)</f>
        <v>0</v>
      </c>
      <c r="H71" s="4">
        <f>VLOOKUP(E:E,代理人!E:Y,21,0)</f>
        <v>0</v>
      </c>
      <c r="I71" s="4"/>
      <c r="J71" s="4">
        <f>_xlfn.IFS(G:G&gt;=3,"20%",OR(G:G=1,G:G=2),"10%",G:G=0,0)</f>
        <v>0</v>
      </c>
    </row>
    <row r="72" spans="1:10">
      <c r="A72" s="4" t="s">
        <v>42</v>
      </c>
      <c r="B72" s="4" t="s">
        <v>62</v>
      </c>
      <c r="C72" s="4" t="s">
        <v>228</v>
      </c>
      <c r="D72" s="4" t="s">
        <v>310</v>
      </c>
      <c r="E72" s="4">
        <v>6497433522</v>
      </c>
      <c r="F72" s="4">
        <f>VLOOKUP(E:E,代理人!E:U,17,0)</f>
        <v>0</v>
      </c>
      <c r="G72" s="4">
        <f>VLOOKUP(E:E,代理人!E:X,20,0)</f>
        <v>0</v>
      </c>
      <c r="H72" s="4">
        <f>VLOOKUP(E:E,代理人!E:Y,21,0)</f>
        <v>0</v>
      </c>
      <c r="I72" s="4"/>
      <c r="J72" s="4">
        <f>_xlfn.IFS(G:G&gt;=3,"20%",OR(G:G=1,G:G=2),"10%",G:G=0,0)</f>
        <v>0</v>
      </c>
    </row>
    <row r="73" spans="1:10">
      <c r="A73" s="4" t="s">
        <v>48</v>
      </c>
      <c r="B73" s="4" t="s">
        <v>49</v>
      </c>
      <c r="C73" s="4" t="s">
        <v>98</v>
      </c>
      <c r="D73" s="4" t="s">
        <v>311</v>
      </c>
      <c r="E73" s="4">
        <v>6497424452</v>
      </c>
      <c r="F73" s="4">
        <f>VLOOKUP(E:E,代理人!E:U,17,0)</f>
        <v>0</v>
      </c>
      <c r="G73" s="4">
        <f>VLOOKUP(E:E,代理人!E:X,20,0)</f>
        <v>0</v>
      </c>
      <c r="H73" s="4">
        <f>VLOOKUP(E:E,代理人!E:Y,21,0)</f>
        <v>0</v>
      </c>
      <c r="I73" s="4"/>
      <c r="J73" s="4">
        <f>_xlfn.IFS(G:G&gt;=3,"20%",OR(G:G=1,G:G=2),"10%",G:G=0,0)</f>
        <v>0</v>
      </c>
    </row>
    <row r="74" spans="1:10">
      <c r="A74" s="4" t="s">
        <v>42</v>
      </c>
      <c r="B74" s="4" t="s">
        <v>62</v>
      </c>
      <c r="C74" s="4" t="s">
        <v>72</v>
      </c>
      <c r="D74" s="4" t="s">
        <v>312</v>
      </c>
      <c r="E74" s="4">
        <v>6496226942</v>
      </c>
      <c r="F74" s="4">
        <f>VLOOKUP(E:E,代理人!E:U,17,0)</f>
        <v>0</v>
      </c>
      <c r="G74" s="4">
        <f>VLOOKUP(E:E,代理人!E:X,20,0)</f>
        <v>0</v>
      </c>
      <c r="H74" s="4">
        <f>VLOOKUP(E:E,代理人!E:Y,21,0)</f>
        <v>0</v>
      </c>
      <c r="I74" s="4"/>
      <c r="J74" s="4">
        <f>_xlfn.IFS(G:G&gt;=3,"20%",OR(G:G=1,G:G=2),"10%",G:G=0,0)</f>
        <v>0</v>
      </c>
    </row>
    <row r="75" spans="1:10">
      <c r="A75" s="4" t="s">
        <v>42</v>
      </c>
      <c r="B75" s="4" t="s">
        <v>62</v>
      </c>
      <c r="C75" s="4" t="s">
        <v>72</v>
      </c>
      <c r="D75" s="4" t="s">
        <v>313</v>
      </c>
      <c r="E75" s="4">
        <v>6495945912</v>
      </c>
      <c r="F75" s="4">
        <f>VLOOKUP(E:E,代理人!E:U,17,0)</f>
        <v>0</v>
      </c>
      <c r="G75" s="4">
        <f>VLOOKUP(E:E,代理人!E:X,20,0)</f>
        <v>0</v>
      </c>
      <c r="H75" s="4">
        <f>VLOOKUP(E:E,代理人!E:Y,21,0)</f>
        <v>0</v>
      </c>
      <c r="I75" s="4"/>
      <c r="J75" s="4">
        <f>_xlfn.IFS(G:G&gt;=3,"20%",OR(G:G=1,G:G=2),"10%",G:G=0,0)</f>
        <v>0</v>
      </c>
    </row>
    <row r="76" spans="1:10">
      <c r="A76" s="4" t="s">
        <v>42</v>
      </c>
      <c r="B76" s="4" t="s">
        <v>66</v>
      </c>
      <c r="C76" s="4" t="s">
        <v>67</v>
      </c>
      <c r="D76" s="4" t="s">
        <v>314</v>
      </c>
      <c r="E76" s="4">
        <v>6495919602</v>
      </c>
      <c r="F76" s="4">
        <f>VLOOKUP(E:E,代理人!E:U,17,0)</f>
        <v>0</v>
      </c>
      <c r="G76" s="4">
        <f>VLOOKUP(E:E,代理人!E:X,20,0)</f>
        <v>0</v>
      </c>
      <c r="H76" s="4">
        <f>VLOOKUP(E:E,代理人!E:Y,21,0)</f>
        <v>0</v>
      </c>
      <c r="I76" s="4"/>
      <c r="J76" s="4">
        <f>_xlfn.IFS(G:G&gt;=3,"20%",OR(G:G=1,G:G=2),"10%",G:G=0,0)</f>
        <v>0</v>
      </c>
    </row>
    <row r="77" spans="1:10">
      <c r="A77" s="4" t="s">
        <v>42</v>
      </c>
      <c r="B77" s="4" t="s">
        <v>62</v>
      </c>
      <c r="C77" s="4" t="s">
        <v>72</v>
      </c>
      <c r="D77" s="4" t="s">
        <v>315</v>
      </c>
      <c r="E77" s="4">
        <v>6495478082</v>
      </c>
      <c r="F77" s="4">
        <f>VLOOKUP(E:E,代理人!E:U,17,0)</f>
        <v>0</v>
      </c>
      <c r="G77" s="4">
        <f>VLOOKUP(E:E,代理人!E:X,20,0)</f>
        <v>0</v>
      </c>
      <c r="H77" s="4">
        <f>VLOOKUP(E:E,代理人!E:Y,21,0)</f>
        <v>0</v>
      </c>
      <c r="I77" s="4"/>
      <c r="J77" s="4">
        <f>_xlfn.IFS(G:G&gt;=3,"20%",OR(G:G=1,G:G=2),"10%",G:G=0,0)</f>
        <v>0</v>
      </c>
    </row>
    <row r="78" spans="1:10">
      <c r="A78" s="4" t="s">
        <v>42</v>
      </c>
      <c r="B78" s="4" t="s">
        <v>62</v>
      </c>
      <c r="C78" s="4" t="s">
        <v>63</v>
      </c>
      <c r="D78" s="4" t="s">
        <v>316</v>
      </c>
      <c r="E78" s="4">
        <v>6493243482</v>
      </c>
      <c r="F78" s="4">
        <f>VLOOKUP(E:E,代理人!E:U,17,0)</f>
        <v>0</v>
      </c>
      <c r="G78" s="4">
        <f>VLOOKUP(E:E,代理人!E:X,20,0)</f>
        <v>0</v>
      </c>
      <c r="H78" s="4">
        <f>VLOOKUP(E:E,代理人!E:Y,21,0)</f>
        <v>0</v>
      </c>
      <c r="I78" s="4"/>
      <c r="J78" s="4">
        <f>_xlfn.IFS(G:G&gt;=3,"20%",OR(G:G=1,G:G=2),"10%",G:G=0,0)</f>
        <v>0</v>
      </c>
    </row>
    <row r="79" spans="1:10">
      <c r="A79" s="4" t="s">
        <v>42</v>
      </c>
      <c r="B79" s="4" t="s">
        <v>62</v>
      </c>
      <c r="C79" s="4" t="s">
        <v>72</v>
      </c>
      <c r="D79" s="4" t="s">
        <v>317</v>
      </c>
      <c r="E79" s="4">
        <v>6487627452</v>
      </c>
      <c r="F79" s="4">
        <f>VLOOKUP(E:E,代理人!E:U,17,0)</f>
        <v>0</v>
      </c>
      <c r="G79" s="4">
        <f>VLOOKUP(E:E,代理人!E:X,20,0)</f>
        <v>0</v>
      </c>
      <c r="H79" s="4">
        <f>VLOOKUP(E:E,代理人!E:Y,21,0)</f>
        <v>0</v>
      </c>
      <c r="I79" s="4"/>
      <c r="J79" s="4">
        <f>_xlfn.IFS(G:G&gt;=3,"20%",OR(G:G=1,G:G=2),"10%",G:G=0,0)</f>
        <v>0</v>
      </c>
    </row>
    <row r="80" spans="1:10">
      <c r="A80" s="4" t="s">
        <v>42</v>
      </c>
      <c r="B80" s="4" t="s">
        <v>62</v>
      </c>
      <c r="C80" s="4" t="s">
        <v>72</v>
      </c>
      <c r="D80" s="4" t="s">
        <v>318</v>
      </c>
      <c r="E80" s="4">
        <v>6486797032</v>
      </c>
      <c r="F80" s="4">
        <f>VLOOKUP(E:E,代理人!E:U,17,0)</f>
        <v>0</v>
      </c>
      <c r="G80" s="4">
        <f>VLOOKUP(E:E,代理人!E:X,20,0)</f>
        <v>0</v>
      </c>
      <c r="H80" s="4">
        <f>VLOOKUP(E:E,代理人!E:Y,21,0)</f>
        <v>0</v>
      </c>
      <c r="I80" s="4"/>
      <c r="J80" s="4">
        <f>_xlfn.IFS(G:G&gt;=3,"20%",OR(G:G=1,G:G=2),"10%",G:G=0,0)</f>
        <v>0</v>
      </c>
    </row>
    <row r="81" spans="1:10">
      <c r="A81" s="4" t="s">
        <v>27</v>
      </c>
      <c r="B81" s="4" t="s">
        <v>28</v>
      </c>
      <c r="C81" s="4" t="s">
        <v>29</v>
      </c>
      <c r="D81" s="4" t="s">
        <v>319</v>
      </c>
      <c r="E81" s="4">
        <v>6483119202</v>
      </c>
      <c r="F81" s="4">
        <f>VLOOKUP(E:E,代理人!E:U,17,0)</f>
        <v>0</v>
      </c>
      <c r="G81" s="4">
        <f>VLOOKUP(E:E,代理人!E:X,20,0)</f>
        <v>0</v>
      </c>
      <c r="H81" s="4">
        <f>VLOOKUP(E:E,代理人!E:Y,21,0)</f>
        <v>0</v>
      </c>
      <c r="I81" s="4"/>
      <c r="J81" s="4">
        <f>_xlfn.IFS(G:G&gt;=3,"20%",OR(G:G=1,G:G=2),"10%",G:G=0,0)</f>
        <v>0</v>
      </c>
    </row>
    <row r="82" spans="1:10">
      <c r="A82" s="4" t="s">
        <v>27</v>
      </c>
      <c r="B82" s="4" t="s">
        <v>37</v>
      </c>
      <c r="C82" s="4" t="s">
        <v>226</v>
      </c>
      <c r="D82" s="4" t="s">
        <v>320</v>
      </c>
      <c r="E82" s="4">
        <v>6482965082</v>
      </c>
      <c r="F82" s="4">
        <f>VLOOKUP(E:E,代理人!E:U,17,0)</f>
        <v>0</v>
      </c>
      <c r="G82" s="4">
        <f>VLOOKUP(E:E,代理人!E:X,20,0)</f>
        <v>0</v>
      </c>
      <c r="H82" s="4">
        <f>VLOOKUP(E:E,代理人!E:Y,21,0)</f>
        <v>0</v>
      </c>
      <c r="I82" s="4"/>
      <c r="J82" s="4">
        <f>_xlfn.IFS(G:G&gt;=3,"20%",OR(G:G=1,G:G=2),"10%",G:G=0,0)</f>
        <v>0</v>
      </c>
    </row>
    <row r="83" spans="1:10">
      <c r="A83" s="4" t="s">
        <v>27</v>
      </c>
      <c r="B83" s="4" t="s">
        <v>28</v>
      </c>
      <c r="C83" s="4" t="s">
        <v>29</v>
      </c>
      <c r="D83" s="4" t="s">
        <v>321</v>
      </c>
      <c r="E83" s="4">
        <v>6481562702</v>
      </c>
      <c r="F83" s="4">
        <f>VLOOKUP(E:E,代理人!E:U,17,0)</f>
        <v>0</v>
      </c>
      <c r="G83" s="4">
        <f>VLOOKUP(E:E,代理人!E:X,20,0)</f>
        <v>0</v>
      </c>
      <c r="H83" s="4">
        <f>VLOOKUP(E:E,代理人!E:Y,21,0)</f>
        <v>0</v>
      </c>
      <c r="I83" s="4"/>
      <c r="J83" s="4">
        <f>_xlfn.IFS(G:G&gt;=3,"20%",OR(G:G=1,G:G=2),"10%",G:G=0,0)</f>
        <v>0</v>
      </c>
    </row>
    <row r="84" spans="1:10">
      <c r="A84" s="4" t="s">
        <v>42</v>
      </c>
      <c r="B84" s="4" t="s">
        <v>62</v>
      </c>
      <c r="C84" s="4" t="s">
        <v>92</v>
      </c>
      <c r="D84" s="4" t="s">
        <v>322</v>
      </c>
      <c r="E84" s="4">
        <v>6481010612</v>
      </c>
      <c r="F84" s="4">
        <f>VLOOKUP(E:E,代理人!E:U,17,0)</f>
        <v>0</v>
      </c>
      <c r="G84" s="4">
        <f>VLOOKUP(E:E,代理人!E:X,20,0)</f>
        <v>0</v>
      </c>
      <c r="H84" s="4">
        <f>VLOOKUP(E:E,代理人!E:Y,21,0)</f>
        <v>0</v>
      </c>
      <c r="I84" s="4"/>
      <c r="J84" s="4">
        <f>_xlfn.IFS(G:G&gt;=3,"20%",OR(G:G=1,G:G=2),"10%",G:G=0,0)</f>
        <v>0</v>
      </c>
    </row>
    <row r="85" spans="1:10">
      <c r="A85" s="4" t="s">
        <v>27</v>
      </c>
      <c r="B85" s="4" t="s">
        <v>28</v>
      </c>
      <c r="C85" s="4" t="s">
        <v>29</v>
      </c>
      <c r="D85" s="4" t="s">
        <v>323</v>
      </c>
      <c r="E85" s="4">
        <v>6478470472</v>
      </c>
      <c r="F85" s="4">
        <f>VLOOKUP(E:E,代理人!E:U,17,0)</f>
        <v>0</v>
      </c>
      <c r="G85" s="4">
        <f>VLOOKUP(E:E,代理人!E:X,20,0)</f>
        <v>0</v>
      </c>
      <c r="H85" s="4">
        <f>VLOOKUP(E:E,代理人!E:Y,21,0)</f>
        <v>0</v>
      </c>
      <c r="I85" s="4"/>
      <c r="J85" s="4">
        <f>_xlfn.IFS(G:G&gt;=3,"20%",OR(G:G=1,G:G=2),"10%",G:G=0,0)</f>
        <v>0</v>
      </c>
    </row>
    <row r="86" spans="1:10">
      <c r="A86" s="4" t="s">
        <v>27</v>
      </c>
      <c r="B86" s="4" t="s">
        <v>28</v>
      </c>
      <c r="C86" s="4" t="s">
        <v>29</v>
      </c>
      <c r="D86" s="4" t="s">
        <v>324</v>
      </c>
      <c r="E86" s="4">
        <v>6478511252</v>
      </c>
      <c r="F86" s="4">
        <f>VLOOKUP(E:E,代理人!E:U,17,0)</f>
        <v>0</v>
      </c>
      <c r="G86" s="4">
        <f>VLOOKUP(E:E,代理人!E:X,20,0)</f>
        <v>0</v>
      </c>
      <c r="H86" s="4">
        <f>VLOOKUP(E:E,代理人!E:Y,21,0)</f>
        <v>0</v>
      </c>
      <c r="I86" s="4"/>
      <c r="J86" s="4">
        <f>_xlfn.IFS(G:G&gt;=3,"20%",OR(G:G=1,G:G=2),"10%",G:G=0,0)</f>
        <v>0</v>
      </c>
    </row>
    <row r="87" spans="1:10">
      <c r="A87" s="4" t="s">
        <v>42</v>
      </c>
      <c r="B87" s="4" t="s">
        <v>43</v>
      </c>
      <c r="C87" s="4" t="s">
        <v>44</v>
      </c>
      <c r="D87" s="4" t="s">
        <v>325</v>
      </c>
      <c r="E87" s="4">
        <v>6477994542</v>
      </c>
      <c r="F87" s="4">
        <f>VLOOKUP(E:E,代理人!E:U,17,0)</f>
        <v>0</v>
      </c>
      <c r="G87" s="4">
        <f>VLOOKUP(E:E,代理人!E:X,20,0)</f>
        <v>0</v>
      </c>
      <c r="H87" s="4">
        <f>VLOOKUP(E:E,代理人!E:Y,21,0)</f>
        <v>0</v>
      </c>
      <c r="I87" s="4"/>
      <c r="J87" s="4">
        <f>_xlfn.IFS(G:G&gt;=3,"20%",OR(G:G=1,G:G=2),"10%",G:G=0,0)</f>
        <v>0</v>
      </c>
    </row>
    <row r="88" spans="1:10">
      <c r="A88" s="4" t="s">
        <v>48</v>
      </c>
      <c r="B88" s="4" t="s">
        <v>49</v>
      </c>
      <c r="C88" s="4" t="s">
        <v>50</v>
      </c>
      <c r="D88" s="4" t="s">
        <v>326</v>
      </c>
      <c r="E88" s="4">
        <v>6476533172</v>
      </c>
      <c r="F88" s="4">
        <f>VLOOKUP(E:E,代理人!E:U,17,0)</f>
        <v>0</v>
      </c>
      <c r="G88" s="4">
        <f>VLOOKUP(E:E,代理人!E:X,20,0)</f>
        <v>0</v>
      </c>
      <c r="H88" s="4">
        <f>VLOOKUP(E:E,代理人!E:Y,21,0)</f>
        <v>0</v>
      </c>
      <c r="I88" s="4"/>
      <c r="J88" s="4">
        <f>_xlfn.IFS(G:G&gt;=3,"20%",OR(G:G=1,G:G=2),"10%",G:G=0,0)</f>
        <v>0</v>
      </c>
    </row>
    <row r="89" spans="1:10">
      <c r="A89" s="4" t="s">
        <v>42</v>
      </c>
      <c r="B89" s="4" t="s">
        <v>43</v>
      </c>
      <c r="C89" s="4" t="s">
        <v>44</v>
      </c>
      <c r="D89" s="4" t="s">
        <v>327</v>
      </c>
      <c r="E89" s="4">
        <v>6476530472</v>
      </c>
      <c r="F89" s="4">
        <f>VLOOKUP(E:E,代理人!E:U,17,0)</f>
        <v>0</v>
      </c>
      <c r="G89" s="4">
        <f>VLOOKUP(E:E,代理人!E:X,20,0)</f>
        <v>0</v>
      </c>
      <c r="H89" s="4">
        <f>VLOOKUP(E:E,代理人!E:Y,21,0)</f>
        <v>0</v>
      </c>
      <c r="I89" s="4"/>
      <c r="J89" s="4">
        <f>_xlfn.IFS(G:G&gt;=3,"20%",OR(G:G=1,G:G=2),"10%",G:G=0,0)</f>
        <v>0</v>
      </c>
    </row>
    <row r="90" spans="1:10">
      <c r="A90" s="4" t="s">
        <v>42</v>
      </c>
      <c r="B90" s="4" t="s">
        <v>62</v>
      </c>
      <c r="C90" s="4" t="s">
        <v>108</v>
      </c>
      <c r="D90" s="4" t="s">
        <v>328</v>
      </c>
      <c r="E90" s="4">
        <v>6474412812</v>
      </c>
      <c r="F90" s="4">
        <f>VLOOKUP(E:E,代理人!E:U,17,0)</f>
        <v>0</v>
      </c>
      <c r="G90" s="4">
        <f>VLOOKUP(E:E,代理人!E:X,20,0)</f>
        <v>0</v>
      </c>
      <c r="H90" s="4">
        <f>VLOOKUP(E:E,代理人!E:Y,21,0)</f>
        <v>0</v>
      </c>
      <c r="I90" s="4"/>
      <c r="J90" s="4">
        <f>_xlfn.IFS(G:G&gt;=3,"20%",OR(G:G=1,G:G=2),"10%",G:G=0,0)</f>
        <v>0</v>
      </c>
    </row>
    <row r="91" spans="1:10">
      <c r="A91" s="4" t="s">
        <v>42</v>
      </c>
      <c r="B91" s="4" t="s">
        <v>62</v>
      </c>
      <c r="C91" s="4" t="s">
        <v>63</v>
      </c>
      <c r="D91" s="4" t="s">
        <v>329</v>
      </c>
      <c r="E91" s="4">
        <v>6472388482</v>
      </c>
      <c r="F91" s="4">
        <f>VLOOKUP(E:E,代理人!E:U,17,0)</f>
        <v>0</v>
      </c>
      <c r="G91" s="4">
        <f>VLOOKUP(E:E,代理人!E:X,20,0)</f>
        <v>0</v>
      </c>
      <c r="H91" s="4">
        <f>VLOOKUP(E:E,代理人!E:Y,21,0)</f>
        <v>0</v>
      </c>
      <c r="I91" s="4"/>
      <c r="J91" s="4">
        <f>_xlfn.IFS(G:G&gt;=3,"20%",OR(G:G=1,G:G=2),"10%",G:G=0,0)</f>
        <v>0</v>
      </c>
    </row>
    <row r="92" spans="1:10">
      <c r="A92" s="4" t="s">
        <v>48</v>
      </c>
      <c r="B92" s="4" t="s">
        <v>49</v>
      </c>
      <c r="C92" s="4" t="s">
        <v>98</v>
      </c>
      <c r="D92" s="4" t="s">
        <v>330</v>
      </c>
      <c r="E92" s="4">
        <v>6458436822</v>
      </c>
      <c r="F92" s="4">
        <f>VLOOKUP(E:E,代理人!E:U,17,0)</f>
        <v>0</v>
      </c>
      <c r="G92" s="4">
        <f>VLOOKUP(E:E,代理人!E:X,20,0)</f>
        <v>0</v>
      </c>
      <c r="H92" s="4">
        <f>VLOOKUP(E:E,代理人!E:Y,21,0)</f>
        <v>0</v>
      </c>
      <c r="I92" s="4"/>
      <c r="J92" s="4">
        <f>_xlfn.IFS(G:G&gt;=3,"20%",OR(G:G=1,G:G=2),"10%",G:G=0,0)</f>
        <v>0</v>
      </c>
    </row>
    <row r="93" spans="1:10">
      <c r="A93" s="4" t="s">
        <v>27</v>
      </c>
      <c r="B93" s="4" t="s">
        <v>28</v>
      </c>
      <c r="C93" s="4" t="s">
        <v>29</v>
      </c>
      <c r="D93" s="4" t="s">
        <v>331</v>
      </c>
      <c r="E93" s="4">
        <v>6458315312</v>
      </c>
      <c r="F93" s="4">
        <f>VLOOKUP(E:E,代理人!E:U,17,0)</f>
        <v>0</v>
      </c>
      <c r="G93" s="4">
        <f>VLOOKUP(E:E,代理人!E:X,20,0)</f>
        <v>0</v>
      </c>
      <c r="H93" s="4">
        <f>VLOOKUP(E:E,代理人!E:Y,21,0)</f>
        <v>0</v>
      </c>
      <c r="I93" s="4"/>
      <c r="J93" s="4">
        <f>_xlfn.IFS(G:G&gt;=3,"20%",OR(G:G=1,G:G=2),"10%",G:G=0,0)</f>
        <v>0</v>
      </c>
    </row>
    <row r="94" spans="1:10">
      <c r="A94" s="4" t="s">
        <v>42</v>
      </c>
      <c r="B94" s="4" t="s">
        <v>62</v>
      </c>
      <c r="C94" s="4" t="s">
        <v>86</v>
      </c>
      <c r="D94" s="4" t="s">
        <v>332</v>
      </c>
      <c r="E94" s="4">
        <v>6457945452</v>
      </c>
      <c r="F94" s="4">
        <f>VLOOKUP(E:E,代理人!E:U,17,0)</f>
        <v>0</v>
      </c>
      <c r="G94" s="4">
        <f>VLOOKUP(E:E,代理人!E:X,20,0)</f>
        <v>0</v>
      </c>
      <c r="H94" s="4">
        <f>VLOOKUP(E:E,代理人!E:Y,21,0)</f>
        <v>0</v>
      </c>
      <c r="I94" s="4"/>
      <c r="J94" s="4">
        <f>_xlfn.IFS(G:G&gt;=3,"20%",OR(G:G=1,G:G=2),"10%",G:G=0,0)</f>
        <v>0</v>
      </c>
    </row>
    <row r="95" spans="1:10">
      <c r="A95" s="4" t="s">
        <v>48</v>
      </c>
      <c r="B95" s="4" t="s">
        <v>49</v>
      </c>
      <c r="C95" s="4" t="s">
        <v>98</v>
      </c>
      <c r="D95" s="4" t="s">
        <v>333</v>
      </c>
      <c r="E95" s="4">
        <v>6454146112</v>
      </c>
      <c r="F95" s="4">
        <f>VLOOKUP(E:E,代理人!E:U,17,0)</f>
        <v>0</v>
      </c>
      <c r="G95" s="4">
        <f>VLOOKUP(E:E,代理人!E:X,20,0)</f>
        <v>0</v>
      </c>
      <c r="H95" s="4">
        <f>VLOOKUP(E:E,代理人!E:Y,21,0)</f>
        <v>0</v>
      </c>
      <c r="I95" s="4"/>
      <c r="J95" s="4">
        <f>_xlfn.IFS(G:G&gt;=3,"20%",OR(G:G=1,G:G=2),"10%",G:G=0,0)</f>
        <v>0</v>
      </c>
    </row>
    <row r="96" spans="1:10">
      <c r="A96" s="4" t="s">
        <v>42</v>
      </c>
      <c r="B96" s="4" t="s">
        <v>62</v>
      </c>
      <c r="C96" s="4" t="s">
        <v>63</v>
      </c>
      <c r="D96" s="4" t="s">
        <v>334</v>
      </c>
      <c r="E96" s="4">
        <v>6448088632</v>
      </c>
      <c r="F96" s="4">
        <f>VLOOKUP(E:E,代理人!E:U,17,0)</f>
        <v>0</v>
      </c>
      <c r="G96" s="4">
        <f>VLOOKUP(E:E,代理人!E:X,20,0)</f>
        <v>0</v>
      </c>
      <c r="H96" s="4">
        <f>VLOOKUP(E:E,代理人!E:Y,21,0)</f>
        <v>0</v>
      </c>
      <c r="I96" s="4"/>
      <c r="J96" s="4">
        <f>_xlfn.IFS(G:G&gt;=3,"20%",OR(G:G=1,G:G=2),"10%",G:G=0,0)</f>
        <v>0</v>
      </c>
    </row>
    <row r="97" spans="1:10">
      <c r="A97" s="4" t="s">
        <v>27</v>
      </c>
      <c r="B97" s="4" t="s">
        <v>28</v>
      </c>
      <c r="C97" s="4" t="s">
        <v>29</v>
      </c>
      <c r="D97" s="4" t="s">
        <v>335</v>
      </c>
      <c r="E97" s="4">
        <v>6448056922</v>
      </c>
      <c r="F97" s="4">
        <f>VLOOKUP(E:E,代理人!E:U,17,0)</f>
        <v>0</v>
      </c>
      <c r="G97" s="4">
        <f>VLOOKUP(E:E,代理人!E:X,20,0)</f>
        <v>0</v>
      </c>
      <c r="H97" s="4">
        <f>VLOOKUP(E:E,代理人!E:Y,21,0)</f>
        <v>0</v>
      </c>
      <c r="I97" s="4"/>
      <c r="J97" s="4">
        <f>_xlfn.IFS(G:G&gt;=3,"20%",OR(G:G=1,G:G=2),"10%",G:G=0,0)</f>
        <v>0</v>
      </c>
    </row>
    <row r="98" spans="1:10">
      <c r="A98" s="4" t="s">
        <v>27</v>
      </c>
      <c r="B98" s="4" t="s">
        <v>28</v>
      </c>
      <c r="C98" s="4" t="s">
        <v>29</v>
      </c>
      <c r="D98" s="4" t="s">
        <v>336</v>
      </c>
      <c r="E98" s="4">
        <v>6448005202</v>
      </c>
      <c r="F98" s="4">
        <f>VLOOKUP(E:E,代理人!E:U,17,0)</f>
        <v>0</v>
      </c>
      <c r="G98" s="4">
        <f>VLOOKUP(E:E,代理人!E:X,20,0)</f>
        <v>0</v>
      </c>
      <c r="H98" s="4">
        <f>VLOOKUP(E:E,代理人!E:Y,21,0)</f>
        <v>0</v>
      </c>
      <c r="I98" s="4"/>
      <c r="J98" s="4">
        <f>_xlfn.IFS(G:G&gt;=3,"20%",OR(G:G=1,G:G=2),"10%",G:G=0,0)</f>
        <v>0</v>
      </c>
    </row>
    <row r="99" spans="1:10">
      <c r="A99" s="4" t="s">
        <v>27</v>
      </c>
      <c r="B99" s="4" t="s">
        <v>28</v>
      </c>
      <c r="C99" s="4" t="s">
        <v>29</v>
      </c>
      <c r="D99" s="4" t="s">
        <v>337</v>
      </c>
      <c r="E99" s="4">
        <v>6447214732</v>
      </c>
      <c r="F99" s="4">
        <f>VLOOKUP(E:E,代理人!E:U,17,0)</f>
        <v>0</v>
      </c>
      <c r="G99" s="4">
        <f>VLOOKUP(E:E,代理人!E:X,20,0)</f>
        <v>0</v>
      </c>
      <c r="H99" s="4">
        <f>VLOOKUP(E:E,代理人!E:Y,21,0)</f>
        <v>0</v>
      </c>
      <c r="I99" s="4"/>
      <c r="J99" s="4">
        <f>_xlfn.IFS(G:G&gt;=3,"20%",OR(G:G=1,G:G=2),"10%",G:G=0,0)</f>
        <v>0</v>
      </c>
    </row>
    <row r="100" spans="1:10">
      <c r="A100" s="4" t="s">
        <v>42</v>
      </c>
      <c r="B100" s="4" t="s">
        <v>62</v>
      </c>
      <c r="C100" s="4" t="s">
        <v>108</v>
      </c>
      <c r="D100" s="4" t="s">
        <v>338</v>
      </c>
      <c r="E100" s="4">
        <v>6442894112</v>
      </c>
      <c r="F100" s="4">
        <f>VLOOKUP(E:E,代理人!E:U,17,0)</f>
        <v>0</v>
      </c>
      <c r="G100" s="4">
        <f>VLOOKUP(E:E,代理人!E:X,20,0)</f>
        <v>0</v>
      </c>
      <c r="H100" s="4">
        <f>VLOOKUP(E:E,代理人!E:Y,21,0)</f>
        <v>0</v>
      </c>
      <c r="I100" s="4"/>
      <c r="J100" s="4">
        <f>_xlfn.IFS(G:G&gt;=3,"20%",OR(G:G=1,G:G=2),"10%",G:G=0,0)</f>
        <v>0</v>
      </c>
    </row>
    <row r="101" spans="1:10">
      <c r="A101" s="4" t="s">
        <v>42</v>
      </c>
      <c r="B101" s="4" t="s">
        <v>66</v>
      </c>
      <c r="C101" s="4" t="s">
        <v>67</v>
      </c>
      <c r="D101" s="4" t="s">
        <v>339</v>
      </c>
      <c r="E101" s="4">
        <v>6441354852</v>
      </c>
      <c r="F101" s="4">
        <f>VLOOKUP(E:E,代理人!E:U,17,0)</f>
        <v>0</v>
      </c>
      <c r="G101" s="4">
        <f>VLOOKUP(E:E,代理人!E:X,20,0)</f>
        <v>0</v>
      </c>
      <c r="H101" s="4">
        <f>VLOOKUP(E:E,代理人!E:Y,21,0)</f>
        <v>0</v>
      </c>
      <c r="I101" s="4"/>
      <c r="J101" s="4">
        <f>_xlfn.IFS(G:G&gt;=3,"20%",OR(G:G=1,G:G=2),"10%",G:G=0,0)</f>
        <v>0</v>
      </c>
    </row>
    <row r="102" spans="1:10">
      <c r="A102" s="4" t="s">
        <v>42</v>
      </c>
      <c r="B102" s="4" t="s">
        <v>62</v>
      </c>
      <c r="C102" s="4" t="s">
        <v>63</v>
      </c>
      <c r="D102" s="4" t="s">
        <v>340</v>
      </c>
      <c r="E102" s="4">
        <v>6441321272</v>
      </c>
      <c r="F102" s="4">
        <f>VLOOKUP(E:E,代理人!E:U,17,0)</f>
        <v>0</v>
      </c>
      <c r="G102" s="4">
        <f>VLOOKUP(E:E,代理人!E:X,20,0)</f>
        <v>0</v>
      </c>
      <c r="H102" s="4">
        <f>VLOOKUP(E:E,代理人!E:Y,21,0)</f>
        <v>0</v>
      </c>
      <c r="I102" s="4"/>
      <c r="J102" s="4">
        <f>_xlfn.IFS(G:G&gt;=3,"20%",OR(G:G=1,G:G=2),"10%",G:G=0,0)</f>
        <v>0</v>
      </c>
    </row>
    <row r="103" spans="1:10">
      <c r="A103" s="4" t="s">
        <v>27</v>
      </c>
      <c r="B103" s="4" t="s">
        <v>28</v>
      </c>
      <c r="C103" s="4" t="s">
        <v>29</v>
      </c>
      <c r="D103" s="4" t="s">
        <v>341</v>
      </c>
      <c r="E103" s="4">
        <v>6438319742</v>
      </c>
      <c r="F103" s="4">
        <f>VLOOKUP(E:E,代理人!E:U,17,0)</f>
        <v>0</v>
      </c>
      <c r="G103" s="4">
        <f>VLOOKUP(E:E,代理人!E:X,20,0)</f>
        <v>0</v>
      </c>
      <c r="H103" s="4">
        <f>VLOOKUP(E:E,代理人!E:Y,21,0)</f>
        <v>0</v>
      </c>
      <c r="I103" s="4"/>
      <c r="J103" s="4">
        <f>_xlfn.IFS(G:G&gt;=3,"20%",OR(G:G=1,G:G=2),"10%",G:G=0,0)</f>
        <v>0</v>
      </c>
    </row>
    <row r="104" spans="1:10">
      <c r="A104" s="4" t="s">
        <v>27</v>
      </c>
      <c r="B104" s="4" t="s">
        <v>28</v>
      </c>
      <c r="C104" s="4" t="s">
        <v>29</v>
      </c>
      <c r="D104" s="4" t="s">
        <v>342</v>
      </c>
      <c r="E104" s="4">
        <v>6439051292</v>
      </c>
      <c r="F104" s="4">
        <f>VLOOKUP(E:E,代理人!E:U,17,0)</f>
        <v>0</v>
      </c>
      <c r="G104" s="4">
        <f>VLOOKUP(E:E,代理人!E:X,20,0)</f>
        <v>0</v>
      </c>
      <c r="H104" s="4">
        <f>VLOOKUP(E:E,代理人!E:Y,21,0)</f>
        <v>0</v>
      </c>
      <c r="I104" s="4"/>
      <c r="J104" s="4">
        <f>_xlfn.IFS(G:G&gt;=3,"20%",OR(G:G=1,G:G=2),"10%",G:G=0,0)</f>
        <v>0</v>
      </c>
    </row>
    <row r="105" spans="1:10">
      <c r="A105" s="4" t="s">
        <v>42</v>
      </c>
      <c r="B105" s="4" t="s">
        <v>66</v>
      </c>
      <c r="C105" s="4" t="s">
        <v>343</v>
      </c>
      <c r="D105" s="4" t="s">
        <v>344</v>
      </c>
      <c r="E105" s="4">
        <v>6438293432</v>
      </c>
      <c r="F105" s="4">
        <f>VLOOKUP(E:E,代理人!E:U,17,0)</f>
        <v>0</v>
      </c>
      <c r="G105" s="4">
        <f>VLOOKUP(E:E,代理人!E:X,20,0)</f>
        <v>0</v>
      </c>
      <c r="H105" s="4">
        <f>VLOOKUP(E:E,代理人!E:Y,21,0)</f>
        <v>0</v>
      </c>
      <c r="I105" s="4"/>
      <c r="J105" s="4">
        <f>_xlfn.IFS(G:G&gt;=3,"20%",OR(G:G=1,G:G=2),"10%",G:G=0,0)</f>
        <v>0</v>
      </c>
    </row>
    <row r="106" spans="1:10">
      <c r="A106" s="4" t="s">
        <v>42</v>
      </c>
      <c r="B106" s="4" t="s">
        <v>62</v>
      </c>
      <c r="C106" s="4" t="s">
        <v>108</v>
      </c>
      <c r="D106" s="4" t="s">
        <v>345</v>
      </c>
      <c r="E106" s="4">
        <v>6438929852</v>
      </c>
      <c r="F106" s="4">
        <f>VLOOKUP(E:E,代理人!E:U,17,0)</f>
        <v>0</v>
      </c>
      <c r="G106" s="4">
        <f>VLOOKUP(E:E,代理人!E:X,20,0)</f>
        <v>0</v>
      </c>
      <c r="H106" s="4">
        <f>VLOOKUP(E:E,代理人!E:Y,21,0)</f>
        <v>0</v>
      </c>
      <c r="I106" s="4"/>
      <c r="J106" s="4">
        <f>_xlfn.IFS(G:G&gt;=3,"20%",OR(G:G=1,G:G=2),"10%",G:G=0,0)</f>
        <v>0</v>
      </c>
    </row>
    <row r="107" spans="1:10">
      <c r="A107" s="4" t="s">
        <v>27</v>
      </c>
      <c r="B107" s="4" t="s">
        <v>28</v>
      </c>
      <c r="C107" s="4" t="s">
        <v>29</v>
      </c>
      <c r="D107" s="4" t="s">
        <v>346</v>
      </c>
      <c r="E107" s="4">
        <v>6438661492</v>
      </c>
      <c r="F107" s="4">
        <f>VLOOKUP(E:E,代理人!E:U,17,0)</f>
        <v>0</v>
      </c>
      <c r="G107" s="4">
        <f>VLOOKUP(E:E,代理人!E:X,20,0)</f>
        <v>0</v>
      </c>
      <c r="H107" s="4">
        <f>VLOOKUP(E:E,代理人!E:Y,21,0)</f>
        <v>0</v>
      </c>
      <c r="I107" s="4"/>
      <c r="J107" s="4">
        <f>_xlfn.IFS(G:G&gt;=3,"20%",OR(G:G=1,G:G=2),"10%",G:G=0,0)</f>
        <v>0</v>
      </c>
    </row>
    <row r="108" spans="1:10">
      <c r="A108" s="4" t="s">
        <v>27</v>
      </c>
      <c r="B108" s="4" t="s">
        <v>37</v>
      </c>
      <c r="C108" s="4" t="s">
        <v>226</v>
      </c>
      <c r="D108" s="4" t="s">
        <v>347</v>
      </c>
      <c r="E108" s="4">
        <v>6438544552</v>
      </c>
      <c r="F108" s="4">
        <f>VLOOKUP(E:E,代理人!E:U,17,0)</f>
        <v>0</v>
      </c>
      <c r="G108" s="4">
        <f>VLOOKUP(E:E,代理人!E:X,20,0)</f>
        <v>0</v>
      </c>
      <c r="H108" s="4">
        <f>VLOOKUP(E:E,代理人!E:Y,21,0)</f>
        <v>0</v>
      </c>
      <c r="I108" s="4"/>
      <c r="J108" s="4">
        <f>_xlfn.IFS(G:G&gt;=3,"20%",OR(G:G=1,G:G=2),"10%",G:G=0,0)</f>
        <v>0</v>
      </c>
    </row>
    <row r="109" spans="1:10">
      <c r="A109" s="4" t="s">
        <v>27</v>
      </c>
      <c r="B109" s="4" t="s">
        <v>28</v>
      </c>
      <c r="C109" s="4" t="s">
        <v>29</v>
      </c>
      <c r="D109" s="4" t="s">
        <v>348</v>
      </c>
      <c r="E109" s="4">
        <v>6437396892</v>
      </c>
      <c r="F109" s="4">
        <f>VLOOKUP(E:E,代理人!E:U,17,0)</f>
        <v>0</v>
      </c>
      <c r="G109" s="4">
        <f>VLOOKUP(E:E,代理人!E:X,20,0)</f>
        <v>0</v>
      </c>
      <c r="H109" s="4">
        <f>VLOOKUP(E:E,代理人!E:Y,21,0)</f>
        <v>0</v>
      </c>
      <c r="I109" s="4"/>
      <c r="J109" s="4">
        <f>_xlfn.IFS(G:G&gt;=3,"20%",OR(G:G=1,G:G=2),"10%",G:G=0,0)</f>
        <v>0</v>
      </c>
    </row>
    <row r="110" spans="1:10">
      <c r="A110" s="4" t="s">
        <v>27</v>
      </c>
      <c r="B110" s="4" t="s">
        <v>28</v>
      </c>
      <c r="C110" s="4" t="s">
        <v>29</v>
      </c>
      <c r="D110" s="4" t="s">
        <v>349</v>
      </c>
      <c r="E110" s="4">
        <v>6434539442</v>
      </c>
      <c r="F110" s="4">
        <f>VLOOKUP(E:E,代理人!E:U,17,0)</f>
        <v>0</v>
      </c>
      <c r="G110" s="4">
        <f>VLOOKUP(E:E,代理人!E:X,20,0)</f>
        <v>0</v>
      </c>
      <c r="H110" s="4">
        <f>VLOOKUP(E:E,代理人!E:Y,21,0)</f>
        <v>0</v>
      </c>
      <c r="I110" s="4"/>
      <c r="J110" s="4">
        <f>_xlfn.IFS(G:G&gt;=3,"20%",OR(G:G=1,G:G=2),"10%",G:G=0,0)</f>
        <v>0</v>
      </c>
    </row>
    <row r="111" spans="1:10">
      <c r="A111" s="4" t="s">
        <v>27</v>
      </c>
      <c r="B111" s="4" t="s">
        <v>28</v>
      </c>
      <c r="C111" s="4" t="s">
        <v>29</v>
      </c>
      <c r="D111" s="4" t="s">
        <v>350</v>
      </c>
      <c r="E111" s="4">
        <v>6434509532</v>
      </c>
      <c r="F111" s="4">
        <f>VLOOKUP(E:E,代理人!E:U,17,0)</f>
        <v>0</v>
      </c>
      <c r="G111" s="4">
        <f>VLOOKUP(E:E,代理人!E:X,20,0)</f>
        <v>0</v>
      </c>
      <c r="H111" s="4">
        <f>VLOOKUP(E:E,代理人!E:Y,21,0)</f>
        <v>0</v>
      </c>
      <c r="I111" s="4"/>
      <c r="J111" s="4">
        <f>_xlfn.IFS(G:G&gt;=3,"20%",OR(G:G=1,G:G=2),"10%",G:G=0,0)</f>
        <v>0</v>
      </c>
    </row>
    <row r="112" spans="1:10">
      <c r="A112" s="4" t="s">
        <v>42</v>
      </c>
      <c r="B112" s="4" t="s">
        <v>62</v>
      </c>
      <c r="C112" s="4" t="s">
        <v>228</v>
      </c>
      <c r="D112" s="4" t="s">
        <v>351</v>
      </c>
      <c r="E112" s="4">
        <v>6433744402</v>
      </c>
      <c r="F112" s="4">
        <f>VLOOKUP(E:E,代理人!E:U,17,0)</f>
        <v>0</v>
      </c>
      <c r="G112" s="4">
        <f>VLOOKUP(E:E,代理人!E:X,20,0)</f>
        <v>0</v>
      </c>
      <c r="H112" s="4">
        <f>VLOOKUP(E:E,代理人!E:Y,21,0)</f>
        <v>0</v>
      </c>
      <c r="I112" s="4"/>
      <c r="J112" s="4">
        <f>_xlfn.IFS(G:G&gt;=3,"20%",OR(G:G=1,G:G=2),"10%",G:G=0,0)</f>
        <v>0</v>
      </c>
    </row>
    <row r="113" spans="1:10">
      <c r="A113" s="4" t="s">
        <v>27</v>
      </c>
      <c r="B113" s="4" t="s">
        <v>28</v>
      </c>
      <c r="C113" s="4" t="s">
        <v>29</v>
      </c>
      <c r="D113" s="4" t="s">
        <v>352</v>
      </c>
      <c r="E113" s="4">
        <v>6426650732</v>
      </c>
      <c r="F113" s="4">
        <f>VLOOKUP(E:E,代理人!E:U,17,0)</f>
        <v>0</v>
      </c>
      <c r="G113" s="4">
        <f>VLOOKUP(E:E,代理人!E:X,20,0)</f>
        <v>0</v>
      </c>
      <c r="H113" s="4">
        <f>VLOOKUP(E:E,代理人!E:Y,21,0)</f>
        <v>0</v>
      </c>
      <c r="I113" s="4"/>
      <c r="J113" s="4">
        <f>_xlfn.IFS(G:G&gt;=3,"20%",OR(G:G=1,G:G=2),"10%",G:G=0,0)</f>
        <v>0</v>
      </c>
    </row>
    <row r="114" spans="1:10">
      <c r="A114" s="4" t="s">
        <v>27</v>
      </c>
      <c r="B114" s="4" t="s">
        <v>28</v>
      </c>
      <c r="C114" s="4" t="s">
        <v>29</v>
      </c>
      <c r="D114" s="4" t="s">
        <v>353</v>
      </c>
      <c r="E114" s="4">
        <v>6426594512</v>
      </c>
      <c r="F114" s="4">
        <f>VLOOKUP(E:E,代理人!E:U,17,0)</f>
        <v>0</v>
      </c>
      <c r="G114" s="4">
        <f>VLOOKUP(E:E,代理人!E:X,20,0)</f>
        <v>0</v>
      </c>
      <c r="H114" s="4">
        <f>VLOOKUP(E:E,代理人!E:Y,21,0)</f>
        <v>0</v>
      </c>
      <c r="I114" s="4"/>
      <c r="J114" s="4">
        <f>_xlfn.IFS(G:G&gt;=3,"20%",OR(G:G=1,G:G=2),"10%",G:G=0,0)</f>
        <v>0</v>
      </c>
    </row>
    <row r="115" spans="1:10">
      <c r="A115" s="4" t="s">
        <v>27</v>
      </c>
      <c r="B115" s="4" t="s">
        <v>28</v>
      </c>
      <c r="C115" s="4" t="s">
        <v>29</v>
      </c>
      <c r="D115" s="4" t="s">
        <v>354</v>
      </c>
      <c r="E115" s="4">
        <v>6426549162</v>
      </c>
      <c r="F115" s="4">
        <f>VLOOKUP(E:E,代理人!E:U,17,0)</f>
        <v>0</v>
      </c>
      <c r="G115" s="4">
        <f>VLOOKUP(E:E,代理人!E:X,20,0)</f>
        <v>0</v>
      </c>
      <c r="H115" s="4">
        <f>VLOOKUP(E:E,代理人!E:Y,21,0)</f>
        <v>0</v>
      </c>
      <c r="I115" s="4"/>
      <c r="J115" s="4">
        <f>_xlfn.IFS(G:G&gt;=3,"20%",OR(G:G=1,G:G=2),"10%",G:G=0,0)</f>
        <v>0</v>
      </c>
    </row>
    <row r="116" spans="1:10">
      <c r="A116" s="4" t="s">
        <v>27</v>
      </c>
      <c r="B116" s="4" t="s">
        <v>28</v>
      </c>
      <c r="C116" s="4" t="s">
        <v>29</v>
      </c>
      <c r="D116" s="4" t="s">
        <v>355</v>
      </c>
      <c r="E116" s="4">
        <v>6426493912</v>
      </c>
      <c r="F116" s="4">
        <f>VLOOKUP(E:E,代理人!E:U,17,0)</f>
        <v>0</v>
      </c>
      <c r="G116" s="4">
        <f>VLOOKUP(E:E,代理人!E:X,20,0)</f>
        <v>0</v>
      </c>
      <c r="H116" s="4">
        <f>VLOOKUP(E:E,代理人!E:Y,21,0)</f>
        <v>0</v>
      </c>
      <c r="I116" s="4"/>
      <c r="J116" s="4">
        <f>_xlfn.IFS(G:G&gt;=3,"20%",OR(G:G=1,G:G=2),"10%",G:G=0,0)</f>
        <v>0</v>
      </c>
    </row>
    <row r="117" spans="1:10">
      <c r="A117" s="4" t="s">
        <v>27</v>
      </c>
      <c r="B117" s="4" t="s">
        <v>100</v>
      </c>
      <c r="C117" s="4" t="s">
        <v>101</v>
      </c>
      <c r="D117" s="4" t="s">
        <v>356</v>
      </c>
      <c r="E117" s="4">
        <v>6426457632</v>
      </c>
      <c r="F117" s="4">
        <f>VLOOKUP(E:E,代理人!E:U,17,0)</f>
        <v>0</v>
      </c>
      <c r="G117" s="4">
        <f>VLOOKUP(E:E,代理人!E:X,20,0)</f>
        <v>0</v>
      </c>
      <c r="H117" s="4">
        <f>VLOOKUP(E:E,代理人!E:Y,21,0)</f>
        <v>0</v>
      </c>
      <c r="I117" s="4"/>
      <c r="J117" s="4">
        <f>_xlfn.IFS(G:G&gt;=3,"20%",OR(G:G=1,G:G=2),"10%",G:G=0,0)</f>
        <v>0</v>
      </c>
    </row>
    <row r="118" spans="1:10">
      <c r="A118" s="4" t="s">
        <v>27</v>
      </c>
      <c r="B118" s="4" t="s">
        <v>28</v>
      </c>
      <c r="C118" s="4" t="s">
        <v>29</v>
      </c>
      <c r="D118" s="4" t="s">
        <v>357</v>
      </c>
      <c r="E118" s="4">
        <v>6426273602</v>
      </c>
      <c r="F118" s="4">
        <f>VLOOKUP(E:E,代理人!E:U,17,0)</f>
        <v>0</v>
      </c>
      <c r="G118" s="4">
        <f>VLOOKUP(E:E,代理人!E:X,20,0)</f>
        <v>0</v>
      </c>
      <c r="H118" s="4">
        <f>VLOOKUP(E:E,代理人!E:Y,21,0)</f>
        <v>0</v>
      </c>
      <c r="I118" s="4"/>
      <c r="J118" s="4">
        <f>_xlfn.IFS(G:G&gt;=3,"20%",OR(G:G=1,G:G=2),"10%",G:G=0,0)</f>
        <v>0</v>
      </c>
    </row>
    <row r="119" spans="1:10">
      <c r="A119" s="4" t="s">
        <v>27</v>
      </c>
      <c r="B119" s="4" t="s">
        <v>100</v>
      </c>
      <c r="C119" s="4" t="s">
        <v>101</v>
      </c>
      <c r="D119" s="4" t="s">
        <v>358</v>
      </c>
      <c r="E119" s="4">
        <v>6426223752</v>
      </c>
      <c r="F119" s="4">
        <f>VLOOKUP(E:E,代理人!E:U,17,0)</f>
        <v>0</v>
      </c>
      <c r="G119" s="4">
        <f>VLOOKUP(E:E,代理人!E:X,20,0)</f>
        <v>0</v>
      </c>
      <c r="H119" s="4">
        <f>VLOOKUP(E:E,代理人!E:Y,21,0)</f>
        <v>0</v>
      </c>
      <c r="I119" s="4"/>
      <c r="J119" s="4">
        <f>_xlfn.IFS(G:G&gt;=3,"20%",OR(G:G=1,G:G=2),"10%",G:G=0,0)</f>
        <v>0</v>
      </c>
    </row>
    <row r="120" spans="1:10">
      <c r="A120" s="4" t="s">
        <v>27</v>
      </c>
      <c r="B120" s="4" t="s">
        <v>28</v>
      </c>
      <c r="C120" s="4" t="s">
        <v>29</v>
      </c>
      <c r="D120" s="4" t="s">
        <v>359</v>
      </c>
      <c r="E120" s="4">
        <v>6426198342</v>
      </c>
      <c r="F120" s="4">
        <f>VLOOKUP(E:E,代理人!E:U,17,0)</f>
        <v>0</v>
      </c>
      <c r="G120" s="4">
        <f>VLOOKUP(E:E,代理人!E:X,20,0)</f>
        <v>0</v>
      </c>
      <c r="H120" s="4">
        <f>VLOOKUP(E:E,代理人!E:Y,21,0)</f>
        <v>0</v>
      </c>
      <c r="I120" s="4"/>
      <c r="J120" s="4">
        <f>_xlfn.IFS(G:G&gt;=3,"20%",OR(G:G=1,G:G=2),"10%",G:G=0,0)</f>
        <v>0</v>
      </c>
    </row>
    <row r="121" spans="1:10">
      <c r="A121" s="4" t="s">
        <v>42</v>
      </c>
      <c r="B121" s="4" t="s">
        <v>66</v>
      </c>
      <c r="C121" s="4" t="s">
        <v>343</v>
      </c>
      <c r="D121" s="4" t="s">
        <v>360</v>
      </c>
      <c r="E121" s="4">
        <v>6425978032</v>
      </c>
      <c r="F121" s="4">
        <f>VLOOKUP(E:E,代理人!E:U,17,0)</f>
        <v>0</v>
      </c>
      <c r="G121" s="4">
        <f>VLOOKUP(E:E,代理人!E:X,20,0)</f>
        <v>0</v>
      </c>
      <c r="H121" s="4">
        <f>VLOOKUP(E:E,代理人!E:Y,21,0)</f>
        <v>0</v>
      </c>
      <c r="I121" s="4"/>
      <c r="J121" s="4">
        <f>_xlfn.IFS(G:G&gt;=3,"20%",OR(G:G=1,G:G=2),"10%",G:G=0,0)</f>
        <v>0</v>
      </c>
    </row>
    <row r="122" spans="1:10">
      <c r="A122" s="4" t="s">
        <v>42</v>
      </c>
      <c r="B122" s="4" t="s">
        <v>62</v>
      </c>
      <c r="C122" s="4" t="s">
        <v>108</v>
      </c>
      <c r="D122" s="4" t="s">
        <v>361</v>
      </c>
      <c r="E122" s="4">
        <v>6425913712</v>
      </c>
      <c r="F122" s="4">
        <f>VLOOKUP(E:E,代理人!E:U,17,0)</f>
        <v>0</v>
      </c>
      <c r="G122" s="4">
        <f>VLOOKUP(E:E,代理人!E:X,20,0)</f>
        <v>0</v>
      </c>
      <c r="H122" s="4">
        <f>VLOOKUP(E:E,代理人!E:Y,21,0)</f>
        <v>0</v>
      </c>
      <c r="I122" s="4"/>
      <c r="J122" s="4">
        <f>_xlfn.IFS(G:G&gt;=3,"20%",OR(G:G=1,G:G=2),"10%",G:G=0,0)</f>
        <v>0</v>
      </c>
    </row>
    <row r="123" spans="1:10">
      <c r="A123" s="4" t="s">
        <v>42</v>
      </c>
      <c r="B123" s="4" t="s">
        <v>62</v>
      </c>
      <c r="C123" s="4" t="s">
        <v>63</v>
      </c>
      <c r="D123" s="4" t="s">
        <v>362</v>
      </c>
      <c r="E123" s="4">
        <v>6425876532</v>
      </c>
      <c r="F123" s="4">
        <f>VLOOKUP(E:E,代理人!E:U,17,0)</f>
        <v>0</v>
      </c>
      <c r="G123" s="4">
        <f>VLOOKUP(E:E,代理人!E:X,20,0)</f>
        <v>0</v>
      </c>
      <c r="H123" s="4">
        <f>VLOOKUP(E:E,代理人!E:Y,21,0)</f>
        <v>0</v>
      </c>
      <c r="I123" s="4"/>
      <c r="J123" s="4">
        <f>_xlfn.IFS(G:G&gt;=3,"20%",OR(G:G=1,G:G=2),"10%",G:G=0,0)</f>
        <v>0</v>
      </c>
    </row>
    <row r="124" spans="1:10">
      <c r="A124" s="4" t="s">
        <v>48</v>
      </c>
      <c r="B124" s="4" t="s">
        <v>49</v>
      </c>
      <c r="C124" s="4" t="s">
        <v>82</v>
      </c>
      <c r="D124" s="4" t="s">
        <v>363</v>
      </c>
      <c r="E124" s="4">
        <v>6425827582</v>
      </c>
      <c r="F124" s="4">
        <f>VLOOKUP(E:E,代理人!E:U,17,0)</f>
        <v>0</v>
      </c>
      <c r="G124" s="4">
        <f>VLOOKUP(E:E,代理人!E:X,20,0)</f>
        <v>0</v>
      </c>
      <c r="H124" s="4">
        <f>VLOOKUP(E:E,代理人!E:Y,21,0)</f>
        <v>0</v>
      </c>
      <c r="I124" s="4"/>
      <c r="J124" s="4">
        <f>_xlfn.IFS(G:G&gt;=3,"20%",OR(G:G=1,G:G=2),"10%",G:G=0,0)</f>
        <v>0</v>
      </c>
    </row>
    <row r="125" spans="1:10">
      <c r="A125" s="4" t="s">
        <v>27</v>
      </c>
      <c r="B125" s="4" t="s">
        <v>94</v>
      </c>
      <c r="C125" s="4" t="s">
        <v>95</v>
      </c>
      <c r="D125" s="4" t="s">
        <v>364</v>
      </c>
      <c r="E125" s="4">
        <v>6425757792</v>
      </c>
      <c r="F125" s="4">
        <f>VLOOKUP(E:E,代理人!E:U,17,0)</f>
        <v>0</v>
      </c>
      <c r="G125" s="4">
        <f>VLOOKUP(E:E,代理人!E:X,20,0)</f>
        <v>0</v>
      </c>
      <c r="H125" s="4">
        <f>VLOOKUP(E:E,代理人!E:Y,21,0)</f>
        <v>0</v>
      </c>
      <c r="I125" s="4"/>
      <c r="J125" s="4">
        <f>_xlfn.IFS(G:G&gt;=3,"20%",OR(G:G=1,G:G=2),"10%",G:G=0,0)</f>
        <v>0</v>
      </c>
    </row>
    <row r="126" spans="1:10">
      <c r="A126" s="4" t="s">
        <v>27</v>
      </c>
      <c r="B126" s="4" t="s">
        <v>94</v>
      </c>
      <c r="C126" s="4" t="s">
        <v>95</v>
      </c>
      <c r="D126" s="4" t="s">
        <v>365</v>
      </c>
      <c r="E126" s="4">
        <v>6425575562</v>
      </c>
      <c r="F126" s="4">
        <f>VLOOKUP(E:E,代理人!E:U,17,0)</f>
        <v>0</v>
      </c>
      <c r="G126" s="4">
        <f>VLOOKUP(E:E,代理人!E:X,20,0)</f>
        <v>0</v>
      </c>
      <c r="H126" s="4">
        <f>VLOOKUP(E:E,代理人!E:Y,21,0)</f>
        <v>0</v>
      </c>
      <c r="I126" s="4"/>
      <c r="J126" s="4">
        <f>_xlfn.IFS(G:G&gt;=3,"20%",OR(G:G=1,G:G=2),"10%",G:G=0,0)</f>
        <v>0</v>
      </c>
    </row>
    <row r="127" spans="1:10">
      <c r="A127" s="4" t="s">
        <v>27</v>
      </c>
      <c r="B127" s="4" t="s">
        <v>37</v>
      </c>
      <c r="C127" s="4" t="s">
        <v>226</v>
      </c>
      <c r="D127" s="4" t="s">
        <v>366</v>
      </c>
      <c r="E127" s="4">
        <v>6425025272</v>
      </c>
      <c r="F127" s="4">
        <f>VLOOKUP(E:E,代理人!E:U,17,0)</f>
        <v>0</v>
      </c>
      <c r="G127" s="4">
        <f>VLOOKUP(E:E,代理人!E:X,20,0)</f>
        <v>0</v>
      </c>
      <c r="H127" s="4">
        <f>VLOOKUP(E:E,代理人!E:Y,21,0)</f>
        <v>0</v>
      </c>
      <c r="I127" s="4"/>
      <c r="J127" s="4">
        <f>_xlfn.IFS(G:G&gt;=3,"20%",OR(G:G=1,G:G=2),"10%",G:G=0,0)</f>
        <v>0</v>
      </c>
    </row>
    <row r="128" spans="1:10">
      <c r="A128" s="4" t="s">
        <v>42</v>
      </c>
      <c r="B128" s="4" t="s">
        <v>43</v>
      </c>
      <c r="C128" s="4" t="s">
        <v>75</v>
      </c>
      <c r="D128" s="4" t="s">
        <v>367</v>
      </c>
      <c r="E128" s="4">
        <v>6424811332</v>
      </c>
      <c r="F128" s="4">
        <f>VLOOKUP(E:E,代理人!E:U,17,0)</f>
        <v>0</v>
      </c>
      <c r="G128" s="4">
        <f>VLOOKUP(E:E,代理人!E:X,20,0)</f>
        <v>0</v>
      </c>
      <c r="H128" s="4">
        <f>VLOOKUP(E:E,代理人!E:Y,21,0)</f>
        <v>0</v>
      </c>
      <c r="I128" s="4"/>
      <c r="J128" s="4">
        <f>_xlfn.IFS(G:G&gt;=3,"20%",OR(G:G=1,G:G=2),"10%",G:G=0,0)</f>
        <v>0</v>
      </c>
    </row>
    <row r="129" spans="1:10">
      <c r="A129" s="4" t="s">
        <v>27</v>
      </c>
      <c r="B129" s="4" t="s">
        <v>37</v>
      </c>
      <c r="C129" s="4" t="s">
        <v>226</v>
      </c>
      <c r="D129" s="4" t="s">
        <v>368</v>
      </c>
      <c r="E129" s="4">
        <v>6424700762</v>
      </c>
      <c r="F129" s="4">
        <f>VLOOKUP(E:E,代理人!E:U,17,0)</f>
        <v>0</v>
      </c>
      <c r="G129" s="4">
        <f>VLOOKUP(E:E,代理人!E:X,20,0)</f>
        <v>0</v>
      </c>
      <c r="H129" s="4">
        <f>VLOOKUP(E:E,代理人!E:Y,21,0)</f>
        <v>0</v>
      </c>
      <c r="I129" s="4"/>
      <c r="J129" s="4">
        <f>_xlfn.IFS(G:G&gt;=3,"20%",OR(G:G=1,G:G=2),"10%",G:G=0,0)</f>
        <v>0</v>
      </c>
    </row>
    <row r="130" spans="1:10">
      <c r="A130" s="4" t="s">
        <v>42</v>
      </c>
      <c r="B130" s="4" t="s">
        <v>62</v>
      </c>
      <c r="C130" s="4" t="s">
        <v>108</v>
      </c>
      <c r="D130" s="4" t="s">
        <v>369</v>
      </c>
      <c r="E130" s="4">
        <v>6417900792</v>
      </c>
      <c r="F130" s="4">
        <f>VLOOKUP(E:E,代理人!E:U,17,0)</f>
        <v>0</v>
      </c>
      <c r="G130" s="4">
        <f>VLOOKUP(E:E,代理人!E:X,20,0)</f>
        <v>0</v>
      </c>
      <c r="H130" s="4">
        <f>VLOOKUP(E:E,代理人!E:Y,21,0)</f>
        <v>0</v>
      </c>
      <c r="I130" s="4"/>
      <c r="J130" s="4">
        <f>_xlfn.IFS(G:G&gt;=3,"20%",OR(G:G=1,G:G=2),"10%",G:G=0,0)</f>
        <v>0</v>
      </c>
    </row>
    <row r="131" spans="1:10">
      <c r="A131" s="4" t="s">
        <v>42</v>
      </c>
      <c r="B131" s="4" t="s">
        <v>62</v>
      </c>
      <c r="C131" s="4" t="s">
        <v>72</v>
      </c>
      <c r="D131" s="4" t="s">
        <v>370</v>
      </c>
      <c r="E131" s="4">
        <v>6411039132</v>
      </c>
      <c r="F131" s="4">
        <f>VLOOKUP(E:E,代理人!E:U,17,0)</f>
        <v>0</v>
      </c>
      <c r="G131" s="4">
        <f>VLOOKUP(E:E,代理人!E:X,20,0)</f>
        <v>0</v>
      </c>
      <c r="H131" s="4">
        <f>VLOOKUP(E:E,代理人!E:Y,21,0)</f>
        <v>0</v>
      </c>
      <c r="I131" s="4"/>
      <c r="J131" s="4">
        <f>_xlfn.IFS(G:G&gt;=3,"20%",OR(G:G=1,G:G=2),"10%",G:G=0,0)</f>
        <v>0</v>
      </c>
    </row>
    <row r="132" spans="1:10">
      <c r="A132" s="4" t="s">
        <v>42</v>
      </c>
      <c r="B132" s="4" t="s">
        <v>62</v>
      </c>
      <c r="C132" s="4" t="s">
        <v>72</v>
      </c>
      <c r="D132" s="4" t="s">
        <v>218</v>
      </c>
      <c r="E132" s="4">
        <v>6409592302</v>
      </c>
      <c r="F132" s="4">
        <f>VLOOKUP(E:E,代理人!E:U,17,0)</f>
        <v>0</v>
      </c>
      <c r="G132" s="4">
        <f>VLOOKUP(E:E,代理人!E:X,20,0)</f>
        <v>0</v>
      </c>
      <c r="H132" s="4">
        <f>VLOOKUP(E:E,代理人!E:Y,21,0)</f>
        <v>0</v>
      </c>
      <c r="I132" s="4"/>
      <c r="J132" s="4">
        <f>_xlfn.IFS(G:G&gt;=3,"20%",OR(G:G=1,G:G=2),"10%",G:G=0,0)</f>
        <v>0</v>
      </c>
    </row>
    <row r="133" spans="1:10">
      <c r="A133" s="4" t="s">
        <v>42</v>
      </c>
      <c r="B133" s="4" t="s">
        <v>62</v>
      </c>
      <c r="C133" s="4" t="s">
        <v>108</v>
      </c>
      <c r="D133" s="4" t="s">
        <v>371</v>
      </c>
      <c r="E133" s="4">
        <v>6409585032</v>
      </c>
      <c r="F133" s="4">
        <f>VLOOKUP(E:E,代理人!E:U,17,0)</f>
        <v>0</v>
      </c>
      <c r="G133" s="4">
        <f>VLOOKUP(E:E,代理人!E:X,20,0)</f>
        <v>0</v>
      </c>
      <c r="H133" s="4">
        <f>VLOOKUP(E:E,代理人!E:Y,21,0)</f>
        <v>0</v>
      </c>
      <c r="I133" s="4"/>
      <c r="J133" s="4">
        <f>_xlfn.IFS(G:G&gt;=3,"20%",OR(G:G=1,G:G=2),"10%",G:G=0,0)</f>
        <v>0</v>
      </c>
    </row>
    <row r="134" spans="1:10">
      <c r="A134" s="4" t="s">
        <v>48</v>
      </c>
      <c r="B134" s="4" t="s">
        <v>49</v>
      </c>
      <c r="C134" s="4" t="s">
        <v>82</v>
      </c>
      <c r="D134" s="4" t="s">
        <v>372</v>
      </c>
      <c r="E134" s="4">
        <v>6407283342</v>
      </c>
      <c r="F134" s="4">
        <f>VLOOKUP(E:E,代理人!E:U,17,0)</f>
        <v>0</v>
      </c>
      <c r="G134" s="4">
        <f>VLOOKUP(E:E,代理人!E:X,20,0)</f>
        <v>0</v>
      </c>
      <c r="H134" s="4">
        <f>VLOOKUP(E:E,代理人!E:Y,21,0)</f>
        <v>0</v>
      </c>
      <c r="I134" s="4"/>
      <c r="J134" s="4">
        <f>_xlfn.IFS(G:G&gt;=3,"20%",OR(G:G=1,G:G=2),"10%",G:G=0,0)</f>
        <v>0</v>
      </c>
    </row>
    <row r="135" spans="1:10">
      <c r="A135" s="4" t="s">
        <v>42</v>
      </c>
      <c r="B135" s="4" t="s">
        <v>66</v>
      </c>
      <c r="C135" s="4" t="s">
        <v>343</v>
      </c>
      <c r="D135" s="4" t="s">
        <v>373</v>
      </c>
      <c r="E135" s="4">
        <v>6405516502</v>
      </c>
      <c r="F135" s="4">
        <f>VLOOKUP(E:E,代理人!E:U,17,0)</f>
        <v>0</v>
      </c>
      <c r="G135" s="4">
        <f>VLOOKUP(E:E,代理人!E:X,20,0)</f>
        <v>0</v>
      </c>
      <c r="H135" s="4">
        <f>VLOOKUP(E:E,代理人!E:Y,21,0)</f>
        <v>0</v>
      </c>
      <c r="I135" s="4"/>
      <c r="J135" s="4">
        <f>_xlfn.IFS(G:G&gt;=3,"20%",OR(G:G=1,G:G=2),"10%",G:G=0,0)</f>
        <v>0</v>
      </c>
    </row>
    <row r="136" spans="1:10">
      <c r="A136" s="4" t="s">
        <v>48</v>
      </c>
      <c r="B136" s="4" t="s">
        <v>49</v>
      </c>
      <c r="C136" s="4" t="s">
        <v>50</v>
      </c>
      <c r="D136" s="4" t="s">
        <v>374</v>
      </c>
      <c r="E136" s="4">
        <v>6401858612</v>
      </c>
      <c r="F136" s="4">
        <f>VLOOKUP(E:E,代理人!E:U,17,0)</f>
        <v>0</v>
      </c>
      <c r="G136" s="4">
        <f>VLOOKUP(E:E,代理人!E:X,20,0)</f>
        <v>0</v>
      </c>
      <c r="H136" s="4">
        <f>VLOOKUP(E:E,代理人!E:Y,21,0)</f>
        <v>0</v>
      </c>
      <c r="I136" s="4"/>
      <c r="J136" s="4">
        <f>_xlfn.IFS(G:G&gt;=3,"20%",OR(G:G=1,G:G=2),"10%",G:G=0,0)</f>
        <v>0</v>
      </c>
    </row>
    <row r="137" spans="1:10">
      <c r="A137" s="4" t="s">
        <v>27</v>
      </c>
      <c r="B137" s="4" t="s">
        <v>28</v>
      </c>
      <c r="C137" s="4" t="s">
        <v>29</v>
      </c>
      <c r="D137" s="4" t="s">
        <v>375</v>
      </c>
      <c r="E137" s="4">
        <v>6396799172</v>
      </c>
      <c r="F137" s="4">
        <f>VLOOKUP(E:E,代理人!E:U,17,0)</f>
        <v>0</v>
      </c>
      <c r="G137" s="4">
        <f>VLOOKUP(E:E,代理人!E:X,20,0)</f>
        <v>0</v>
      </c>
      <c r="H137" s="4">
        <f>VLOOKUP(E:E,代理人!E:Y,21,0)</f>
        <v>0</v>
      </c>
      <c r="I137" s="4"/>
      <c r="J137" s="4">
        <f>_xlfn.IFS(G:G&gt;=3,"20%",OR(G:G=1,G:G=2),"10%",G:G=0,0)</f>
        <v>0</v>
      </c>
    </row>
    <row r="138" spans="1:10">
      <c r="A138" s="4" t="s">
        <v>42</v>
      </c>
      <c r="B138" s="4" t="s">
        <v>66</v>
      </c>
      <c r="C138" s="4" t="s">
        <v>67</v>
      </c>
      <c r="D138" s="4" t="s">
        <v>376</v>
      </c>
      <c r="E138" s="4">
        <v>6396794672</v>
      </c>
      <c r="F138" s="4">
        <f>VLOOKUP(E:E,代理人!E:U,17,0)</f>
        <v>0</v>
      </c>
      <c r="G138" s="4">
        <f>VLOOKUP(E:E,代理人!E:X,20,0)</f>
        <v>0</v>
      </c>
      <c r="H138" s="4">
        <f>VLOOKUP(E:E,代理人!E:Y,21,0)</f>
        <v>0</v>
      </c>
      <c r="I138" s="4"/>
      <c r="J138" s="4">
        <f>_xlfn.IFS(G:G&gt;=3,"20%",OR(G:G=1,G:G=2),"10%",G:G=0,0)</f>
        <v>0</v>
      </c>
    </row>
    <row r="139" spans="1:10">
      <c r="A139" s="4" t="s">
        <v>42</v>
      </c>
      <c r="B139" s="4" t="s">
        <v>62</v>
      </c>
      <c r="C139" s="4" t="s">
        <v>63</v>
      </c>
      <c r="D139" s="4" t="s">
        <v>216</v>
      </c>
      <c r="E139" s="4">
        <v>6396788302</v>
      </c>
      <c r="F139" s="4">
        <f>VLOOKUP(E:E,代理人!E:U,17,0)</f>
        <v>0</v>
      </c>
      <c r="G139" s="4">
        <f>VLOOKUP(E:E,代理人!E:X,20,0)</f>
        <v>0</v>
      </c>
      <c r="H139" s="4">
        <f>VLOOKUP(E:E,代理人!E:Y,21,0)</f>
        <v>0</v>
      </c>
      <c r="I139" s="4"/>
      <c r="J139" s="4">
        <f>_xlfn.IFS(G:G&gt;=3,"20%",OR(G:G=1,G:G=2),"10%",G:G=0,0)</f>
        <v>0</v>
      </c>
    </row>
    <row r="140" spans="1:10">
      <c r="A140" s="4" t="s">
        <v>27</v>
      </c>
      <c r="B140" s="4" t="s">
        <v>28</v>
      </c>
      <c r="C140" s="4" t="s">
        <v>29</v>
      </c>
      <c r="D140" s="4" t="s">
        <v>377</v>
      </c>
      <c r="E140" s="4">
        <v>6392046172</v>
      </c>
      <c r="F140" s="4">
        <f>VLOOKUP(E:E,代理人!E:U,17,0)</f>
        <v>0</v>
      </c>
      <c r="G140" s="4">
        <f>VLOOKUP(E:E,代理人!E:X,20,0)</f>
        <v>0</v>
      </c>
      <c r="H140" s="4">
        <f>VLOOKUP(E:E,代理人!E:Y,21,0)</f>
        <v>0</v>
      </c>
      <c r="I140" s="4"/>
      <c r="J140" s="4">
        <f>_xlfn.IFS(G:G&gt;=3,"20%",OR(G:G=1,G:G=2),"10%",G:G=0,0)</f>
        <v>0</v>
      </c>
    </row>
    <row r="141" spans="1:10">
      <c r="A141" s="4" t="s">
        <v>27</v>
      </c>
      <c r="B141" s="4" t="s">
        <v>100</v>
      </c>
      <c r="C141" s="4" t="s">
        <v>101</v>
      </c>
      <c r="D141" s="4" t="s">
        <v>378</v>
      </c>
      <c r="E141" s="4">
        <v>6390989142</v>
      </c>
      <c r="F141" s="4">
        <f>VLOOKUP(E:E,代理人!E:U,17,0)</f>
        <v>0</v>
      </c>
      <c r="G141" s="4">
        <f>VLOOKUP(E:E,代理人!E:X,20,0)</f>
        <v>0</v>
      </c>
      <c r="H141" s="4">
        <f>VLOOKUP(E:E,代理人!E:Y,21,0)</f>
        <v>0</v>
      </c>
      <c r="I141" s="4"/>
      <c r="J141" s="4">
        <f>_xlfn.IFS(G:G&gt;=3,"20%",OR(G:G=1,G:G=2),"10%",G:G=0,0)</f>
        <v>0</v>
      </c>
    </row>
    <row r="142" spans="1:10">
      <c r="A142" s="4" t="s">
        <v>42</v>
      </c>
      <c r="B142" s="4" t="s">
        <v>43</v>
      </c>
      <c r="C142" s="4" t="s">
        <v>70</v>
      </c>
      <c r="D142" s="4" t="s">
        <v>379</v>
      </c>
      <c r="E142" s="4">
        <v>6390442522</v>
      </c>
      <c r="F142" s="4">
        <f>VLOOKUP(E:E,代理人!E:U,17,0)</f>
        <v>0</v>
      </c>
      <c r="G142" s="4">
        <f>VLOOKUP(E:E,代理人!E:X,20,0)</f>
        <v>0</v>
      </c>
      <c r="H142" s="4">
        <f>VLOOKUP(E:E,代理人!E:Y,21,0)</f>
        <v>0</v>
      </c>
      <c r="I142" s="4"/>
      <c r="J142" s="4">
        <f>_xlfn.IFS(G:G&gt;=3,"20%",OR(G:G=1,G:G=2),"10%",G:G=0,0)</f>
        <v>0</v>
      </c>
    </row>
    <row r="143" spans="1:10">
      <c r="A143" s="4" t="s">
        <v>42</v>
      </c>
      <c r="B143" s="4" t="s">
        <v>43</v>
      </c>
      <c r="C143" s="4" t="s">
        <v>44</v>
      </c>
      <c r="D143" s="4" t="s">
        <v>380</v>
      </c>
      <c r="E143" s="4">
        <v>6390424382</v>
      </c>
      <c r="F143" s="4">
        <f>VLOOKUP(E:E,代理人!E:U,17,0)</f>
        <v>0</v>
      </c>
      <c r="G143" s="4">
        <f>VLOOKUP(E:E,代理人!E:X,20,0)</f>
        <v>0</v>
      </c>
      <c r="H143" s="4">
        <f>VLOOKUP(E:E,代理人!E:Y,21,0)</f>
        <v>0</v>
      </c>
      <c r="I143" s="4"/>
      <c r="J143" s="4">
        <f>_xlfn.IFS(G:G&gt;=3,"20%",OR(G:G=1,G:G=2),"10%",G:G=0,0)</f>
        <v>0</v>
      </c>
    </row>
    <row r="144" spans="1:10">
      <c r="A144" s="4" t="s">
        <v>27</v>
      </c>
      <c r="B144" s="4" t="s">
        <v>28</v>
      </c>
      <c r="C144" s="4" t="s">
        <v>29</v>
      </c>
      <c r="D144" s="4" t="s">
        <v>381</v>
      </c>
      <c r="E144" s="4">
        <v>6389324772</v>
      </c>
      <c r="F144" s="4">
        <f>VLOOKUP(E:E,代理人!E:U,17,0)</f>
        <v>0</v>
      </c>
      <c r="G144" s="4">
        <f>VLOOKUP(E:E,代理人!E:X,20,0)</f>
        <v>0</v>
      </c>
      <c r="H144" s="4">
        <f>VLOOKUP(E:E,代理人!E:Y,21,0)</f>
        <v>0</v>
      </c>
      <c r="I144" s="4"/>
      <c r="J144" s="4">
        <f>_xlfn.IFS(G:G&gt;=3,"20%",OR(G:G=1,G:G=2),"10%",G:G=0,0)</f>
        <v>0</v>
      </c>
    </row>
    <row r="145" spans="1:10">
      <c r="A145" s="4" t="s">
        <v>27</v>
      </c>
      <c r="B145" s="4" t="s">
        <v>94</v>
      </c>
      <c r="C145" s="4" t="s">
        <v>95</v>
      </c>
      <c r="D145" s="4" t="s">
        <v>382</v>
      </c>
      <c r="E145" s="4">
        <v>6389254982</v>
      </c>
      <c r="F145" s="4">
        <f>VLOOKUP(E:E,代理人!E:U,17,0)</f>
        <v>0</v>
      </c>
      <c r="G145" s="4">
        <f>VLOOKUP(E:E,代理人!E:X,20,0)</f>
        <v>0</v>
      </c>
      <c r="H145" s="4">
        <f>VLOOKUP(E:E,代理人!E:Y,21,0)</f>
        <v>0</v>
      </c>
      <c r="I145" s="4"/>
      <c r="J145" s="4">
        <f>_xlfn.IFS(G:G&gt;=3,"20%",OR(G:G=1,G:G=2),"10%",G:G=0,0)</f>
        <v>0</v>
      </c>
    </row>
    <row r="146" spans="1:10">
      <c r="A146" s="4" t="s">
        <v>42</v>
      </c>
      <c r="B146" s="4" t="s">
        <v>66</v>
      </c>
      <c r="C146" s="4" t="s">
        <v>67</v>
      </c>
      <c r="D146" s="4" t="s">
        <v>383</v>
      </c>
      <c r="E146" s="4">
        <v>6385405792</v>
      </c>
      <c r="F146" s="4">
        <f>VLOOKUP(E:E,代理人!E:U,17,0)</f>
        <v>0</v>
      </c>
      <c r="G146" s="4">
        <f>VLOOKUP(E:E,代理人!E:X,20,0)</f>
        <v>0</v>
      </c>
      <c r="H146" s="4">
        <f>VLOOKUP(E:E,代理人!E:Y,21,0)</f>
        <v>0</v>
      </c>
      <c r="I146" s="4"/>
      <c r="J146" s="4">
        <f>_xlfn.IFS(G:G&gt;=3,"20%",OR(G:G=1,G:G=2),"10%",G:G=0,0)</f>
        <v>0</v>
      </c>
    </row>
    <row r="147" spans="1:10">
      <c r="A147" s="4" t="s">
        <v>42</v>
      </c>
      <c r="B147" s="4" t="s">
        <v>62</v>
      </c>
      <c r="C147" s="4" t="s">
        <v>108</v>
      </c>
      <c r="D147" s="4" t="s">
        <v>384</v>
      </c>
      <c r="E147" s="4">
        <v>6385849042</v>
      </c>
      <c r="F147" s="4">
        <f>VLOOKUP(E:E,代理人!E:U,17,0)</f>
        <v>0</v>
      </c>
      <c r="G147" s="4">
        <f>VLOOKUP(E:E,代理人!E:X,20,0)</f>
        <v>0</v>
      </c>
      <c r="H147" s="4">
        <f>VLOOKUP(E:E,代理人!E:Y,21,0)</f>
        <v>0</v>
      </c>
      <c r="I147" s="4"/>
      <c r="J147" s="4">
        <f>_xlfn.IFS(G:G&gt;=3,"20%",OR(G:G=1,G:G=2),"10%",G:G=0,0)</f>
        <v>0</v>
      </c>
    </row>
    <row r="148" spans="1:10">
      <c r="A148" s="4" t="s">
        <v>27</v>
      </c>
      <c r="B148" s="4" t="s">
        <v>28</v>
      </c>
      <c r="C148" s="4" t="s">
        <v>224</v>
      </c>
      <c r="D148" s="4" t="s">
        <v>385</v>
      </c>
      <c r="E148" s="4">
        <v>6376123702</v>
      </c>
      <c r="F148" s="4">
        <f>VLOOKUP(E:E,代理人!E:U,17,0)</f>
        <v>0</v>
      </c>
      <c r="G148" s="4">
        <f>VLOOKUP(E:E,代理人!E:X,20,0)</f>
        <v>0</v>
      </c>
      <c r="H148" s="4">
        <f>VLOOKUP(E:E,代理人!E:Y,21,0)</f>
        <v>0</v>
      </c>
      <c r="I148" s="4"/>
      <c r="J148" s="4">
        <f>_xlfn.IFS(G:G&gt;=3,"20%",OR(G:G=1,G:G=2),"10%",G:G=0,0)</f>
        <v>0</v>
      </c>
    </row>
    <row r="149" spans="1:10">
      <c r="A149" s="4" t="s">
        <v>27</v>
      </c>
      <c r="B149" s="4" t="s">
        <v>94</v>
      </c>
      <c r="C149" s="4" t="s">
        <v>95</v>
      </c>
      <c r="D149" s="4" t="s">
        <v>386</v>
      </c>
      <c r="E149" s="4">
        <v>6369820502</v>
      </c>
      <c r="F149" s="4">
        <f>VLOOKUP(E:E,代理人!E:U,17,0)</f>
        <v>0</v>
      </c>
      <c r="G149" s="4">
        <f>VLOOKUP(E:E,代理人!E:X,20,0)</f>
        <v>0</v>
      </c>
      <c r="H149" s="4">
        <f>VLOOKUP(E:E,代理人!E:Y,21,0)</f>
        <v>0</v>
      </c>
      <c r="I149" s="4"/>
      <c r="J149" s="4">
        <f>_xlfn.IFS(G:G&gt;=3,"20%",OR(G:G=1,G:G=2),"10%",G:G=0,0)</f>
        <v>0</v>
      </c>
    </row>
    <row r="150" spans="1:10">
      <c r="A150" s="4" t="s">
        <v>48</v>
      </c>
      <c r="B150" s="4" t="s">
        <v>49</v>
      </c>
      <c r="C150" s="4" t="s">
        <v>82</v>
      </c>
      <c r="D150" s="4" t="s">
        <v>387</v>
      </c>
      <c r="E150" s="4">
        <v>6360574692</v>
      </c>
      <c r="F150" s="4">
        <f>VLOOKUP(E:E,代理人!E:U,17,0)</f>
        <v>0</v>
      </c>
      <c r="G150" s="4">
        <f>VLOOKUP(E:E,代理人!E:X,20,0)</f>
        <v>0</v>
      </c>
      <c r="H150" s="4">
        <f>VLOOKUP(E:E,代理人!E:Y,21,0)</f>
        <v>0</v>
      </c>
      <c r="I150" s="4"/>
      <c r="J150" s="4">
        <f>_xlfn.IFS(G:G&gt;=3,"20%",OR(G:G=1,G:G=2),"10%",G:G=0,0)</f>
        <v>0</v>
      </c>
    </row>
    <row r="151" spans="1:10">
      <c r="A151" s="4" t="s">
        <v>48</v>
      </c>
      <c r="B151" s="4" t="s">
        <v>49</v>
      </c>
      <c r="C151" s="4" t="s">
        <v>50</v>
      </c>
      <c r="D151" s="4" t="s">
        <v>388</v>
      </c>
      <c r="E151" s="4">
        <v>6360454082</v>
      </c>
      <c r="F151" s="4">
        <f>VLOOKUP(E:E,代理人!E:U,17,0)</f>
        <v>0</v>
      </c>
      <c r="G151" s="4">
        <f>VLOOKUP(E:E,代理人!E:X,20,0)</f>
        <v>0</v>
      </c>
      <c r="H151" s="4">
        <f>VLOOKUP(E:E,代理人!E:Y,21,0)</f>
        <v>0</v>
      </c>
      <c r="I151" s="4"/>
      <c r="J151" s="4">
        <f>_xlfn.IFS(G:G&gt;=3,"20%",OR(G:G=1,G:G=2),"10%",G:G=0,0)</f>
        <v>0</v>
      </c>
    </row>
    <row r="152" spans="1:10">
      <c r="A152" s="4" t="s">
        <v>42</v>
      </c>
      <c r="B152" s="4" t="s">
        <v>43</v>
      </c>
      <c r="C152" s="4" t="s">
        <v>75</v>
      </c>
      <c r="D152" s="4" t="s">
        <v>389</v>
      </c>
      <c r="E152" s="4">
        <v>6360270052</v>
      </c>
      <c r="F152" s="4">
        <f>VLOOKUP(E:E,代理人!E:U,17,0)</f>
        <v>0</v>
      </c>
      <c r="G152" s="4">
        <f>VLOOKUP(E:E,代理人!E:X,20,0)</f>
        <v>0</v>
      </c>
      <c r="H152" s="4">
        <f>VLOOKUP(E:E,代理人!E:Y,21,0)</f>
        <v>0</v>
      </c>
      <c r="I152" s="4"/>
      <c r="J152" s="4">
        <f>_xlfn.IFS(G:G&gt;=3,"20%",OR(G:G=1,G:G=2),"10%",G:G=0,0)</f>
        <v>0</v>
      </c>
    </row>
    <row r="153" spans="1:10">
      <c r="A153" s="4" t="s">
        <v>48</v>
      </c>
      <c r="B153" s="4" t="s">
        <v>49</v>
      </c>
      <c r="C153" s="4" t="s">
        <v>50</v>
      </c>
      <c r="D153" s="4" t="s">
        <v>390</v>
      </c>
      <c r="E153" s="4">
        <v>6359975452</v>
      </c>
      <c r="F153" s="4">
        <f>VLOOKUP(E:E,代理人!E:U,17,0)</f>
        <v>0</v>
      </c>
      <c r="G153" s="4">
        <f>VLOOKUP(E:E,代理人!E:X,20,0)</f>
        <v>0</v>
      </c>
      <c r="H153" s="4">
        <f>VLOOKUP(E:E,代理人!E:Y,21,0)</f>
        <v>0</v>
      </c>
      <c r="I153" s="4"/>
      <c r="J153" s="4">
        <f>_xlfn.IFS(G:G&gt;=3,"20%",OR(G:G=1,G:G=2),"10%",G:G=0,0)</f>
        <v>0</v>
      </c>
    </row>
    <row r="154" spans="1:10">
      <c r="A154" s="4" t="s">
        <v>42</v>
      </c>
      <c r="B154" s="4" t="s">
        <v>62</v>
      </c>
      <c r="C154" s="4" t="s">
        <v>108</v>
      </c>
      <c r="D154" s="4" t="s">
        <v>391</v>
      </c>
      <c r="E154" s="4">
        <v>6359432432</v>
      </c>
      <c r="F154" s="4">
        <f>VLOOKUP(E:E,代理人!E:U,17,0)</f>
        <v>0</v>
      </c>
      <c r="G154" s="4">
        <f>VLOOKUP(E:E,代理人!E:X,20,0)</f>
        <v>0</v>
      </c>
      <c r="H154" s="4">
        <f>VLOOKUP(E:E,代理人!E:Y,21,0)</f>
        <v>0</v>
      </c>
      <c r="I154" s="4"/>
      <c r="J154" s="4">
        <f>_xlfn.IFS(G:G&gt;=3,"20%",OR(G:G=1,G:G=2),"10%",G:G=0,0)</f>
        <v>0</v>
      </c>
    </row>
    <row r="155" spans="1:10">
      <c r="A155" s="4" t="s">
        <v>27</v>
      </c>
      <c r="B155" s="4" t="s">
        <v>28</v>
      </c>
      <c r="C155" s="4" t="s">
        <v>29</v>
      </c>
      <c r="D155" s="4" t="s">
        <v>392</v>
      </c>
      <c r="E155" s="4">
        <v>6359420662</v>
      </c>
      <c r="F155" s="4">
        <f>VLOOKUP(E:E,代理人!E:U,17,0)</f>
        <v>0</v>
      </c>
      <c r="G155" s="4">
        <f>VLOOKUP(E:E,代理人!E:X,20,0)</f>
        <v>0</v>
      </c>
      <c r="H155" s="4">
        <f>VLOOKUP(E:E,代理人!E:Y,21,0)</f>
        <v>0</v>
      </c>
      <c r="I155" s="4"/>
      <c r="J155" s="4">
        <f>_xlfn.IFS(G:G&gt;=3,"20%",OR(G:G=1,G:G=2),"10%",G:G=0,0)</f>
        <v>0</v>
      </c>
    </row>
    <row r="156" spans="1:10">
      <c r="A156" s="4" t="s">
        <v>42</v>
      </c>
      <c r="B156" s="4" t="s">
        <v>66</v>
      </c>
      <c r="C156" s="4" t="s">
        <v>67</v>
      </c>
      <c r="D156" s="4" t="s">
        <v>393</v>
      </c>
      <c r="E156" s="4">
        <v>6358462432</v>
      </c>
      <c r="F156" s="4">
        <f>VLOOKUP(E:E,代理人!E:U,17,0)</f>
        <v>0</v>
      </c>
      <c r="G156" s="4">
        <f>VLOOKUP(E:E,代理人!E:X,20,0)</f>
        <v>0</v>
      </c>
      <c r="H156" s="4">
        <f>VLOOKUP(E:E,代理人!E:Y,21,0)</f>
        <v>0</v>
      </c>
      <c r="I156" s="4"/>
      <c r="J156" s="4">
        <f>_xlfn.IFS(G:G&gt;=3,"20%",OR(G:G=1,G:G=2),"10%",G:G=0,0)</f>
        <v>0</v>
      </c>
    </row>
    <row r="157" spans="1:10">
      <c r="A157" s="4" t="s">
        <v>48</v>
      </c>
      <c r="B157" s="4" t="s">
        <v>49</v>
      </c>
      <c r="C157" s="4" t="s">
        <v>98</v>
      </c>
      <c r="D157" s="4" t="s">
        <v>394</v>
      </c>
      <c r="E157" s="4">
        <v>6354094732</v>
      </c>
      <c r="F157" s="4">
        <f>VLOOKUP(E:E,代理人!E:U,17,0)</f>
        <v>0</v>
      </c>
      <c r="G157" s="4">
        <f>VLOOKUP(E:E,代理人!E:X,20,0)</f>
        <v>0</v>
      </c>
      <c r="H157" s="4">
        <f>VLOOKUP(E:E,代理人!E:Y,21,0)</f>
        <v>0</v>
      </c>
      <c r="I157" s="4"/>
      <c r="J157" s="4">
        <f>_xlfn.IFS(G:G&gt;=3,"20%",OR(G:G=1,G:G=2),"10%",G:G=0,0)</f>
        <v>0</v>
      </c>
    </row>
    <row r="158" spans="1:10">
      <c r="A158" s="4" t="s">
        <v>27</v>
      </c>
      <c r="B158" s="4" t="s">
        <v>28</v>
      </c>
      <c r="C158" s="4" t="s">
        <v>29</v>
      </c>
      <c r="D158" s="4" t="s">
        <v>374</v>
      </c>
      <c r="E158" s="4">
        <v>6334160782</v>
      </c>
      <c r="F158" s="4">
        <f>VLOOKUP(E:E,代理人!E:U,17,0)</f>
        <v>0</v>
      </c>
      <c r="G158" s="4">
        <f>VLOOKUP(E:E,代理人!E:X,20,0)</f>
        <v>0</v>
      </c>
      <c r="H158" s="4">
        <f>VLOOKUP(E:E,代理人!E:Y,21,0)</f>
        <v>0</v>
      </c>
      <c r="I158" s="4"/>
      <c r="J158" s="4">
        <f>_xlfn.IFS(G:G&gt;=3,"20%",OR(G:G=1,G:G=2),"10%",G:G=0,0)</f>
        <v>0</v>
      </c>
    </row>
    <row r="159" spans="1:10">
      <c r="A159" s="4" t="s">
        <v>42</v>
      </c>
      <c r="B159" s="4" t="s">
        <v>62</v>
      </c>
      <c r="C159" s="4" t="s">
        <v>228</v>
      </c>
      <c r="D159" s="4" t="s">
        <v>395</v>
      </c>
      <c r="E159" s="4">
        <v>6328826682</v>
      </c>
      <c r="F159" s="4">
        <f>VLOOKUP(E:E,代理人!E:U,17,0)</f>
        <v>0</v>
      </c>
      <c r="G159" s="4">
        <f>VLOOKUP(E:E,代理人!E:X,20,0)</f>
        <v>0</v>
      </c>
      <c r="H159" s="4">
        <f>VLOOKUP(E:E,代理人!E:Y,21,0)</f>
        <v>0</v>
      </c>
      <c r="I159" s="4"/>
      <c r="J159" s="4">
        <f>_xlfn.IFS(G:G&gt;=3,"20%",OR(G:G=1,G:G=2),"10%",G:G=0,0)</f>
        <v>0</v>
      </c>
    </row>
    <row r="160" spans="1:10">
      <c r="A160" s="4" t="s">
        <v>42</v>
      </c>
      <c r="B160" s="4" t="s">
        <v>62</v>
      </c>
      <c r="C160" s="4" t="s">
        <v>86</v>
      </c>
      <c r="D160" s="4" t="s">
        <v>396</v>
      </c>
      <c r="E160" s="4">
        <v>6328822112</v>
      </c>
      <c r="F160" s="4">
        <f>VLOOKUP(E:E,代理人!E:U,17,0)</f>
        <v>0</v>
      </c>
      <c r="G160" s="4">
        <f>VLOOKUP(E:E,代理人!E:X,20,0)</f>
        <v>0</v>
      </c>
      <c r="H160" s="4">
        <f>VLOOKUP(E:E,代理人!E:Y,21,0)</f>
        <v>0</v>
      </c>
      <c r="I160" s="4"/>
      <c r="J160" s="4">
        <f>_xlfn.IFS(G:G&gt;=3,"20%",OR(G:G=1,G:G=2),"10%",G:G=0,0)</f>
        <v>0</v>
      </c>
    </row>
    <row r="161" spans="1:10">
      <c r="A161" s="4" t="s">
        <v>27</v>
      </c>
      <c r="B161" s="4" t="s">
        <v>94</v>
      </c>
      <c r="C161" s="4" t="s">
        <v>95</v>
      </c>
      <c r="D161" s="4" t="s">
        <v>397</v>
      </c>
      <c r="E161" s="4">
        <v>6328454052</v>
      </c>
      <c r="F161" s="4">
        <f>VLOOKUP(E:E,代理人!E:U,17,0)</f>
        <v>0</v>
      </c>
      <c r="G161" s="4">
        <f>VLOOKUP(E:E,代理人!E:X,20,0)</f>
        <v>0</v>
      </c>
      <c r="H161" s="4">
        <f>VLOOKUP(E:E,代理人!E:Y,21,0)</f>
        <v>0</v>
      </c>
      <c r="I161" s="4"/>
      <c r="J161" s="4">
        <f>_xlfn.IFS(G:G&gt;=3,"20%",OR(G:G=1,G:G=2),"10%",G:G=0,0)</f>
        <v>0</v>
      </c>
    </row>
    <row r="162" spans="1:10">
      <c r="A162" s="4" t="s">
        <v>48</v>
      </c>
      <c r="B162" s="4" t="s">
        <v>49</v>
      </c>
      <c r="C162" s="4" t="s">
        <v>50</v>
      </c>
      <c r="D162" s="4" t="s">
        <v>398</v>
      </c>
      <c r="E162" s="4">
        <v>6328447752</v>
      </c>
      <c r="F162" s="4">
        <f>VLOOKUP(E:E,代理人!E:U,17,0)</f>
        <v>0</v>
      </c>
      <c r="G162" s="4">
        <f>VLOOKUP(E:E,代理人!E:X,20,0)</f>
        <v>0</v>
      </c>
      <c r="H162" s="4">
        <f>VLOOKUP(E:E,代理人!E:Y,21,0)</f>
        <v>0</v>
      </c>
      <c r="I162" s="4"/>
      <c r="J162" s="4">
        <f>_xlfn.IFS(G:G&gt;=3,"20%",OR(G:G=1,G:G=2),"10%",G:G=0,0)</f>
        <v>0</v>
      </c>
    </row>
    <row r="163" spans="1:10">
      <c r="A163" s="4" t="s">
        <v>42</v>
      </c>
      <c r="B163" s="4" t="s">
        <v>62</v>
      </c>
      <c r="C163" s="4" t="s">
        <v>86</v>
      </c>
      <c r="D163" s="4" t="s">
        <v>399</v>
      </c>
      <c r="E163" s="4">
        <v>6328797672</v>
      </c>
      <c r="F163" s="4">
        <f>VLOOKUP(E:E,代理人!E:U,17,0)</f>
        <v>0</v>
      </c>
      <c r="G163" s="4">
        <f>VLOOKUP(E:E,代理人!E:X,20,0)</f>
        <v>0</v>
      </c>
      <c r="H163" s="4">
        <f>VLOOKUP(E:E,代理人!E:Y,21,0)</f>
        <v>0</v>
      </c>
      <c r="I163" s="4"/>
      <c r="J163" s="4">
        <f>_xlfn.IFS(G:G&gt;=3,"20%",OR(G:G=1,G:G=2),"10%",G:G=0,0)</f>
        <v>0</v>
      </c>
    </row>
    <row r="164" spans="1:10">
      <c r="A164" s="4" t="s">
        <v>48</v>
      </c>
      <c r="B164" s="4" t="s">
        <v>49</v>
      </c>
      <c r="C164" s="4" t="s">
        <v>98</v>
      </c>
      <c r="D164" s="4" t="s">
        <v>400</v>
      </c>
      <c r="E164" s="4">
        <v>6328391532</v>
      </c>
      <c r="F164" s="4">
        <f>VLOOKUP(E:E,代理人!E:U,17,0)</f>
        <v>0</v>
      </c>
      <c r="G164" s="4">
        <f>VLOOKUP(E:E,代理人!E:X,20,0)</f>
        <v>0</v>
      </c>
      <c r="H164" s="4">
        <f>VLOOKUP(E:E,代理人!E:Y,21,0)</f>
        <v>0</v>
      </c>
      <c r="I164" s="4"/>
      <c r="J164" s="4">
        <f>_xlfn.IFS(G:G&gt;=3,"20%",OR(G:G=1,G:G=2),"10%",G:G=0,0)</f>
        <v>0</v>
      </c>
    </row>
    <row r="165" spans="1:10">
      <c r="A165" s="4" t="s">
        <v>48</v>
      </c>
      <c r="B165" s="4" t="s">
        <v>49</v>
      </c>
      <c r="C165" s="4" t="s">
        <v>82</v>
      </c>
      <c r="D165" s="4" t="s">
        <v>401</v>
      </c>
      <c r="E165" s="4">
        <v>6326344562</v>
      </c>
      <c r="F165" s="4">
        <f>VLOOKUP(E:E,代理人!E:U,17,0)</f>
        <v>0</v>
      </c>
      <c r="G165" s="4">
        <f>VLOOKUP(E:E,代理人!E:X,20,0)</f>
        <v>0</v>
      </c>
      <c r="H165" s="4">
        <f>VLOOKUP(E:E,代理人!E:Y,21,0)</f>
        <v>0</v>
      </c>
      <c r="I165" s="4"/>
      <c r="J165" s="4">
        <f>_xlfn.IFS(G:G&gt;=3,"20%",OR(G:G=1,G:G=2),"10%",G:G=0,0)</f>
        <v>0</v>
      </c>
    </row>
    <row r="166" spans="1:10">
      <c r="A166" s="4" t="s">
        <v>27</v>
      </c>
      <c r="B166" s="4" t="s">
        <v>28</v>
      </c>
      <c r="C166" s="4" t="s">
        <v>29</v>
      </c>
      <c r="D166" s="4" t="s">
        <v>402</v>
      </c>
      <c r="E166" s="4">
        <v>6324163412</v>
      </c>
      <c r="F166" s="4">
        <f>VLOOKUP(E:E,代理人!E:U,17,0)</f>
        <v>0</v>
      </c>
      <c r="G166" s="4">
        <f>VLOOKUP(E:E,代理人!E:X,20,0)</f>
        <v>0</v>
      </c>
      <c r="H166" s="4">
        <f>VLOOKUP(E:E,代理人!E:Y,21,0)</f>
        <v>0</v>
      </c>
      <c r="I166" s="4"/>
      <c r="J166" s="4">
        <f>_xlfn.IFS(G:G&gt;=3,"20%",OR(G:G=1,G:G=2),"10%",G:G=0,0)</f>
        <v>0</v>
      </c>
    </row>
    <row r="167" spans="1:10">
      <c r="A167" s="4" t="s">
        <v>42</v>
      </c>
      <c r="B167" s="4" t="s">
        <v>62</v>
      </c>
      <c r="C167" s="4" t="s">
        <v>228</v>
      </c>
      <c r="D167" s="4" t="s">
        <v>403</v>
      </c>
      <c r="E167" s="4">
        <v>6324067312</v>
      </c>
      <c r="F167" s="4">
        <f>VLOOKUP(E:E,代理人!E:U,17,0)</f>
        <v>0</v>
      </c>
      <c r="G167" s="4">
        <f>VLOOKUP(E:E,代理人!E:X,20,0)</f>
        <v>0</v>
      </c>
      <c r="H167" s="4">
        <f>VLOOKUP(E:E,代理人!E:Y,21,0)</f>
        <v>0</v>
      </c>
      <c r="I167" s="4"/>
      <c r="J167" s="4">
        <f>_xlfn.IFS(G:G&gt;=3,"20%",OR(G:G=1,G:G=2),"10%",G:G=0,0)</f>
        <v>0</v>
      </c>
    </row>
    <row r="168" spans="1:10">
      <c r="A168" s="4" t="s">
        <v>42</v>
      </c>
      <c r="B168" s="4" t="s">
        <v>43</v>
      </c>
      <c r="C168" s="4" t="s">
        <v>44</v>
      </c>
      <c r="D168" s="4" t="s">
        <v>404</v>
      </c>
      <c r="E168" s="4">
        <v>6323934032</v>
      </c>
      <c r="F168" s="4">
        <f>VLOOKUP(E:E,代理人!E:U,17,0)</f>
        <v>0</v>
      </c>
      <c r="G168" s="4">
        <f>VLOOKUP(E:E,代理人!E:X,20,0)</f>
        <v>0</v>
      </c>
      <c r="H168" s="4">
        <f>VLOOKUP(E:E,代理人!E:Y,21,0)</f>
        <v>0</v>
      </c>
      <c r="I168" s="4"/>
      <c r="J168" s="4">
        <f>_xlfn.IFS(G:G&gt;=3,"20%",OR(G:G=1,G:G=2),"10%",G:G=0,0)</f>
        <v>0</v>
      </c>
    </row>
    <row r="169" spans="1:10">
      <c r="A169" s="4" t="s">
        <v>42</v>
      </c>
      <c r="B169" s="4" t="s">
        <v>62</v>
      </c>
      <c r="C169" s="4" t="s">
        <v>228</v>
      </c>
      <c r="D169" s="4" t="s">
        <v>405</v>
      </c>
      <c r="E169" s="4">
        <v>6323920462</v>
      </c>
      <c r="F169" s="4">
        <f>VLOOKUP(E:E,代理人!E:U,17,0)</f>
        <v>0</v>
      </c>
      <c r="G169" s="4">
        <f>VLOOKUP(E:E,代理人!E:X,20,0)</f>
        <v>0</v>
      </c>
      <c r="H169" s="4">
        <f>VLOOKUP(E:E,代理人!E:Y,21,0)</f>
        <v>0</v>
      </c>
      <c r="I169" s="4"/>
      <c r="J169" s="4">
        <f>_xlfn.IFS(G:G&gt;=3,"20%",OR(G:G=1,G:G=2),"10%",G:G=0,0)</f>
        <v>0</v>
      </c>
    </row>
    <row r="170" spans="1:10">
      <c r="A170" s="4" t="s">
        <v>27</v>
      </c>
      <c r="B170" s="4" t="s">
        <v>94</v>
      </c>
      <c r="C170" s="4" t="s">
        <v>95</v>
      </c>
      <c r="D170" s="4" t="s">
        <v>406</v>
      </c>
      <c r="E170" s="4">
        <v>6322624082</v>
      </c>
      <c r="F170" s="4">
        <f>VLOOKUP(E:E,代理人!E:U,17,0)</f>
        <v>0</v>
      </c>
      <c r="G170" s="4">
        <f>VLOOKUP(E:E,代理人!E:X,20,0)</f>
        <v>0</v>
      </c>
      <c r="H170" s="4">
        <f>VLOOKUP(E:E,代理人!E:Y,21,0)</f>
        <v>0</v>
      </c>
      <c r="I170" s="4"/>
      <c r="J170" s="4">
        <f>_xlfn.IFS(G:G&gt;=3,"20%",OR(G:G=1,G:G=2),"10%",G:G=0,0)</f>
        <v>0</v>
      </c>
    </row>
    <row r="171" spans="1:10">
      <c r="A171" s="4" t="s">
        <v>27</v>
      </c>
      <c r="B171" s="4" t="s">
        <v>28</v>
      </c>
      <c r="C171" s="4" t="s">
        <v>29</v>
      </c>
      <c r="D171" s="4" t="s">
        <v>407</v>
      </c>
      <c r="E171" s="4">
        <v>6323154432</v>
      </c>
      <c r="F171" s="4">
        <f>VLOOKUP(E:E,代理人!E:U,17,0)</f>
        <v>0</v>
      </c>
      <c r="G171" s="4">
        <f>VLOOKUP(E:E,代理人!E:X,20,0)</f>
        <v>0</v>
      </c>
      <c r="H171" s="4">
        <f>VLOOKUP(E:E,代理人!E:Y,21,0)</f>
        <v>0</v>
      </c>
      <c r="I171" s="4"/>
      <c r="J171" s="4">
        <f>_xlfn.IFS(G:G&gt;=3,"20%",OR(G:G=1,G:G=2),"10%",G:G=0,0)</f>
        <v>0</v>
      </c>
    </row>
    <row r="172" spans="1:10">
      <c r="A172" s="4" t="s">
        <v>42</v>
      </c>
      <c r="B172" s="4" t="s">
        <v>66</v>
      </c>
      <c r="C172" s="4" t="s">
        <v>67</v>
      </c>
      <c r="D172" s="4" t="s">
        <v>408</v>
      </c>
      <c r="E172" s="4">
        <v>6321905202</v>
      </c>
      <c r="F172" s="4">
        <f>VLOOKUP(E:E,代理人!E:U,17,0)</f>
        <v>0</v>
      </c>
      <c r="G172" s="4">
        <f>VLOOKUP(E:E,代理人!E:X,20,0)</f>
        <v>0</v>
      </c>
      <c r="H172" s="4">
        <f>VLOOKUP(E:E,代理人!E:Y,21,0)</f>
        <v>0</v>
      </c>
      <c r="I172" s="4"/>
      <c r="J172" s="4">
        <f>_xlfn.IFS(G:G&gt;=3,"20%",OR(G:G=1,G:G=2),"10%",G:G=0,0)</f>
        <v>0</v>
      </c>
    </row>
    <row r="173" spans="1:10">
      <c r="A173" s="4" t="s">
        <v>48</v>
      </c>
      <c r="B173" s="4" t="s">
        <v>49</v>
      </c>
      <c r="C173" s="4" t="s">
        <v>82</v>
      </c>
      <c r="D173" s="4" t="s">
        <v>409</v>
      </c>
      <c r="E173" s="4">
        <v>6293781572</v>
      </c>
      <c r="F173" s="4">
        <f>VLOOKUP(E:E,代理人!E:U,17,0)</f>
        <v>0</v>
      </c>
      <c r="G173" s="4">
        <f>VLOOKUP(E:E,代理人!E:X,20,0)</f>
        <v>0</v>
      </c>
      <c r="H173" s="4">
        <f>VLOOKUP(E:E,代理人!E:Y,21,0)</f>
        <v>0</v>
      </c>
      <c r="I173" s="4"/>
      <c r="J173" s="4">
        <f>_xlfn.IFS(G:G&gt;=3,"20%",OR(G:G=1,G:G=2),"10%",G:G=0,0)</f>
        <v>0</v>
      </c>
    </row>
    <row r="174" spans="1:10">
      <c r="A174" s="4" t="s">
        <v>27</v>
      </c>
      <c r="B174" s="4" t="s">
        <v>28</v>
      </c>
      <c r="C174" s="4" t="s">
        <v>29</v>
      </c>
      <c r="D174" s="4" t="s">
        <v>410</v>
      </c>
      <c r="E174" s="4">
        <v>6278827232</v>
      </c>
      <c r="F174" s="4">
        <f>VLOOKUP(E:E,代理人!E:U,17,0)</f>
        <v>0</v>
      </c>
      <c r="G174" s="4">
        <f>VLOOKUP(E:E,代理人!E:X,20,0)</f>
        <v>0</v>
      </c>
      <c r="H174" s="4">
        <f>VLOOKUP(E:E,代理人!E:Y,21,0)</f>
        <v>0</v>
      </c>
      <c r="I174" s="4"/>
      <c r="J174" s="4">
        <f>_xlfn.IFS(G:G&gt;=3,"20%",OR(G:G=1,G:G=2),"10%",G:G=0,0)</f>
        <v>0</v>
      </c>
    </row>
    <row r="175" spans="1:10">
      <c r="A175" s="4" t="s">
        <v>27</v>
      </c>
      <c r="B175" s="4" t="s">
        <v>28</v>
      </c>
      <c r="C175" s="4" t="s">
        <v>29</v>
      </c>
      <c r="D175" s="4" t="s">
        <v>411</v>
      </c>
      <c r="E175" s="4">
        <v>6273949122</v>
      </c>
      <c r="F175" s="4">
        <f>VLOOKUP(E:E,代理人!E:U,17,0)</f>
        <v>0</v>
      </c>
      <c r="G175" s="4">
        <f>VLOOKUP(E:E,代理人!E:X,20,0)</f>
        <v>0</v>
      </c>
      <c r="H175" s="4">
        <f>VLOOKUP(E:E,代理人!E:Y,21,0)</f>
        <v>0</v>
      </c>
      <c r="I175" s="4"/>
      <c r="J175" s="4">
        <f>_xlfn.IFS(G:G&gt;=3,"20%",OR(G:G=1,G:G=2),"10%",G:G=0,0)</f>
        <v>0</v>
      </c>
    </row>
    <row r="176" spans="1:10">
      <c r="A176" s="4" t="s">
        <v>48</v>
      </c>
      <c r="B176" s="4" t="s">
        <v>49</v>
      </c>
      <c r="C176" s="4" t="s">
        <v>82</v>
      </c>
      <c r="D176" s="4" t="s">
        <v>412</v>
      </c>
      <c r="E176" s="4">
        <v>6274418752</v>
      </c>
      <c r="F176" s="4">
        <f>VLOOKUP(E:E,代理人!E:U,17,0)</f>
        <v>0</v>
      </c>
      <c r="G176" s="4">
        <f>VLOOKUP(E:E,代理人!E:X,20,0)</f>
        <v>0</v>
      </c>
      <c r="H176" s="4">
        <f>VLOOKUP(E:E,代理人!E:Y,21,0)</f>
        <v>0</v>
      </c>
      <c r="I176" s="4"/>
      <c r="J176" s="4">
        <f>_xlfn.IFS(G:G&gt;=3,"20%",OR(G:G=1,G:G=2),"10%",G:G=0,0)</f>
        <v>0</v>
      </c>
    </row>
    <row r="177" spans="1:10">
      <c r="A177" s="4" t="s">
        <v>48</v>
      </c>
      <c r="B177" s="4" t="s">
        <v>49</v>
      </c>
      <c r="C177" s="4" t="s">
        <v>50</v>
      </c>
      <c r="D177" s="4" t="s">
        <v>413</v>
      </c>
      <c r="E177" s="4">
        <v>6272495022</v>
      </c>
      <c r="F177" s="4">
        <f>VLOOKUP(E:E,代理人!E:U,17,0)</f>
        <v>0</v>
      </c>
      <c r="G177" s="4">
        <f>VLOOKUP(E:E,代理人!E:X,20,0)</f>
        <v>0</v>
      </c>
      <c r="H177" s="4">
        <f>VLOOKUP(E:E,代理人!E:Y,21,0)</f>
        <v>0</v>
      </c>
      <c r="I177" s="4"/>
      <c r="J177" s="4">
        <f>_xlfn.IFS(G:G&gt;=3,"20%",OR(G:G=1,G:G=2),"10%",G:G=0,0)</f>
        <v>0</v>
      </c>
    </row>
    <row r="178" spans="1:10">
      <c r="A178" s="4" t="s">
        <v>27</v>
      </c>
      <c r="B178" s="4" t="s">
        <v>28</v>
      </c>
      <c r="C178" s="4" t="s">
        <v>29</v>
      </c>
      <c r="D178" s="4" t="s">
        <v>414</v>
      </c>
      <c r="E178" s="4">
        <v>6271123452</v>
      </c>
      <c r="F178" s="4">
        <f>VLOOKUP(E:E,代理人!E:U,17,0)</f>
        <v>0</v>
      </c>
      <c r="G178" s="4">
        <f>VLOOKUP(E:E,代理人!E:X,20,0)</f>
        <v>0</v>
      </c>
      <c r="H178" s="4">
        <f>VLOOKUP(E:E,代理人!E:Y,21,0)</f>
        <v>0</v>
      </c>
      <c r="I178" s="4"/>
      <c r="J178" s="4">
        <f>_xlfn.IFS(G:G&gt;=3,"20%",OR(G:G=1,G:G=2),"10%",G:G=0,0)</f>
        <v>0</v>
      </c>
    </row>
    <row r="179" spans="1:10">
      <c r="A179" s="4" t="s">
        <v>42</v>
      </c>
      <c r="B179" s="4" t="s">
        <v>43</v>
      </c>
      <c r="C179" s="4" t="s">
        <v>75</v>
      </c>
      <c r="D179" s="4" t="s">
        <v>415</v>
      </c>
      <c r="E179" s="4">
        <v>6270653892</v>
      </c>
      <c r="F179" s="4">
        <f>VLOOKUP(E:E,代理人!E:U,17,0)</f>
        <v>0</v>
      </c>
      <c r="G179" s="4">
        <f>VLOOKUP(E:E,代理人!E:X,20,0)</f>
        <v>0</v>
      </c>
      <c r="H179" s="4">
        <f>VLOOKUP(E:E,代理人!E:Y,21,0)</f>
        <v>0</v>
      </c>
      <c r="I179" s="4"/>
      <c r="J179" s="4">
        <f>_xlfn.IFS(G:G&gt;=3,"20%",OR(G:G=1,G:G=2),"10%",G:G=0,0)</f>
        <v>0</v>
      </c>
    </row>
    <row r="180" spans="1:10">
      <c r="A180" s="4" t="s">
        <v>48</v>
      </c>
      <c r="B180" s="4" t="s">
        <v>49</v>
      </c>
      <c r="C180" s="4" t="s">
        <v>50</v>
      </c>
      <c r="D180" s="4" t="s">
        <v>416</v>
      </c>
      <c r="E180" s="4">
        <v>6251499542</v>
      </c>
      <c r="F180" s="4">
        <f>VLOOKUP(E:E,代理人!E:U,17,0)</f>
        <v>0</v>
      </c>
      <c r="G180" s="4">
        <f>VLOOKUP(E:E,代理人!E:X,20,0)</f>
        <v>0</v>
      </c>
      <c r="H180" s="4">
        <f>VLOOKUP(E:E,代理人!E:Y,21,0)</f>
        <v>0</v>
      </c>
      <c r="I180" s="4"/>
      <c r="J180" s="4">
        <f>_xlfn.IFS(G:G&gt;=3,"20%",OR(G:G=1,G:G=2),"10%",G:G=0,0)</f>
        <v>0</v>
      </c>
    </row>
    <row r="181" spans="1:10">
      <c r="A181" s="4" t="s">
        <v>27</v>
      </c>
      <c r="B181" s="4" t="s">
        <v>100</v>
      </c>
      <c r="C181" s="4" t="s">
        <v>101</v>
      </c>
      <c r="D181" s="4" t="s">
        <v>417</v>
      </c>
      <c r="E181" s="4">
        <v>6240561182</v>
      </c>
      <c r="F181" s="4">
        <f>VLOOKUP(E:E,代理人!E:U,17,0)</f>
        <v>0</v>
      </c>
      <c r="G181" s="4">
        <f>VLOOKUP(E:E,代理人!E:X,20,0)</f>
        <v>0</v>
      </c>
      <c r="H181" s="4">
        <f>VLOOKUP(E:E,代理人!E:Y,21,0)</f>
        <v>0</v>
      </c>
      <c r="I181" s="4"/>
      <c r="J181" s="4">
        <f>_xlfn.IFS(G:G&gt;=3,"20%",OR(G:G=1,G:G=2),"10%",G:G=0,0)</f>
        <v>0</v>
      </c>
    </row>
    <row r="182" spans="1:10">
      <c r="A182" s="4" t="s">
        <v>27</v>
      </c>
      <c r="B182" s="4" t="s">
        <v>94</v>
      </c>
      <c r="C182" s="4" t="s">
        <v>95</v>
      </c>
      <c r="D182" s="4" t="s">
        <v>418</v>
      </c>
      <c r="E182" s="4">
        <v>6233846442</v>
      </c>
      <c r="F182" s="4">
        <f>VLOOKUP(E:E,代理人!E:U,17,0)</f>
        <v>0</v>
      </c>
      <c r="G182" s="4">
        <f>VLOOKUP(E:E,代理人!E:X,20,0)</f>
        <v>0</v>
      </c>
      <c r="H182" s="4">
        <f>VLOOKUP(E:E,代理人!E:Y,21,0)</f>
        <v>0</v>
      </c>
      <c r="I182" s="4"/>
      <c r="J182" s="4">
        <f>_xlfn.IFS(G:G&gt;=3,"20%",OR(G:G=1,G:G=2),"10%",G:G=0,0)</f>
        <v>0</v>
      </c>
    </row>
    <row r="183" spans="1:10">
      <c r="A183" s="4" t="s">
        <v>42</v>
      </c>
      <c r="B183" s="4" t="s">
        <v>66</v>
      </c>
      <c r="C183" s="4" t="s">
        <v>343</v>
      </c>
      <c r="D183" s="4" t="s">
        <v>419</v>
      </c>
      <c r="E183" s="4">
        <v>6230817702</v>
      </c>
      <c r="F183" s="4">
        <f>VLOOKUP(E:E,代理人!E:U,17,0)</f>
        <v>0</v>
      </c>
      <c r="G183" s="4">
        <f>VLOOKUP(E:E,代理人!E:X,20,0)</f>
        <v>0</v>
      </c>
      <c r="H183" s="4">
        <f>VLOOKUP(E:E,代理人!E:Y,21,0)</f>
        <v>0</v>
      </c>
      <c r="I183" s="4"/>
      <c r="J183" s="4">
        <f>_xlfn.IFS(G:G&gt;=3,"20%",OR(G:G=1,G:G=2),"10%",G:G=0,0)</f>
        <v>0</v>
      </c>
    </row>
    <row r="184" spans="1:10">
      <c r="A184" s="4" t="s">
        <v>42</v>
      </c>
      <c r="B184" s="4" t="s">
        <v>43</v>
      </c>
      <c r="C184" s="4" t="s">
        <v>75</v>
      </c>
      <c r="D184" s="4" t="s">
        <v>420</v>
      </c>
      <c r="E184" s="4">
        <v>6230021762</v>
      </c>
      <c r="F184" s="4">
        <f>VLOOKUP(E:E,代理人!E:U,17,0)</f>
        <v>0</v>
      </c>
      <c r="G184" s="4">
        <f>VLOOKUP(E:E,代理人!E:X,20,0)</f>
        <v>0</v>
      </c>
      <c r="H184" s="4">
        <f>VLOOKUP(E:E,代理人!E:Y,21,0)</f>
        <v>0</v>
      </c>
      <c r="I184" s="4"/>
      <c r="J184" s="4">
        <f>_xlfn.IFS(G:G&gt;=3,"20%",OR(G:G=1,G:G=2),"10%",G:G=0,0)</f>
        <v>0</v>
      </c>
    </row>
    <row r="185" spans="1:10">
      <c r="A185" s="4" t="s">
        <v>27</v>
      </c>
      <c r="B185" s="4" t="s">
        <v>28</v>
      </c>
      <c r="C185" s="4" t="s">
        <v>29</v>
      </c>
      <c r="D185" s="4" t="s">
        <v>421</v>
      </c>
      <c r="E185" s="4">
        <v>6197981852</v>
      </c>
      <c r="F185" s="4">
        <f>VLOOKUP(E:E,代理人!E:U,17,0)</f>
        <v>0</v>
      </c>
      <c r="G185" s="4">
        <f>VLOOKUP(E:E,代理人!E:X,20,0)</f>
        <v>0</v>
      </c>
      <c r="H185" s="4">
        <f>VLOOKUP(E:E,代理人!E:Y,21,0)</f>
        <v>0</v>
      </c>
      <c r="I185" s="4"/>
      <c r="J185" s="4">
        <f>_xlfn.IFS(G:G&gt;=3,"20%",OR(G:G=1,G:G=2),"10%",G:G=0,0)</f>
        <v>0</v>
      </c>
    </row>
    <row r="186" spans="1:10">
      <c r="A186" s="4" t="s">
        <v>42</v>
      </c>
      <c r="B186" s="4" t="s">
        <v>43</v>
      </c>
      <c r="C186" s="4" t="s">
        <v>44</v>
      </c>
      <c r="D186" s="4" t="s">
        <v>422</v>
      </c>
      <c r="E186" s="4">
        <v>6186306472</v>
      </c>
      <c r="F186" s="4">
        <f>VLOOKUP(E:E,代理人!E:U,17,0)</f>
        <v>0</v>
      </c>
      <c r="G186" s="4">
        <f>VLOOKUP(E:E,代理人!E:X,20,0)</f>
        <v>0</v>
      </c>
      <c r="H186" s="4">
        <f>VLOOKUP(E:E,代理人!E:Y,21,0)</f>
        <v>0</v>
      </c>
      <c r="I186" s="4"/>
      <c r="J186" s="4">
        <f>_xlfn.IFS(G:G&gt;=3,"20%",OR(G:G=1,G:G=2),"10%",G:G=0,0)</f>
        <v>0</v>
      </c>
    </row>
    <row r="187" spans="1:10">
      <c r="A187" s="4" t="s">
        <v>48</v>
      </c>
      <c r="B187" s="4" t="s">
        <v>49</v>
      </c>
      <c r="C187" s="4" t="s">
        <v>98</v>
      </c>
      <c r="D187" s="4" t="s">
        <v>423</v>
      </c>
      <c r="E187" s="4">
        <v>6183512512</v>
      </c>
      <c r="F187" s="4">
        <f>VLOOKUP(E:E,代理人!E:U,17,0)</f>
        <v>0</v>
      </c>
      <c r="G187" s="4">
        <f>VLOOKUP(E:E,代理人!E:X,20,0)</f>
        <v>0</v>
      </c>
      <c r="H187" s="4">
        <f>VLOOKUP(E:E,代理人!E:Y,21,0)</f>
        <v>0</v>
      </c>
      <c r="I187" s="4"/>
      <c r="J187" s="4">
        <f>_xlfn.IFS(G:G&gt;=3,"20%",OR(G:G=1,G:G=2),"10%",G:G=0,0)</f>
        <v>0</v>
      </c>
    </row>
    <row r="188" spans="1:10">
      <c r="A188" s="4" t="s">
        <v>42</v>
      </c>
      <c r="B188" s="4" t="s">
        <v>43</v>
      </c>
      <c r="C188" s="4" t="s">
        <v>70</v>
      </c>
      <c r="D188" s="4" t="s">
        <v>424</v>
      </c>
      <c r="E188" s="4">
        <v>6183121812</v>
      </c>
      <c r="F188" s="4">
        <f>VLOOKUP(E:E,代理人!E:U,17,0)</f>
        <v>0</v>
      </c>
      <c r="G188" s="4">
        <f>VLOOKUP(E:E,代理人!E:X,20,0)</f>
        <v>0</v>
      </c>
      <c r="H188" s="4">
        <f>VLOOKUP(E:E,代理人!E:Y,21,0)</f>
        <v>0</v>
      </c>
      <c r="I188" s="4"/>
      <c r="J188" s="4">
        <f>_xlfn.IFS(G:G&gt;=3,"20%",OR(G:G=1,G:G=2),"10%",G:G=0,0)</f>
        <v>0</v>
      </c>
    </row>
    <row r="189" spans="1:10">
      <c r="A189" s="4" t="s">
        <v>42</v>
      </c>
      <c r="B189" s="4" t="s">
        <v>43</v>
      </c>
      <c r="C189" s="4" t="s">
        <v>70</v>
      </c>
      <c r="D189" s="4" t="s">
        <v>425</v>
      </c>
      <c r="E189" s="4">
        <v>6176568392</v>
      </c>
      <c r="F189" s="4">
        <f>VLOOKUP(E:E,代理人!E:U,17,0)</f>
        <v>0</v>
      </c>
      <c r="G189" s="4">
        <f>VLOOKUP(E:E,代理人!E:X,20,0)</f>
        <v>0</v>
      </c>
      <c r="H189" s="4">
        <f>VLOOKUP(E:E,代理人!E:Y,21,0)</f>
        <v>0</v>
      </c>
      <c r="I189" s="4"/>
      <c r="J189" s="4">
        <f>_xlfn.IFS(G:G&gt;=3,"20%",OR(G:G=1,G:G=2),"10%",G:G=0,0)</f>
        <v>0</v>
      </c>
    </row>
    <row r="190" spans="1:10">
      <c r="A190" s="4" t="s">
        <v>48</v>
      </c>
      <c r="B190" s="4" t="s">
        <v>49</v>
      </c>
      <c r="C190" s="4" t="s">
        <v>50</v>
      </c>
      <c r="D190" s="4" t="s">
        <v>426</v>
      </c>
      <c r="E190" s="4">
        <v>6173444452</v>
      </c>
      <c r="F190" s="4">
        <f>VLOOKUP(E:E,代理人!E:U,17,0)</f>
        <v>0</v>
      </c>
      <c r="G190" s="4">
        <f>VLOOKUP(E:E,代理人!E:X,20,0)</f>
        <v>0</v>
      </c>
      <c r="H190" s="4">
        <f>VLOOKUP(E:E,代理人!E:Y,21,0)</f>
        <v>0</v>
      </c>
      <c r="I190" s="4"/>
      <c r="J190" s="4">
        <f>_xlfn.IFS(G:G&gt;=3,"20%",OR(G:G=1,G:G=2),"10%",G:G=0,0)</f>
        <v>0</v>
      </c>
    </row>
    <row r="191" spans="1:10">
      <c r="A191" s="4" t="s">
        <v>42</v>
      </c>
      <c r="B191" s="4" t="s">
        <v>66</v>
      </c>
      <c r="C191" s="4" t="s">
        <v>67</v>
      </c>
      <c r="D191" s="4" t="s">
        <v>427</v>
      </c>
      <c r="E191" s="4">
        <v>6172970322</v>
      </c>
      <c r="F191" s="4">
        <f>VLOOKUP(E:E,代理人!E:U,17,0)</f>
        <v>0</v>
      </c>
      <c r="G191" s="4">
        <f>VLOOKUP(E:E,代理人!E:X,20,0)</f>
        <v>0</v>
      </c>
      <c r="H191" s="4">
        <f>VLOOKUP(E:E,代理人!E:Y,21,0)</f>
        <v>0</v>
      </c>
      <c r="I191" s="4"/>
      <c r="J191" s="4">
        <f>_xlfn.IFS(G:G&gt;=3,"20%",OR(G:G=1,G:G=2),"10%",G:G=0,0)</f>
        <v>0</v>
      </c>
    </row>
    <row r="192" spans="1:10">
      <c r="A192" s="4" t="s">
        <v>48</v>
      </c>
      <c r="B192" s="4" t="s">
        <v>49</v>
      </c>
      <c r="C192" s="4" t="s">
        <v>82</v>
      </c>
      <c r="D192" s="4" t="s">
        <v>428</v>
      </c>
      <c r="E192" s="4">
        <v>6170483702</v>
      </c>
      <c r="F192" s="4">
        <f>VLOOKUP(E:E,代理人!E:U,17,0)</f>
        <v>0</v>
      </c>
      <c r="G192" s="4">
        <f>VLOOKUP(E:E,代理人!E:X,20,0)</f>
        <v>0</v>
      </c>
      <c r="H192" s="4">
        <f>VLOOKUP(E:E,代理人!E:Y,21,0)</f>
        <v>0</v>
      </c>
      <c r="I192" s="4"/>
      <c r="J192" s="4">
        <f>_xlfn.IFS(G:G&gt;=3,"20%",OR(G:G=1,G:G=2),"10%",G:G=0,0)</f>
        <v>0</v>
      </c>
    </row>
    <row r="193" spans="1:10">
      <c r="A193" s="4" t="s">
        <v>27</v>
      </c>
      <c r="B193" s="4" t="s">
        <v>94</v>
      </c>
      <c r="C193" s="4" t="s">
        <v>95</v>
      </c>
      <c r="D193" s="4" t="s">
        <v>429</v>
      </c>
      <c r="E193" s="4">
        <v>6165252972</v>
      </c>
      <c r="F193" s="4">
        <f>VLOOKUP(E:E,代理人!E:U,17,0)</f>
        <v>0</v>
      </c>
      <c r="G193" s="4">
        <f>VLOOKUP(E:E,代理人!E:X,20,0)</f>
        <v>0</v>
      </c>
      <c r="H193" s="4">
        <f>VLOOKUP(E:E,代理人!E:Y,21,0)</f>
        <v>0</v>
      </c>
      <c r="I193" s="4"/>
      <c r="J193" s="4">
        <f>_xlfn.IFS(G:G&gt;=3,"20%",OR(G:G=1,G:G=2),"10%",G:G=0,0)</f>
        <v>0</v>
      </c>
    </row>
    <row r="194" spans="1:10">
      <c r="A194" s="4" t="s">
        <v>42</v>
      </c>
      <c r="B194" s="4" t="s">
        <v>43</v>
      </c>
      <c r="C194" s="4" t="s">
        <v>44</v>
      </c>
      <c r="D194" s="4" t="s">
        <v>430</v>
      </c>
      <c r="E194" s="4">
        <v>6155042562</v>
      </c>
      <c r="F194" s="4">
        <f>VLOOKUP(E:E,代理人!E:U,17,0)</f>
        <v>0</v>
      </c>
      <c r="G194" s="4">
        <f>VLOOKUP(E:E,代理人!E:X,20,0)</f>
        <v>0</v>
      </c>
      <c r="H194" s="4">
        <f>VLOOKUP(E:E,代理人!E:Y,21,0)</f>
        <v>0</v>
      </c>
      <c r="I194" s="4"/>
      <c r="J194" s="4">
        <f>_xlfn.IFS(G:G&gt;=3,"20%",OR(G:G=1,G:G=2),"10%",G:G=0,0)</f>
        <v>0</v>
      </c>
    </row>
    <row r="195" spans="1:10">
      <c r="A195" s="4" t="s">
        <v>27</v>
      </c>
      <c r="B195" s="4" t="s">
        <v>28</v>
      </c>
      <c r="C195" s="4" t="s">
        <v>29</v>
      </c>
      <c r="D195" s="4" t="s">
        <v>431</v>
      </c>
      <c r="E195" s="4">
        <v>6148870842</v>
      </c>
      <c r="F195" s="4">
        <f>VLOOKUP(E:E,代理人!E:U,17,0)</f>
        <v>0</v>
      </c>
      <c r="G195" s="4">
        <f>VLOOKUP(E:E,代理人!E:X,20,0)</f>
        <v>0</v>
      </c>
      <c r="H195" s="4">
        <f>VLOOKUP(E:E,代理人!E:Y,21,0)</f>
        <v>0</v>
      </c>
      <c r="I195" s="4"/>
      <c r="J195" s="4">
        <f>_xlfn.IFS(G:G&gt;=3,"20%",OR(G:G=1,G:G=2),"10%",G:G=0,0)</f>
        <v>0</v>
      </c>
    </row>
    <row r="196" spans="1:10">
      <c r="A196" s="4" t="s">
        <v>42</v>
      </c>
      <c r="B196" s="4" t="s">
        <v>66</v>
      </c>
      <c r="C196" s="4" t="s">
        <v>343</v>
      </c>
      <c r="D196" s="4" t="s">
        <v>432</v>
      </c>
      <c r="E196" s="4">
        <v>6145056062</v>
      </c>
      <c r="F196" s="4">
        <f>VLOOKUP(E:E,代理人!E:U,17,0)</f>
        <v>0</v>
      </c>
      <c r="G196" s="4">
        <f>VLOOKUP(E:E,代理人!E:X,20,0)</f>
        <v>0</v>
      </c>
      <c r="H196" s="4">
        <f>VLOOKUP(E:E,代理人!E:Y,21,0)</f>
        <v>0</v>
      </c>
      <c r="I196" s="4"/>
      <c r="J196" s="4">
        <f>_xlfn.IFS(G:G&gt;=3,"20%",OR(G:G=1,G:G=2),"10%",G:G=0,0)</f>
        <v>0</v>
      </c>
    </row>
    <row r="197" spans="1:10">
      <c r="A197" s="4" t="s">
        <v>48</v>
      </c>
      <c r="B197" s="4" t="s">
        <v>49</v>
      </c>
      <c r="C197" s="4" t="s">
        <v>50</v>
      </c>
      <c r="D197" s="4" t="s">
        <v>433</v>
      </c>
      <c r="E197" s="4">
        <v>6138546192</v>
      </c>
      <c r="F197" s="4">
        <f>VLOOKUP(E:E,代理人!E:U,17,0)</f>
        <v>0</v>
      </c>
      <c r="G197" s="4">
        <f>VLOOKUP(E:E,代理人!E:X,20,0)</f>
        <v>0</v>
      </c>
      <c r="H197" s="4">
        <f>VLOOKUP(E:E,代理人!E:Y,21,0)</f>
        <v>0</v>
      </c>
      <c r="I197" s="4"/>
      <c r="J197" s="4">
        <f>_xlfn.IFS(G:G&gt;=3,"20%",OR(G:G=1,G:G=2),"10%",G:G=0,0)</f>
        <v>0</v>
      </c>
    </row>
    <row r="198" spans="1:10">
      <c r="A198" s="4" t="s">
        <v>48</v>
      </c>
      <c r="B198" s="4" t="s">
        <v>49</v>
      </c>
      <c r="C198" s="4" t="s">
        <v>50</v>
      </c>
      <c r="D198" s="4" t="s">
        <v>434</v>
      </c>
      <c r="E198" s="4">
        <v>6124158482</v>
      </c>
      <c r="F198" s="4">
        <f>VLOOKUP(E:E,代理人!E:U,17,0)</f>
        <v>0</v>
      </c>
      <c r="G198" s="4">
        <f>VLOOKUP(E:E,代理人!E:X,20,0)</f>
        <v>0</v>
      </c>
      <c r="H198" s="4">
        <f>VLOOKUP(E:E,代理人!E:Y,21,0)</f>
        <v>0</v>
      </c>
      <c r="I198" s="4"/>
      <c r="J198" s="4">
        <f>_xlfn.IFS(G:G&gt;=3,"20%",OR(G:G=1,G:G=2),"10%",G:G=0,0)</f>
        <v>0</v>
      </c>
    </row>
    <row r="199" spans="1:10">
      <c r="A199" s="4" t="s">
        <v>27</v>
      </c>
      <c r="B199" s="4" t="s">
        <v>28</v>
      </c>
      <c r="C199" s="4" t="s">
        <v>29</v>
      </c>
      <c r="D199" s="4" t="s">
        <v>102</v>
      </c>
      <c r="E199" s="4">
        <v>6116420222</v>
      </c>
      <c r="F199" s="4">
        <f>VLOOKUP(E:E,代理人!E:U,17,0)</f>
        <v>0</v>
      </c>
      <c r="G199" s="4">
        <f>VLOOKUP(E:E,代理人!E:X,20,0)</f>
        <v>0</v>
      </c>
      <c r="H199" s="4">
        <f>VLOOKUP(E:E,代理人!E:Y,21,0)</f>
        <v>0</v>
      </c>
      <c r="I199" s="4"/>
      <c r="J199" s="4">
        <f>_xlfn.IFS(G:G&gt;=3,"20%",OR(G:G=1,G:G=2),"10%",G:G=0,0)</f>
        <v>0</v>
      </c>
    </row>
    <row r="200" spans="1:10">
      <c r="A200" s="4" t="s">
        <v>27</v>
      </c>
      <c r="B200" s="4" t="s">
        <v>37</v>
      </c>
      <c r="C200" s="4" t="s">
        <v>110</v>
      </c>
      <c r="D200" s="4" t="s">
        <v>435</v>
      </c>
      <c r="E200" s="4">
        <v>6090747902</v>
      </c>
      <c r="F200" s="4">
        <f>VLOOKUP(E:E,代理人!E:U,17,0)</f>
        <v>0</v>
      </c>
      <c r="G200" s="4">
        <f>VLOOKUP(E:E,代理人!E:X,20,0)</f>
        <v>0</v>
      </c>
      <c r="H200" s="4">
        <f>VLOOKUP(E:E,代理人!E:Y,21,0)</f>
        <v>0</v>
      </c>
      <c r="I200" s="4"/>
      <c r="J200" s="4">
        <f>_xlfn.IFS(G:G&gt;=3,"20%",OR(G:G=1,G:G=2),"10%",G:G=0,0)</f>
        <v>0</v>
      </c>
    </row>
    <row r="201" spans="1:10">
      <c r="A201" s="4" t="s">
        <v>42</v>
      </c>
      <c r="B201" s="4" t="s">
        <v>43</v>
      </c>
      <c r="C201" s="4" t="s">
        <v>75</v>
      </c>
      <c r="D201" s="4" t="s">
        <v>436</v>
      </c>
      <c r="E201" s="4">
        <v>6090081572</v>
      </c>
      <c r="F201" s="4">
        <f>VLOOKUP(E:E,代理人!E:U,17,0)</f>
        <v>0</v>
      </c>
      <c r="G201" s="4">
        <f>VLOOKUP(E:E,代理人!E:X,20,0)</f>
        <v>0</v>
      </c>
      <c r="H201" s="4">
        <f>VLOOKUP(E:E,代理人!E:Y,21,0)</f>
        <v>0</v>
      </c>
      <c r="I201" s="4"/>
      <c r="J201" s="4">
        <f>_xlfn.IFS(G:G&gt;=3,"20%",OR(G:G=1,G:G=2),"10%",G:G=0,0)</f>
        <v>0</v>
      </c>
    </row>
    <row r="202" spans="1:10">
      <c r="A202" s="4" t="s">
        <v>48</v>
      </c>
      <c r="B202" s="4" t="s">
        <v>49</v>
      </c>
      <c r="C202" s="4" t="s">
        <v>82</v>
      </c>
      <c r="D202" s="4" t="s">
        <v>437</v>
      </c>
      <c r="E202" s="4">
        <v>6089744322</v>
      </c>
      <c r="F202" s="4">
        <f>VLOOKUP(E:E,代理人!E:U,17,0)</f>
        <v>0</v>
      </c>
      <c r="G202" s="4">
        <f>VLOOKUP(E:E,代理人!E:X,20,0)</f>
        <v>0</v>
      </c>
      <c r="H202" s="4">
        <f>VLOOKUP(E:E,代理人!E:Y,21,0)</f>
        <v>0</v>
      </c>
      <c r="I202" s="4"/>
      <c r="J202" s="4">
        <f>_xlfn.IFS(G:G&gt;=3,"20%",OR(G:G=1,G:G=2),"10%",G:G=0,0)</f>
        <v>0</v>
      </c>
    </row>
    <row r="203" spans="1:10">
      <c r="A203" s="4" t="s">
        <v>48</v>
      </c>
      <c r="B203" s="4" t="s">
        <v>49</v>
      </c>
      <c r="C203" s="4" t="s">
        <v>50</v>
      </c>
      <c r="D203" s="4" t="s">
        <v>438</v>
      </c>
      <c r="E203" s="4">
        <v>6089567562</v>
      </c>
      <c r="F203" s="4">
        <f>VLOOKUP(E:E,代理人!E:U,17,0)</f>
        <v>0</v>
      </c>
      <c r="G203" s="4">
        <f>VLOOKUP(E:E,代理人!E:X,20,0)</f>
        <v>0</v>
      </c>
      <c r="H203" s="4">
        <f>VLOOKUP(E:E,代理人!E:Y,21,0)</f>
        <v>0</v>
      </c>
      <c r="I203" s="4"/>
      <c r="J203" s="4">
        <f>_xlfn.IFS(G:G&gt;=3,"20%",OR(G:G=1,G:G=2),"10%",G:G=0,0)</f>
        <v>0</v>
      </c>
    </row>
    <row r="204" spans="1:10">
      <c r="A204" s="4" t="s">
        <v>48</v>
      </c>
      <c r="B204" s="4" t="s">
        <v>49</v>
      </c>
      <c r="C204" s="4" t="s">
        <v>50</v>
      </c>
      <c r="D204" s="4" t="s">
        <v>439</v>
      </c>
      <c r="E204" s="4">
        <v>6089161422</v>
      </c>
      <c r="F204" s="4">
        <f>VLOOKUP(E:E,代理人!E:U,17,0)</f>
        <v>0</v>
      </c>
      <c r="G204" s="4">
        <f>VLOOKUP(E:E,代理人!E:X,20,0)</f>
        <v>0</v>
      </c>
      <c r="H204" s="4">
        <f>VLOOKUP(E:E,代理人!E:Y,21,0)</f>
        <v>0</v>
      </c>
      <c r="I204" s="4"/>
      <c r="J204" s="4">
        <f>_xlfn.IFS(G:G&gt;=3,"20%",OR(G:G=1,G:G=2),"10%",G:G=0,0)</f>
        <v>0</v>
      </c>
    </row>
    <row r="205" spans="1:10">
      <c r="A205" s="4" t="s">
        <v>27</v>
      </c>
      <c r="B205" s="4" t="s">
        <v>28</v>
      </c>
      <c r="C205" s="4" t="s">
        <v>224</v>
      </c>
      <c r="D205" s="4" t="s">
        <v>440</v>
      </c>
      <c r="E205" s="4">
        <v>6088245842</v>
      </c>
      <c r="F205" s="4">
        <f>VLOOKUP(E:E,代理人!E:U,17,0)</f>
        <v>0</v>
      </c>
      <c r="G205" s="4">
        <f>VLOOKUP(E:E,代理人!E:X,20,0)</f>
        <v>0</v>
      </c>
      <c r="H205" s="4">
        <f>VLOOKUP(E:E,代理人!E:Y,21,0)</f>
        <v>0</v>
      </c>
      <c r="I205" s="4"/>
      <c r="J205" s="4">
        <f>_xlfn.IFS(G:G&gt;=3,"20%",OR(G:G=1,G:G=2),"10%",G:G=0,0)</f>
        <v>0</v>
      </c>
    </row>
    <row r="206" spans="1:10">
      <c r="A206" s="4" t="s">
        <v>27</v>
      </c>
      <c r="B206" s="4" t="s">
        <v>37</v>
      </c>
      <c r="C206" s="4" t="s">
        <v>38</v>
      </c>
      <c r="D206" s="4" t="s">
        <v>441</v>
      </c>
      <c r="E206" s="4">
        <v>6087942102</v>
      </c>
      <c r="F206" s="4">
        <f>VLOOKUP(E:E,代理人!E:U,17,0)</f>
        <v>0</v>
      </c>
      <c r="G206" s="4">
        <f>VLOOKUP(E:E,代理人!E:X,20,0)</f>
        <v>0</v>
      </c>
      <c r="H206" s="4">
        <f>VLOOKUP(E:E,代理人!E:Y,21,0)</f>
        <v>0</v>
      </c>
      <c r="I206" s="4"/>
      <c r="J206" s="4">
        <f>_xlfn.IFS(G:G&gt;=3,"20%",OR(G:G=1,G:G=2),"10%",G:G=0,0)</f>
        <v>0</v>
      </c>
    </row>
    <row r="207" spans="1:10">
      <c r="A207" s="4" t="s">
        <v>48</v>
      </c>
      <c r="B207" s="4" t="s">
        <v>49</v>
      </c>
      <c r="C207" s="4" t="s">
        <v>98</v>
      </c>
      <c r="D207" s="4" t="s">
        <v>442</v>
      </c>
      <c r="E207" s="4">
        <v>6085146342</v>
      </c>
      <c r="F207" s="4">
        <f>VLOOKUP(E:E,代理人!E:U,17,0)</f>
        <v>0</v>
      </c>
      <c r="G207" s="4">
        <f>VLOOKUP(E:E,代理人!E:X,20,0)</f>
        <v>0</v>
      </c>
      <c r="H207" s="4">
        <f>VLOOKUP(E:E,代理人!E:Y,21,0)</f>
        <v>0</v>
      </c>
      <c r="I207" s="4"/>
      <c r="J207" s="4">
        <f>_xlfn.IFS(G:G&gt;=3,"20%",OR(G:G=1,G:G=2),"10%",G:G=0,0)</f>
        <v>0</v>
      </c>
    </row>
    <row r="208" spans="1:10">
      <c r="A208" s="4" t="s">
        <v>42</v>
      </c>
      <c r="B208" s="4" t="s">
        <v>43</v>
      </c>
      <c r="C208" s="4" t="s">
        <v>75</v>
      </c>
      <c r="D208" s="4" t="s">
        <v>443</v>
      </c>
      <c r="E208" s="4">
        <v>6084400252</v>
      </c>
      <c r="F208" s="4">
        <f>VLOOKUP(E:E,代理人!E:U,17,0)</f>
        <v>0</v>
      </c>
      <c r="G208" s="4">
        <f>VLOOKUP(E:E,代理人!E:X,20,0)</f>
        <v>0</v>
      </c>
      <c r="H208" s="4">
        <f>VLOOKUP(E:E,代理人!E:Y,21,0)</f>
        <v>0</v>
      </c>
      <c r="I208" s="4"/>
      <c r="J208" s="4">
        <f>_xlfn.IFS(G:G&gt;=3,"20%",OR(G:G=1,G:G=2),"10%",G:G=0,0)</f>
        <v>0</v>
      </c>
    </row>
    <row r="209" spans="1:10">
      <c r="A209" s="4" t="s">
        <v>27</v>
      </c>
      <c r="B209" s="4" t="s">
        <v>28</v>
      </c>
      <c r="C209" s="4" t="s">
        <v>29</v>
      </c>
      <c r="D209" s="4" t="s">
        <v>444</v>
      </c>
      <c r="E209" s="4">
        <v>6071927132</v>
      </c>
      <c r="F209" s="4">
        <f>VLOOKUP(E:E,代理人!E:U,17,0)</f>
        <v>0</v>
      </c>
      <c r="G209" s="4">
        <f>VLOOKUP(E:E,代理人!E:X,20,0)</f>
        <v>0</v>
      </c>
      <c r="H209" s="4">
        <f>VLOOKUP(E:E,代理人!E:Y,21,0)</f>
        <v>0</v>
      </c>
      <c r="I209" s="4"/>
      <c r="J209" s="4">
        <f>_xlfn.IFS(G:G&gt;=3,"20%",OR(G:G=1,G:G=2),"10%",G:G=0,0)</f>
        <v>0</v>
      </c>
    </row>
    <row r="210" spans="1:10">
      <c r="A210" s="4" t="s">
        <v>27</v>
      </c>
      <c r="B210" s="4" t="s">
        <v>28</v>
      </c>
      <c r="C210" s="4" t="s">
        <v>29</v>
      </c>
      <c r="D210" s="4" t="s">
        <v>445</v>
      </c>
      <c r="E210" s="4">
        <v>6071625262</v>
      </c>
      <c r="F210" s="4">
        <f>VLOOKUP(E:E,代理人!E:U,17,0)</f>
        <v>0</v>
      </c>
      <c r="G210" s="4">
        <f>VLOOKUP(E:E,代理人!E:X,20,0)</f>
        <v>0</v>
      </c>
      <c r="H210" s="4">
        <f>VLOOKUP(E:E,代理人!E:Y,21,0)</f>
        <v>0</v>
      </c>
      <c r="I210" s="4"/>
      <c r="J210" s="4">
        <f>_xlfn.IFS(G:G&gt;=3,"20%",OR(G:G=1,G:G=2),"10%",G:G=0,0)</f>
        <v>0</v>
      </c>
    </row>
    <row r="211" spans="1:10">
      <c r="A211" s="4" t="s">
        <v>27</v>
      </c>
      <c r="B211" s="4" t="s">
        <v>37</v>
      </c>
      <c r="C211" s="4" t="s">
        <v>226</v>
      </c>
      <c r="D211" s="4" t="s">
        <v>446</v>
      </c>
      <c r="E211" s="4">
        <v>6071074072</v>
      </c>
      <c r="F211" s="4">
        <f>VLOOKUP(E:E,代理人!E:U,17,0)</f>
        <v>0</v>
      </c>
      <c r="G211" s="4">
        <f>VLOOKUP(E:E,代理人!E:X,20,0)</f>
        <v>0</v>
      </c>
      <c r="H211" s="4">
        <f>VLOOKUP(E:E,代理人!E:Y,21,0)</f>
        <v>0</v>
      </c>
      <c r="I211" s="4"/>
      <c r="J211" s="4">
        <f>_xlfn.IFS(G:G&gt;=3,"20%",OR(G:G=1,G:G=2),"10%",G:G=0,0)</f>
        <v>0</v>
      </c>
    </row>
    <row r="212" spans="1:10">
      <c r="A212" s="4" t="s">
        <v>42</v>
      </c>
      <c r="B212" s="4" t="s">
        <v>66</v>
      </c>
      <c r="C212" s="4" t="s">
        <v>343</v>
      </c>
      <c r="D212" s="4" t="s">
        <v>447</v>
      </c>
      <c r="E212" s="4">
        <v>6069307232</v>
      </c>
      <c r="F212" s="4">
        <f>VLOOKUP(E:E,代理人!E:U,17,0)</f>
        <v>0</v>
      </c>
      <c r="G212" s="4">
        <f>VLOOKUP(E:E,代理人!E:X,20,0)</f>
        <v>0</v>
      </c>
      <c r="H212" s="4">
        <f>VLOOKUP(E:E,代理人!E:Y,21,0)</f>
        <v>0</v>
      </c>
      <c r="I212" s="4"/>
      <c r="J212" s="4">
        <f>_xlfn.IFS(G:G&gt;=3,"20%",OR(G:G=1,G:G=2),"10%",G:G=0,0)</f>
        <v>0</v>
      </c>
    </row>
    <row r="213" spans="1:10">
      <c r="A213" s="4" t="s">
        <v>27</v>
      </c>
      <c r="B213" s="4" t="s">
        <v>28</v>
      </c>
      <c r="C213" s="4" t="s">
        <v>224</v>
      </c>
      <c r="D213" s="4" t="s">
        <v>448</v>
      </c>
      <c r="E213" s="4">
        <v>6025042622</v>
      </c>
      <c r="F213" s="4">
        <f>VLOOKUP(E:E,代理人!E:U,17,0)</f>
        <v>0</v>
      </c>
      <c r="G213" s="4">
        <f>VLOOKUP(E:E,代理人!E:X,20,0)</f>
        <v>0</v>
      </c>
      <c r="H213" s="4">
        <f>VLOOKUP(E:E,代理人!E:Y,21,0)</f>
        <v>0</v>
      </c>
      <c r="I213" s="4"/>
      <c r="J213" s="4">
        <f>_xlfn.IFS(G:G&gt;=3,"20%",OR(G:G=1,G:G=2),"10%",G:G=0,0)</f>
        <v>0</v>
      </c>
    </row>
    <row r="214" spans="1:10">
      <c r="A214" s="4" t="s">
        <v>27</v>
      </c>
      <c r="B214" s="4" t="s">
        <v>28</v>
      </c>
      <c r="C214" s="4" t="s">
        <v>224</v>
      </c>
      <c r="D214" s="4" t="s">
        <v>225</v>
      </c>
      <c r="E214" s="4">
        <v>6025005442</v>
      </c>
      <c r="F214" s="4">
        <f>VLOOKUP(E:E,代理人!E:U,17,0)</f>
        <v>0</v>
      </c>
      <c r="G214" s="4">
        <f>VLOOKUP(E:E,代理人!E:X,20,0)</f>
        <v>0</v>
      </c>
      <c r="H214" s="4">
        <f>VLOOKUP(E:E,代理人!E:Y,21,0)</f>
        <v>0</v>
      </c>
      <c r="I214" s="4"/>
      <c r="J214" s="4">
        <f>_xlfn.IFS(G:G&gt;=3,"20%",OR(G:G=1,G:G=2),"10%",G:G=0,0)</f>
        <v>0</v>
      </c>
    </row>
    <row r="215" spans="1:10">
      <c r="A215" s="4" t="s">
        <v>27</v>
      </c>
      <c r="B215" s="4" t="s">
        <v>28</v>
      </c>
      <c r="C215" s="4" t="s">
        <v>29</v>
      </c>
      <c r="D215" s="4" t="s">
        <v>449</v>
      </c>
      <c r="E215" s="4">
        <v>5965270682</v>
      </c>
      <c r="F215" s="4">
        <f>VLOOKUP(E:E,代理人!E:U,17,0)</f>
        <v>0</v>
      </c>
      <c r="G215" s="4">
        <f>VLOOKUP(E:E,代理人!E:X,20,0)</f>
        <v>0</v>
      </c>
      <c r="H215" s="4">
        <f>VLOOKUP(E:E,代理人!E:Y,21,0)</f>
        <v>0</v>
      </c>
      <c r="I215" s="4"/>
      <c r="J215" s="4">
        <f>_xlfn.IFS(G:G&gt;=3,"20%",OR(G:G=1,G:G=2),"10%",G:G=0,0)</f>
        <v>0</v>
      </c>
    </row>
    <row r="216" spans="1:10">
      <c r="A216" s="4" t="s">
        <v>42</v>
      </c>
      <c r="B216" s="4" t="s">
        <v>62</v>
      </c>
      <c r="C216" s="4" t="s">
        <v>86</v>
      </c>
      <c r="D216" s="4" t="s">
        <v>450</v>
      </c>
      <c r="E216" s="4">
        <v>5883198712</v>
      </c>
      <c r="F216" s="4">
        <f>VLOOKUP(E:E,代理人!E:U,17,0)</f>
        <v>0</v>
      </c>
      <c r="G216" s="4">
        <f>VLOOKUP(E:E,代理人!E:X,20,0)</f>
        <v>0</v>
      </c>
      <c r="H216" s="4">
        <f>VLOOKUP(E:E,代理人!E:Y,21,0)</f>
        <v>0</v>
      </c>
      <c r="I216" s="4"/>
      <c r="J216" s="4">
        <f>_xlfn.IFS(G:G&gt;=3,"20%",OR(G:G=1,G:G=2),"10%",G:G=0,0)</f>
        <v>0</v>
      </c>
    </row>
    <row r="217" spans="1:10">
      <c r="A217" s="4" t="s">
        <v>27</v>
      </c>
      <c r="B217" s="4" t="s">
        <v>94</v>
      </c>
      <c r="C217" s="4" t="s">
        <v>95</v>
      </c>
      <c r="D217" s="4" t="s">
        <v>451</v>
      </c>
      <c r="E217" s="4">
        <v>5860938562</v>
      </c>
      <c r="F217" s="4">
        <f>VLOOKUP(E:E,代理人!E:U,17,0)</f>
        <v>0</v>
      </c>
      <c r="G217" s="4">
        <f>VLOOKUP(E:E,代理人!E:X,20,0)</f>
        <v>0</v>
      </c>
      <c r="H217" s="4">
        <f>VLOOKUP(E:E,代理人!E:Y,21,0)</f>
        <v>0</v>
      </c>
      <c r="I217" s="4"/>
      <c r="J217" s="4">
        <f>_xlfn.IFS(G:G&gt;=3,"20%",OR(G:G=1,G:G=2),"10%",G:G=0,0)</f>
        <v>0</v>
      </c>
    </row>
    <row r="218" spans="1:10">
      <c r="A218" s="4" t="s">
        <v>27</v>
      </c>
      <c r="B218" s="4" t="s">
        <v>37</v>
      </c>
      <c r="C218" s="4" t="s">
        <v>38</v>
      </c>
      <c r="D218" s="4" t="s">
        <v>452</v>
      </c>
      <c r="E218" s="4">
        <v>5860528822</v>
      </c>
      <c r="F218" s="4">
        <f>VLOOKUP(E:E,代理人!E:U,17,0)</f>
        <v>0</v>
      </c>
      <c r="G218" s="4">
        <f>VLOOKUP(E:E,代理人!E:X,20,0)</f>
        <v>0</v>
      </c>
      <c r="H218" s="4">
        <f>VLOOKUP(E:E,代理人!E:Y,21,0)</f>
        <v>0</v>
      </c>
      <c r="I218" s="4"/>
      <c r="J218" s="4">
        <f>_xlfn.IFS(G:G&gt;=3,"20%",OR(G:G=1,G:G=2),"10%",G:G=0,0)</f>
        <v>0</v>
      </c>
    </row>
    <row r="219" spans="1:10">
      <c r="A219" s="4" t="s">
        <v>27</v>
      </c>
      <c r="B219" s="4" t="s">
        <v>100</v>
      </c>
      <c r="C219" s="4" t="s">
        <v>101</v>
      </c>
      <c r="D219" s="4" t="s">
        <v>453</v>
      </c>
      <c r="E219" s="4">
        <v>5829841442</v>
      </c>
      <c r="F219" s="4">
        <f>VLOOKUP(E:E,代理人!E:U,17,0)</f>
        <v>0</v>
      </c>
      <c r="G219" s="4">
        <f>VLOOKUP(E:E,代理人!E:X,20,0)</f>
        <v>0</v>
      </c>
      <c r="H219" s="4">
        <f>VLOOKUP(E:E,代理人!E:Y,21,0)</f>
        <v>0</v>
      </c>
      <c r="I219" s="4"/>
      <c r="J219" s="4">
        <f>_xlfn.IFS(G:G&gt;=3,"20%",OR(G:G=1,G:G=2),"10%",G:G=0,0)</f>
        <v>0</v>
      </c>
    </row>
    <row r="220" spans="1:10">
      <c r="A220" s="4" t="s">
        <v>27</v>
      </c>
      <c r="B220" s="4" t="s">
        <v>100</v>
      </c>
      <c r="C220" s="4" t="s">
        <v>101</v>
      </c>
      <c r="D220" s="4" t="s">
        <v>454</v>
      </c>
      <c r="E220" s="4">
        <v>5829706362</v>
      </c>
      <c r="F220" s="4">
        <f>VLOOKUP(E:E,代理人!E:U,17,0)</f>
        <v>0</v>
      </c>
      <c r="G220" s="4">
        <f>VLOOKUP(E:E,代理人!E:X,20,0)</f>
        <v>0</v>
      </c>
      <c r="H220" s="4">
        <f>VLOOKUP(E:E,代理人!E:Y,21,0)</f>
        <v>0</v>
      </c>
      <c r="I220" s="4"/>
      <c r="J220" s="4">
        <f>_xlfn.IFS(G:G&gt;=3,"20%",OR(G:G=1,G:G=2),"10%",G:G=0,0)</f>
        <v>0</v>
      </c>
    </row>
    <row r="221" spans="1:10">
      <c r="A221" s="4" t="s">
        <v>27</v>
      </c>
      <c r="B221" s="4" t="s">
        <v>28</v>
      </c>
      <c r="C221" s="4" t="s">
        <v>29</v>
      </c>
      <c r="D221" s="4" t="s">
        <v>455</v>
      </c>
      <c r="E221" s="4">
        <v>5829071812</v>
      </c>
      <c r="F221" s="4">
        <f>VLOOKUP(E:E,代理人!E:U,17,0)</f>
        <v>0</v>
      </c>
      <c r="G221" s="4">
        <f>VLOOKUP(E:E,代理人!E:X,20,0)</f>
        <v>0</v>
      </c>
      <c r="H221" s="4">
        <f>VLOOKUP(E:E,代理人!E:Y,21,0)</f>
        <v>0</v>
      </c>
      <c r="I221" s="4"/>
      <c r="J221" s="4">
        <f>_xlfn.IFS(G:G&gt;=3,"20%",OR(G:G=1,G:G=2),"10%",G:G=0,0)</f>
        <v>0</v>
      </c>
    </row>
    <row r="222" spans="1:10">
      <c r="A222" s="4" t="s">
        <v>456</v>
      </c>
      <c r="B222" s="4" t="s">
        <v>457</v>
      </c>
      <c r="C222" s="4" t="s">
        <v>458</v>
      </c>
      <c r="D222" s="4" t="s">
        <v>459</v>
      </c>
      <c r="E222" s="4">
        <v>5819539502</v>
      </c>
      <c r="F222" s="4">
        <f>VLOOKUP(E:E,代理人!E:U,17,0)</f>
        <v>0</v>
      </c>
      <c r="G222" s="4">
        <f>VLOOKUP(E:E,代理人!E:X,20,0)</f>
        <v>0</v>
      </c>
      <c r="H222" s="4">
        <f>VLOOKUP(E:E,代理人!E:Y,21,0)</f>
        <v>0</v>
      </c>
      <c r="I222" s="4"/>
      <c r="J222" s="4">
        <f>_xlfn.IFS(G:G&gt;=3,"20%",OR(G:G=1,G:G=2),"10%",G:G=0,0)</f>
        <v>0</v>
      </c>
    </row>
    <row r="223" spans="1:10">
      <c r="A223" s="4" t="s">
        <v>456</v>
      </c>
      <c r="B223" s="4" t="s">
        <v>457</v>
      </c>
      <c r="C223" s="4" t="s">
        <v>458</v>
      </c>
      <c r="D223" s="4" t="s">
        <v>460</v>
      </c>
      <c r="E223" s="4">
        <v>5819404422</v>
      </c>
      <c r="F223" s="4">
        <f>VLOOKUP(E:E,代理人!E:U,17,0)</f>
        <v>0</v>
      </c>
      <c r="G223" s="4">
        <f>VLOOKUP(E:E,代理人!E:X,20,0)</f>
        <v>0</v>
      </c>
      <c r="H223" s="4">
        <f>VLOOKUP(E:E,代理人!E:Y,21,0)</f>
        <v>0</v>
      </c>
      <c r="I223" s="4"/>
      <c r="J223" s="4">
        <f>_xlfn.IFS(G:G&gt;=3,"20%",OR(G:G=1,G:G=2),"10%",G:G=0,0)</f>
        <v>0</v>
      </c>
    </row>
    <row r="224" spans="1:10">
      <c r="A224" s="4" t="s">
        <v>42</v>
      </c>
      <c r="B224" s="4" t="s">
        <v>66</v>
      </c>
      <c r="C224" s="4" t="s">
        <v>343</v>
      </c>
      <c r="D224" s="4" t="s">
        <v>461</v>
      </c>
      <c r="E224" s="4">
        <v>5796032892</v>
      </c>
      <c r="F224" s="4">
        <f>VLOOKUP(E:E,代理人!E:U,17,0)</f>
        <v>0</v>
      </c>
      <c r="G224" s="4">
        <f>VLOOKUP(E:E,代理人!E:X,20,0)</f>
        <v>0</v>
      </c>
      <c r="H224" s="4">
        <f>VLOOKUP(E:E,代理人!E:Y,21,0)</f>
        <v>0</v>
      </c>
      <c r="I224" s="4"/>
      <c r="J224" s="4">
        <f>_xlfn.IFS(G:G&gt;=3,"20%",OR(G:G=1,G:G=2),"10%",G:G=0,0)</f>
        <v>0</v>
      </c>
    </row>
    <row r="225" spans="1:10">
      <c r="A225" s="4" t="s">
        <v>42</v>
      </c>
      <c r="B225" s="4" t="s">
        <v>66</v>
      </c>
      <c r="C225" s="4" t="s">
        <v>343</v>
      </c>
      <c r="D225" s="4" t="s">
        <v>462</v>
      </c>
      <c r="E225" s="4">
        <v>5795082832</v>
      </c>
      <c r="F225" s="4">
        <f>VLOOKUP(E:E,代理人!E:U,17,0)</f>
        <v>0</v>
      </c>
      <c r="G225" s="4">
        <f>VLOOKUP(E:E,代理人!E:X,20,0)</f>
        <v>0</v>
      </c>
      <c r="H225" s="4">
        <f>VLOOKUP(E:E,代理人!E:Y,21,0)</f>
        <v>0</v>
      </c>
      <c r="I225" s="4"/>
      <c r="J225" s="4">
        <f>_xlfn.IFS(G:G&gt;=3,"20%",OR(G:G=1,G:G=2),"10%",G:G=0,0)</f>
        <v>0</v>
      </c>
    </row>
    <row r="226" spans="1:10">
      <c r="A226" s="4" t="s">
        <v>27</v>
      </c>
      <c r="B226" s="4" t="s">
        <v>37</v>
      </c>
      <c r="C226" s="4" t="s">
        <v>226</v>
      </c>
      <c r="D226" s="4" t="s">
        <v>463</v>
      </c>
      <c r="E226" s="4">
        <v>5795030212</v>
      </c>
      <c r="F226" s="4">
        <f>VLOOKUP(E:E,代理人!E:U,17,0)</f>
        <v>0</v>
      </c>
      <c r="G226" s="4">
        <f>VLOOKUP(E:E,代理人!E:X,20,0)</f>
        <v>0</v>
      </c>
      <c r="H226" s="4">
        <f>VLOOKUP(E:E,代理人!E:Y,21,0)</f>
        <v>0</v>
      </c>
      <c r="I226" s="4"/>
      <c r="J226" s="4">
        <f>_xlfn.IFS(G:G&gt;=3,"20%",OR(G:G=1,G:G=2),"10%",G:G=0,0)</f>
        <v>0</v>
      </c>
    </row>
    <row r="227" spans="1:10">
      <c r="A227" s="4" t="s">
        <v>42</v>
      </c>
      <c r="B227" s="4" t="s">
        <v>43</v>
      </c>
      <c r="C227" s="4" t="s">
        <v>70</v>
      </c>
      <c r="D227" s="4" t="s">
        <v>464</v>
      </c>
      <c r="E227" s="4">
        <v>5793477312</v>
      </c>
      <c r="F227" s="4">
        <f>VLOOKUP(E:E,代理人!E:U,17,0)</f>
        <v>0</v>
      </c>
      <c r="G227" s="4">
        <f>VLOOKUP(E:E,代理人!E:X,20,0)</f>
        <v>0</v>
      </c>
      <c r="H227" s="4">
        <f>VLOOKUP(E:E,代理人!E:Y,21,0)</f>
        <v>0</v>
      </c>
      <c r="I227" s="4"/>
      <c r="J227" s="4">
        <f>_xlfn.IFS(G:G&gt;=3,"20%",OR(G:G=1,G:G=2),"10%",G:G=0,0)</f>
        <v>0</v>
      </c>
    </row>
    <row r="228" spans="1:10">
      <c r="A228" s="4" t="s">
        <v>48</v>
      </c>
      <c r="B228" s="4" t="s">
        <v>49</v>
      </c>
      <c r="C228" s="4" t="s">
        <v>50</v>
      </c>
      <c r="D228" s="4" t="s">
        <v>465</v>
      </c>
      <c r="E228" s="4">
        <v>5793398452</v>
      </c>
      <c r="F228" s="4">
        <f>VLOOKUP(E:E,代理人!E:U,17,0)</f>
        <v>0</v>
      </c>
      <c r="G228" s="4">
        <f>VLOOKUP(E:E,代理人!E:X,20,0)</f>
        <v>0</v>
      </c>
      <c r="H228" s="4">
        <f>VLOOKUP(E:E,代理人!E:Y,21,0)</f>
        <v>0</v>
      </c>
      <c r="I228" s="4"/>
      <c r="J228" s="4">
        <f>_xlfn.IFS(G:G&gt;=3,"20%",OR(G:G=1,G:G=2),"10%",G:G=0,0)</f>
        <v>0</v>
      </c>
    </row>
    <row r="229" spans="1:10">
      <c r="A229" s="4" t="s">
        <v>456</v>
      </c>
      <c r="B229" s="4" t="s">
        <v>457</v>
      </c>
      <c r="C229" s="4" t="s">
        <v>458</v>
      </c>
      <c r="D229" s="4" t="s">
        <v>466</v>
      </c>
      <c r="E229" s="4">
        <v>5786682812</v>
      </c>
      <c r="F229" s="4">
        <f>VLOOKUP(E:E,代理人!E:U,17,0)</f>
        <v>0</v>
      </c>
      <c r="G229" s="4">
        <f>VLOOKUP(E:E,代理人!E:X,20,0)</f>
        <v>0</v>
      </c>
      <c r="H229" s="4">
        <f>VLOOKUP(E:E,代理人!E:Y,21,0)</f>
        <v>0</v>
      </c>
      <c r="I229" s="4"/>
      <c r="J229" s="4">
        <f>_xlfn.IFS(G:G&gt;=3,"20%",OR(G:G=1,G:G=2),"10%",G:G=0,0)</f>
        <v>0</v>
      </c>
    </row>
    <row r="230" spans="1:10">
      <c r="A230" s="4" t="s">
        <v>42</v>
      </c>
      <c r="B230" s="4" t="s">
        <v>66</v>
      </c>
      <c r="C230" s="4" t="s">
        <v>343</v>
      </c>
      <c r="D230" s="4" t="s">
        <v>467</v>
      </c>
      <c r="E230" s="4">
        <v>5770418522</v>
      </c>
      <c r="F230" s="4">
        <f>VLOOKUP(E:E,代理人!E:U,17,0)</f>
        <v>0</v>
      </c>
      <c r="G230" s="4">
        <f>VLOOKUP(E:E,代理人!E:X,20,0)</f>
        <v>0</v>
      </c>
      <c r="H230" s="4">
        <f>VLOOKUP(E:E,代理人!E:Y,21,0)</f>
        <v>0</v>
      </c>
      <c r="I230" s="4"/>
      <c r="J230" s="4">
        <f>_xlfn.IFS(G:G&gt;=3,"20%",OR(G:G=1,G:G=2),"10%",G:G=0,0)</f>
        <v>0</v>
      </c>
    </row>
    <row r="231" spans="1:10">
      <c r="A231" s="4" t="s">
        <v>27</v>
      </c>
      <c r="B231" s="4" t="s">
        <v>37</v>
      </c>
      <c r="C231" s="4" t="s">
        <v>38</v>
      </c>
      <c r="D231" s="4" t="s">
        <v>468</v>
      </c>
      <c r="E231" s="4">
        <v>5735066072</v>
      </c>
      <c r="F231" s="4">
        <f>VLOOKUP(E:E,代理人!E:U,17,0)</f>
        <v>0</v>
      </c>
      <c r="G231" s="4">
        <f>VLOOKUP(E:E,代理人!E:X,20,0)</f>
        <v>0</v>
      </c>
      <c r="H231" s="4">
        <f>VLOOKUP(E:E,代理人!E:Y,21,0)</f>
        <v>0</v>
      </c>
      <c r="I231" s="4"/>
      <c r="J231" s="4">
        <f>_xlfn.IFS(G:G&gt;=3,"20%",OR(G:G=1,G:G=2),"10%",G:G=0,0)</f>
        <v>0</v>
      </c>
    </row>
    <row r="232" spans="1:10">
      <c r="A232" s="4" t="s">
        <v>48</v>
      </c>
      <c r="B232" s="4" t="s">
        <v>49</v>
      </c>
      <c r="C232" s="4" t="s">
        <v>82</v>
      </c>
      <c r="D232" s="4" t="s">
        <v>286</v>
      </c>
      <c r="E232" s="4">
        <v>5733766092</v>
      </c>
      <c r="F232" s="4">
        <f>VLOOKUP(E:E,代理人!E:U,17,0)</f>
        <v>0</v>
      </c>
      <c r="G232" s="4">
        <f>VLOOKUP(E:E,代理人!E:X,20,0)</f>
        <v>0</v>
      </c>
      <c r="H232" s="4">
        <f>VLOOKUP(E:E,代理人!E:Y,21,0)</f>
        <v>0</v>
      </c>
      <c r="I232" s="4"/>
      <c r="J232" s="4">
        <f>_xlfn.IFS(G:G&gt;=3,"20%",OR(G:G=1,G:G=2),"10%",G:G=0,0)</f>
        <v>0</v>
      </c>
    </row>
    <row r="233" spans="1:10">
      <c r="A233" s="4" t="s">
        <v>42</v>
      </c>
      <c r="B233" s="4" t="s">
        <v>66</v>
      </c>
      <c r="C233" s="4" t="s">
        <v>67</v>
      </c>
      <c r="D233" s="4" t="s">
        <v>469</v>
      </c>
      <c r="E233" s="4">
        <v>5722364542</v>
      </c>
      <c r="F233" s="4">
        <f>VLOOKUP(E:E,代理人!E:U,17,0)</f>
        <v>0</v>
      </c>
      <c r="G233" s="4">
        <f>VLOOKUP(E:E,代理人!E:X,20,0)</f>
        <v>0</v>
      </c>
      <c r="H233" s="4">
        <f>VLOOKUP(E:E,代理人!E:Y,21,0)</f>
        <v>0</v>
      </c>
      <c r="I233" s="4"/>
      <c r="J233" s="4">
        <f>_xlfn.IFS(G:G&gt;=3,"20%",OR(G:G=1,G:G=2),"10%",G:G=0,0)</f>
        <v>0</v>
      </c>
    </row>
    <row r="234" spans="1:10">
      <c r="A234" s="4" t="s">
        <v>42</v>
      </c>
      <c r="B234" s="4" t="s">
        <v>62</v>
      </c>
      <c r="C234" s="4" t="s">
        <v>92</v>
      </c>
      <c r="D234" s="4" t="s">
        <v>222</v>
      </c>
      <c r="E234" s="4">
        <v>5722340032</v>
      </c>
      <c r="F234" s="4">
        <f>VLOOKUP(E:E,代理人!E:U,17,0)</f>
        <v>0</v>
      </c>
      <c r="G234" s="4">
        <f>VLOOKUP(E:E,代理人!E:X,20,0)</f>
        <v>0</v>
      </c>
      <c r="H234" s="4">
        <f>VLOOKUP(E:E,代理人!E:Y,21,0)</f>
        <v>0</v>
      </c>
      <c r="I234" s="4"/>
      <c r="J234" s="4">
        <f>_xlfn.IFS(G:G&gt;=3,"20%",OR(G:G=1,G:G=2),"10%",G:G=0,0)</f>
        <v>0</v>
      </c>
    </row>
    <row r="235" spans="1:10">
      <c r="A235" s="4" t="s">
        <v>456</v>
      </c>
      <c r="B235" s="4" t="s">
        <v>457</v>
      </c>
      <c r="C235" s="4" t="s">
        <v>458</v>
      </c>
      <c r="D235" s="4" t="s">
        <v>470</v>
      </c>
      <c r="E235" s="4">
        <v>5721728122</v>
      </c>
      <c r="F235" s="4">
        <f>VLOOKUP(E:E,代理人!E:U,17,0)</f>
        <v>0</v>
      </c>
      <c r="G235" s="4">
        <f>VLOOKUP(E:E,代理人!E:X,20,0)</f>
        <v>0</v>
      </c>
      <c r="H235" s="4">
        <f>VLOOKUP(E:E,代理人!E:Y,21,0)</f>
        <v>0</v>
      </c>
      <c r="I235" s="4"/>
      <c r="J235" s="4">
        <f>_xlfn.IFS(G:G&gt;=3,"20%",OR(G:G=1,G:G=2),"10%",G:G=0,0)</f>
        <v>0</v>
      </c>
    </row>
    <row r="236" spans="1:10">
      <c r="A236" s="4" t="s">
        <v>42</v>
      </c>
      <c r="B236" s="4" t="s">
        <v>66</v>
      </c>
      <c r="C236" s="4" t="s">
        <v>343</v>
      </c>
      <c r="D236" s="4" t="s">
        <v>471</v>
      </c>
      <c r="E236" s="4">
        <v>5705299812</v>
      </c>
      <c r="F236" s="4">
        <f>VLOOKUP(E:E,代理人!E:U,17,0)</f>
        <v>0</v>
      </c>
      <c r="G236" s="4">
        <f>VLOOKUP(E:E,代理人!E:X,20,0)</f>
        <v>0</v>
      </c>
      <c r="H236" s="4">
        <f>VLOOKUP(E:E,代理人!E:Y,21,0)</f>
        <v>0</v>
      </c>
      <c r="I236" s="4"/>
      <c r="J236" s="4">
        <f>_xlfn.IFS(G:G&gt;=3,"20%",OR(G:G=1,G:G=2),"10%",G:G=0,0)</f>
        <v>0</v>
      </c>
    </row>
    <row r="237" spans="1:10">
      <c r="A237" s="4" t="s">
        <v>27</v>
      </c>
      <c r="B237" s="4" t="s">
        <v>37</v>
      </c>
      <c r="C237" s="4" t="s">
        <v>38</v>
      </c>
      <c r="D237" s="4" t="s">
        <v>472</v>
      </c>
      <c r="E237" s="4">
        <v>5704433112</v>
      </c>
      <c r="F237" s="4">
        <f>VLOOKUP(E:E,代理人!E:U,17,0)</f>
        <v>0</v>
      </c>
      <c r="G237" s="4">
        <f>VLOOKUP(E:E,代理人!E:X,20,0)</f>
        <v>0</v>
      </c>
      <c r="H237" s="4">
        <f>VLOOKUP(E:E,代理人!E:Y,21,0)</f>
        <v>0</v>
      </c>
      <c r="I237" s="4"/>
      <c r="J237" s="4">
        <f>_xlfn.IFS(G:G&gt;=3,"20%",OR(G:G=1,G:G=2),"10%",G:G=0,0)</f>
        <v>0</v>
      </c>
    </row>
    <row r="238" spans="1:10">
      <c r="A238" s="4" t="s">
        <v>27</v>
      </c>
      <c r="B238" s="4" t="s">
        <v>37</v>
      </c>
      <c r="C238" s="4" t="s">
        <v>38</v>
      </c>
      <c r="D238" s="4" t="s">
        <v>473</v>
      </c>
      <c r="E238" s="4">
        <v>5704127642</v>
      </c>
      <c r="F238" s="4">
        <f>VLOOKUP(E:E,代理人!E:U,17,0)</f>
        <v>0</v>
      </c>
      <c r="G238" s="4">
        <f>VLOOKUP(E:E,代理人!E:X,20,0)</f>
        <v>0</v>
      </c>
      <c r="H238" s="4">
        <f>VLOOKUP(E:E,代理人!E:Y,21,0)</f>
        <v>0</v>
      </c>
      <c r="I238" s="4"/>
      <c r="J238" s="4">
        <f>_xlfn.IFS(G:G&gt;=3,"20%",OR(G:G=1,G:G=2),"10%",G:G=0,0)</f>
        <v>0</v>
      </c>
    </row>
    <row r="239" spans="1:10">
      <c r="A239" s="4" t="s">
        <v>27</v>
      </c>
      <c r="B239" s="4" t="s">
        <v>94</v>
      </c>
      <c r="C239" s="4" t="s">
        <v>95</v>
      </c>
      <c r="D239" s="4" t="s">
        <v>474</v>
      </c>
      <c r="E239" s="4">
        <v>5704091362</v>
      </c>
      <c r="F239" s="4">
        <f>VLOOKUP(E:E,代理人!E:U,17,0)</f>
        <v>0</v>
      </c>
      <c r="G239" s="4">
        <f>VLOOKUP(E:E,代理人!E:X,20,0)</f>
        <v>0</v>
      </c>
      <c r="H239" s="4">
        <f>VLOOKUP(E:E,代理人!E:Y,21,0)</f>
        <v>0</v>
      </c>
      <c r="I239" s="4"/>
      <c r="J239" s="4">
        <f>_xlfn.IFS(G:G&gt;=3,"20%",OR(G:G=1,G:G=2),"10%",G:G=0,0)</f>
        <v>0</v>
      </c>
    </row>
    <row r="240" spans="1:10">
      <c r="A240" s="4" t="s">
        <v>42</v>
      </c>
      <c r="B240" s="4" t="s">
        <v>66</v>
      </c>
      <c r="C240" s="4" t="s">
        <v>67</v>
      </c>
      <c r="D240" s="4" t="s">
        <v>475</v>
      </c>
      <c r="E240" s="4">
        <v>5693445872</v>
      </c>
      <c r="F240" s="4">
        <f>VLOOKUP(E:E,代理人!E:U,17,0)</f>
        <v>0</v>
      </c>
      <c r="G240" s="4">
        <f>VLOOKUP(E:E,代理人!E:X,20,0)</f>
        <v>0</v>
      </c>
      <c r="H240" s="4">
        <f>VLOOKUP(E:E,代理人!E:Y,21,0)</f>
        <v>0</v>
      </c>
      <c r="I240" s="4"/>
      <c r="J240" s="4">
        <f>_xlfn.IFS(G:G&gt;=3,"20%",OR(G:G=1,G:G=2),"10%",G:G=0,0)</f>
        <v>0</v>
      </c>
    </row>
    <row r="241" spans="1:10">
      <c r="A241" s="4" t="s">
        <v>27</v>
      </c>
      <c r="B241" s="4" t="s">
        <v>37</v>
      </c>
      <c r="C241" s="4" t="s">
        <v>226</v>
      </c>
      <c r="D241" s="4" t="s">
        <v>476</v>
      </c>
      <c r="E241" s="4">
        <v>5689717222</v>
      </c>
      <c r="F241" s="4">
        <f>VLOOKUP(E:E,代理人!E:U,17,0)</f>
        <v>0</v>
      </c>
      <c r="G241" s="4">
        <f>VLOOKUP(E:E,代理人!E:X,20,0)</f>
        <v>0</v>
      </c>
      <c r="H241" s="4">
        <f>VLOOKUP(E:E,代理人!E:Y,21,0)</f>
        <v>0</v>
      </c>
      <c r="I241" s="4"/>
      <c r="J241" s="4">
        <f>_xlfn.IFS(G:G&gt;=3,"20%",OR(G:G=1,G:G=2),"10%",G:G=0,0)</f>
        <v>0</v>
      </c>
    </row>
    <row r="242" spans="1:10">
      <c r="A242" s="4" t="s">
        <v>42</v>
      </c>
      <c r="B242" s="4" t="s">
        <v>43</v>
      </c>
      <c r="C242" s="4" t="s">
        <v>77</v>
      </c>
      <c r="D242" s="4" t="s">
        <v>477</v>
      </c>
      <c r="E242" s="4">
        <v>5680107922</v>
      </c>
      <c r="F242" s="4">
        <f>VLOOKUP(E:E,代理人!E:U,17,0)</f>
        <v>0</v>
      </c>
      <c r="G242" s="4">
        <f>VLOOKUP(E:E,代理人!E:X,20,0)</f>
        <v>0</v>
      </c>
      <c r="H242" s="4">
        <f>VLOOKUP(E:E,代理人!E:Y,21,0)</f>
        <v>0</v>
      </c>
      <c r="I242" s="4"/>
      <c r="J242" s="4">
        <f>_xlfn.IFS(G:G&gt;=3,"20%",OR(G:G=1,G:G=2),"10%",G:G=0,0)</f>
        <v>0</v>
      </c>
    </row>
    <row r="243" spans="1:10">
      <c r="A243" s="4" t="s">
        <v>48</v>
      </c>
      <c r="B243" s="4" t="s">
        <v>49</v>
      </c>
      <c r="C243" s="4" t="s">
        <v>50</v>
      </c>
      <c r="D243" s="4" t="s">
        <v>478</v>
      </c>
      <c r="E243" s="4">
        <v>5629751282</v>
      </c>
      <c r="F243" s="4">
        <f>VLOOKUP(E:E,代理人!E:U,17,0)</f>
        <v>0</v>
      </c>
      <c r="G243" s="4">
        <f>VLOOKUP(E:E,代理人!E:X,20,0)</f>
        <v>0</v>
      </c>
      <c r="H243" s="4">
        <f>VLOOKUP(E:E,代理人!E:Y,21,0)</f>
        <v>0</v>
      </c>
      <c r="I243" s="4"/>
      <c r="J243" s="4">
        <f>_xlfn.IFS(G:G&gt;=3,"20%",OR(G:G=1,G:G=2),"10%",G:G=0,0)</f>
        <v>0</v>
      </c>
    </row>
    <row r="244" spans="1:10">
      <c r="A244" s="4" t="s">
        <v>42</v>
      </c>
      <c r="B244" s="4" t="s">
        <v>43</v>
      </c>
      <c r="C244" s="4" t="s">
        <v>44</v>
      </c>
      <c r="D244" s="4" t="s">
        <v>479</v>
      </c>
      <c r="E244" s="4">
        <v>5596364242</v>
      </c>
      <c r="F244" s="4">
        <f>VLOOKUP(E:E,代理人!E:U,17,0)</f>
        <v>0</v>
      </c>
      <c r="G244" s="4">
        <f>VLOOKUP(E:E,代理人!E:X,20,0)</f>
        <v>0</v>
      </c>
      <c r="H244" s="4">
        <f>VLOOKUP(E:E,代理人!E:Y,21,0)</f>
        <v>0</v>
      </c>
      <c r="I244" s="4"/>
      <c r="J244" s="4">
        <f>_xlfn.IFS(G:G&gt;=3,"20%",OR(G:G=1,G:G=2),"10%",G:G=0,0)</f>
        <v>0</v>
      </c>
    </row>
    <row r="245" spans="1:10">
      <c r="A245" s="4" t="s">
        <v>27</v>
      </c>
      <c r="B245" s="4" t="s">
        <v>94</v>
      </c>
      <c r="C245" s="4" t="s">
        <v>95</v>
      </c>
      <c r="D245" s="4" t="s">
        <v>480</v>
      </c>
      <c r="E245" s="4">
        <v>5585829322</v>
      </c>
      <c r="F245" s="4">
        <f>VLOOKUP(E:E,代理人!E:U,17,0)</f>
        <v>0</v>
      </c>
      <c r="G245" s="4">
        <f>VLOOKUP(E:E,代理人!E:X,20,0)</f>
        <v>0</v>
      </c>
      <c r="H245" s="4">
        <f>VLOOKUP(E:E,代理人!E:Y,21,0)</f>
        <v>0</v>
      </c>
      <c r="I245" s="4"/>
      <c r="J245" s="4">
        <f>_xlfn.IFS(G:G&gt;=3,"20%",OR(G:G=1,G:G=2),"10%",G:G=0,0)</f>
        <v>0</v>
      </c>
    </row>
    <row r="246" spans="1:10">
      <c r="A246" s="4" t="s">
        <v>48</v>
      </c>
      <c r="B246" s="4" t="s">
        <v>49</v>
      </c>
      <c r="C246" s="4" t="s">
        <v>98</v>
      </c>
      <c r="D246" s="4" t="s">
        <v>481</v>
      </c>
      <c r="E246" s="4">
        <v>5522384052</v>
      </c>
      <c r="F246" s="4">
        <f>VLOOKUP(E:E,代理人!E:U,17,0)</f>
        <v>0</v>
      </c>
      <c r="G246" s="4">
        <f>VLOOKUP(E:E,代理人!E:X,20,0)</f>
        <v>0</v>
      </c>
      <c r="H246" s="4">
        <f>VLOOKUP(E:E,代理人!E:Y,21,0)</f>
        <v>0</v>
      </c>
      <c r="I246" s="4"/>
      <c r="J246" s="4">
        <f>_xlfn.IFS(G:G&gt;=3,"20%",OR(G:G=1,G:G=2),"10%",G:G=0,0)</f>
        <v>0</v>
      </c>
    </row>
    <row r="247" spans="1:10">
      <c r="A247" s="4" t="s">
        <v>48</v>
      </c>
      <c r="B247" s="4" t="s">
        <v>49</v>
      </c>
      <c r="C247" s="4" t="s">
        <v>50</v>
      </c>
      <c r="D247" s="4" t="s">
        <v>286</v>
      </c>
      <c r="E247" s="4">
        <v>5508877512</v>
      </c>
      <c r="F247" s="4">
        <f>VLOOKUP(E:E,代理人!E:U,17,0)</f>
        <v>0</v>
      </c>
      <c r="G247" s="4">
        <f>VLOOKUP(E:E,代理人!E:X,20,0)</f>
        <v>0</v>
      </c>
      <c r="H247" s="4">
        <f>VLOOKUP(E:E,代理人!E:Y,21,0)</f>
        <v>0</v>
      </c>
      <c r="I247" s="4"/>
      <c r="J247" s="4">
        <f>_xlfn.IFS(G:G&gt;=3,"20%",OR(G:G=1,G:G=2),"10%",G:G=0,0)</f>
        <v>0</v>
      </c>
    </row>
    <row r="248" spans="1:10">
      <c r="A248" s="4" t="s">
        <v>48</v>
      </c>
      <c r="B248" s="4" t="s">
        <v>49</v>
      </c>
      <c r="C248" s="4" t="s">
        <v>50</v>
      </c>
      <c r="D248" s="4" t="s">
        <v>482</v>
      </c>
      <c r="E248" s="4">
        <v>5508730662</v>
      </c>
      <c r="F248" s="4">
        <f>VLOOKUP(E:E,代理人!E:U,17,0)</f>
        <v>0</v>
      </c>
      <c r="G248" s="4">
        <f>VLOOKUP(E:E,代理人!E:X,20,0)</f>
        <v>0</v>
      </c>
      <c r="H248" s="4">
        <f>VLOOKUP(E:E,代理人!E:Y,21,0)</f>
        <v>0</v>
      </c>
      <c r="I248" s="4"/>
      <c r="J248" s="4">
        <f>_xlfn.IFS(G:G&gt;=3,"20%",OR(G:G=1,G:G=2),"10%",G:G=0,0)</f>
        <v>0</v>
      </c>
    </row>
    <row r="249" spans="1:10">
      <c r="A249" s="4" t="s">
        <v>27</v>
      </c>
      <c r="B249" s="4" t="s">
        <v>37</v>
      </c>
      <c r="C249" s="4" t="s">
        <v>110</v>
      </c>
      <c r="D249" s="4" t="s">
        <v>483</v>
      </c>
      <c r="E249" s="4">
        <v>5503212532</v>
      </c>
      <c r="F249" s="4">
        <f>VLOOKUP(E:E,代理人!E:U,17,0)</f>
        <v>0</v>
      </c>
      <c r="G249" s="4">
        <f>VLOOKUP(E:E,代理人!E:X,20,0)</f>
        <v>0</v>
      </c>
      <c r="H249" s="4">
        <f>VLOOKUP(E:E,代理人!E:Y,21,0)</f>
        <v>0</v>
      </c>
      <c r="I249" s="4"/>
      <c r="J249" s="4">
        <f>_xlfn.IFS(G:G&gt;=3,"20%",OR(G:G=1,G:G=2),"10%",G:G=0,0)</f>
        <v>0</v>
      </c>
    </row>
    <row r="250" spans="1:10">
      <c r="A250" s="4" t="s">
        <v>48</v>
      </c>
      <c r="B250" s="4" t="s">
        <v>49</v>
      </c>
      <c r="C250" s="4" t="s">
        <v>50</v>
      </c>
      <c r="D250" s="4" t="s">
        <v>484</v>
      </c>
      <c r="E250" s="4">
        <v>5502582482</v>
      </c>
      <c r="F250" s="4">
        <f>VLOOKUP(E:E,代理人!E:U,17,0)</f>
        <v>0</v>
      </c>
      <c r="G250" s="4">
        <f>VLOOKUP(E:E,代理人!E:X,20,0)</f>
        <v>0</v>
      </c>
      <c r="H250" s="4">
        <f>VLOOKUP(E:E,代理人!E:Y,21,0)</f>
        <v>0</v>
      </c>
      <c r="I250" s="4"/>
      <c r="J250" s="4">
        <f>_xlfn.IFS(G:G&gt;=3,"20%",OR(G:G=1,G:G=2),"10%",G:G=0,0)</f>
        <v>0</v>
      </c>
    </row>
    <row r="251" spans="1:10">
      <c r="A251" s="4" t="s">
        <v>42</v>
      </c>
      <c r="B251" s="4" t="s">
        <v>66</v>
      </c>
      <c r="C251" s="4" t="s">
        <v>343</v>
      </c>
      <c r="D251" s="4" t="s">
        <v>485</v>
      </c>
      <c r="E251" s="4">
        <v>5495685512</v>
      </c>
      <c r="F251" s="4">
        <f>VLOOKUP(E:E,代理人!E:U,17,0)</f>
        <v>0</v>
      </c>
      <c r="G251" s="4">
        <f>VLOOKUP(E:E,代理人!E:X,20,0)</f>
        <v>0</v>
      </c>
      <c r="H251" s="4">
        <f>VLOOKUP(E:E,代理人!E:Y,21,0)</f>
        <v>0</v>
      </c>
      <c r="I251" s="4"/>
      <c r="J251" s="4">
        <f>_xlfn.IFS(G:G&gt;=3,"20%",OR(G:G=1,G:G=2),"10%",G:G=0,0)</f>
        <v>0</v>
      </c>
    </row>
    <row r="252" spans="1:10">
      <c r="A252" s="4" t="s">
        <v>27</v>
      </c>
      <c r="B252" s="4" t="s">
        <v>37</v>
      </c>
      <c r="C252" s="4" t="s">
        <v>226</v>
      </c>
      <c r="D252" s="4" t="s">
        <v>486</v>
      </c>
      <c r="E252" s="4">
        <v>5491410242</v>
      </c>
      <c r="F252" s="4">
        <f>VLOOKUP(E:E,代理人!E:U,17,0)</f>
        <v>0</v>
      </c>
      <c r="G252" s="4">
        <f>VLOOKUP(E:E,代理人!E:X,20,0)</f>
        <v>0</v>
      </c>
      <c r="H252" s="4">
        <f>VLOOKUP(E:E,代理人!E:Y,21,0)</f>
        <v>0</v>
      </c>
      <c r="I252" s="4"/>
      <c r="J252" s="4">
        <f>_xlfn.IFS(G:G&gt;=3,"20%",OR(G:G=1,G:G=2),"10%",G:G=0,0)</f>
        <v>0</v>
      </c>
    </row>
    <row r="253" spans="1:10">
      <c r="A253" s="4" t="s">
        <v>42</v>
      </c>
      <c r="B253" s="4" t="s">
        <v>62</v>
      </c>
      <c r="C253" s="4" t="s">
        <v>108</v>
      </c>
      <c r="D253" s="4" t="s">
        <v>487</v>
      </c>
      <c r="E253" s="4">
        <v>5463341932</v>
      </c>
      <c r="F253" s="4">
        <f>VLOOKUP(E:E,代理人!E:U,17,0)</f>
        <v>0</v>
      </c>
      <c r="G253" s="4">
        <f>VLOOKUP(E:E,代理人!E:X,20,0)</f>
        <v>0</v>
      </c>
      <c r="H253" s="4">
        <f>VLOOKUP(E:E,代理人!E:Y,21,0)</f>
        <v>0</v>
      </c>
      <c r="I253" s="4"/>
      <c r="J253" s="4">
        <f>_xlfn.IFS(G:G&gt;=3,"20%",OR(G:G=1,G:G=2),"10%",G:G=0,0)</f>
        <v>0</v>
      </c>
    </row>
    <row r="254" spans="1:10">
      <c r="A254" s="4" t="s">
        <v>42</v>
      </c>
      <c r="B254" s="4" t="s">
        <v>66</v>
      </c>
      <c r="C254" s="4" t="s">
        <v>343</v>
      </c>
      <c r="D254" s="4" t="s">
        <v>488</v>
      </c>
      <c r="E254" s="4">
        <v>5441713632</v>
      </c>
      <c r="F254" s="4">
        <f>VLOOKUP(E:E,代理人!E:U,17,0)</f>
        <v>0</v>
      </c>
      <c r="G254" s="4">
        <f>VLOOKUP(E:E,代理人!E:X,20,0)</f>
        <v>0</v>
      </c>
      <c r="H254" s="4">
        <f>VLOOKUP(E:E,代理人!E:Y,21,0)</f>
        <v>0</v>
      </c>
      <c r="I254" s="4"/>
      <c r="J254" s="4">
        <f>_xlfn.IFS(G:G&gt;=3,"20%",OR(G:G=1,G:G=2),"10%",G:G=0,0)</f>
        <v>0</v>
      </c>
    </row>
    <row r="255" spans="1:10">
      <c r="A255" s="4" t="s">
        <v>27</v>
      </c>
      <c r="B255" s="4" t="s">
        <v>94</v>
      </c>
      <c r="C255" s="4" t="s">
        <v>95</v>
      </c>
      <c r="D255" s="4" t="s">
        <v>489</v>
      </c>
      <c r="E255" s="4">
        <v>5386683822</v>
      </c>
      <c r="F255" s="4">
        <f>VLOOKUP(E:E,代理人!E:U,17,0)</f>
        <v>0</v>
      </c>
      <c r="G255" s="4">
        <f>VLOOKUP(E:E,代理人!E:X,20,0)</f>
        <v>0</v>
      </c>
      <c r="H255" s="4">
        <f>VLOOKUP(E:E,代理人!E:Y,21,0)</f>
        <v>0</v>
      </c>
      <c r="I255" s="4"/>
      <c r="J255" s="4">
        <f>_xlfn.IFS(G:G&gt;=3,"20%",OR(G:G=1,G:G=2),"10%",G:G=0,0)</f>
        <v>0</v>
      </c>
    </row>
    <row r="256" spans="1:10">
      <c r="A256" s="4" t="s">
        <v>27</v>
      </c>
      <c r="B256" s="4" t="s">
        <v>37</v>
      </c>
      <c r="C256" s="4" t="s">
        <v>226</v>
      </c>
      <c r="D256" s="4" t="s">
        <v>227</v>
      </c>
      <c r="E256" s="4">
        <v>5323989142</v>
      </c>
      <c r="F256" s="4">
        <f>VLOOKUP(E:E,代理人!E:U,17,0)</f>
        <v>0</v>
      </c>
      <c r="G256" s="4">
        <f>VLOOKUP(E:E,代理人!E:X,20,0)</f>
        <v>0</v>
      </c>
      <c r="H256" s="4">
        <f>VLOOKUP(E:E,代理人!E:Y,21,0)</f>
        <v>0</v>
      </c>
      <c r="I256" s="4"/>
      <c r="J256" s="4">
        <f>_xlfn.IFS(G:G&gt;=3,"20%",OR(G:G=1,G:G=2),"10%",G:G=0,0)</f>
        <v>0</v>
      </c>
    </row>
    <row r="257" spans="1:10">
      <c r="A257" s="4" t="s">
        <v>27</v>
      </c>
      <c r="B257" s="4" t="s">
        <v>94</v>
      </c>
      <c r="C257" s="4" t="s">
        <v>95</v>
      </c>
      <c r="D257" s="4" t="s">
        <v>490</v>
      </c>
      <c r="E257" s="4">
        <v>5313504072</v>
      </c>
      <c r="F257" s="4">
        <f>VLOOKUP(E:E,代理人!E:U,17,0)</f>
        <v>0</v>
      </c>
      <c r="G257" s="4">
        <f>VLOOKUP(E:E,代理人!E:X,20,0)</f>
        <v>0</v>
      </c>
      <c r="H257" s="4">
        <f>VLOOKUP(E:E,代理人!E:Y,21,0)</f>
        <v>0</v>
      </c>
      <c r="I257" s="4"/>
      <c r="J257" s="4">
        <f>_xlfn.IFS(G:G&gt;=3,"20%",OR(G:G=1,G:G=2),"10%",G:G=0,0)</f>
        <v>0</v>
      </c>
    </row>
    <row r="258" spans="1:10">
      <c r="A258" s="4" t="s">
        <v>48</v>
      </c>
      <c r="B258" s="4" t="s">
        <v>49</v>
      </c>
      <c r="C258" s="4" t="s">
        <v>50</v>
      </c>
      <c r="D258" s="4" t="s">
        <v>491</v>
      </c>
      <c r="E258" s="4">
        <v>5291541292</v>
      </c>
      <c r="F258" s="4">
        <f>VLOOKUP(E:E,代理人!E:U,17,0)</f>
        <v>0</v>
      </c>
      <c r="G258" s="4">
        <f>VLOOKUP(E:E,代理人!E:X,20,0)</f>
        <v>0</v>
      </c>
      <c r="H258" s="4">
        <f>VLOOKUP(E:E,代理人!E:Y,21,0)</f>
        <v>0</v>
      </c>
      <c r="I258" s="4"/>
      <c r="J258" s="4">
        <f>_xlfn.IFS(G:G&gt;=3,"20%",OR(G:G=1,G:G=2),"10%",G:G=0,0)</f>
        <v>0</v>
      </c>
    </row>
    <row r="259" spans="1:10">
      <c r="A259" s="4" t="s">
        <v>27</v>
      </c>
      <c r="B259" s="4" t="s">
        <v>94</v>
      </c>
      <c r="C259" s="4" t="s">
        <v>95</v>
      </c>
      <c r="D259" s="4" t="s">
        <v>492</v>
      </c>
      <c r="E259" s="4">
        <v>5250370712</v>
      </c>
      <c r="F259" s="4">
        <f>VLOOKUP(E:E,代理人!E:U,17,0)</f>
        <v>0</v>
      </c>
      <c r="G259" s="4">
        <f>VLOOKUP(E:E,代理人!E:X,20,0)</f>
        <v>0</v>
      </c>
      <c r="H259" s="4">
        <f>VLOOKUP(E:E,代理人!E:Y,21,0)</f>
        <v>0</v>
      </c>
      <c r="I259" s="4"/>
      <c r="J259" s="4">
        <f>_xlfn.IFS(G:G&gt;=3,"20%",OR(G:G=1,G:G=2),"10%",G:G=0,0)</f>
        <v>0</v>
      </c>
    </row>
    <row r="260" spans="1:10">
      <c r="A260" s="4" t="s">
        <v>42</v>
      </c>
      <c r="B260" s="4" t="s">
        <v>62</v>
      </c>
      <c r="C260" s="4" t="s">
        <v>108</v>
      </c>
      <c r="D260" s="4" t="s">
        <v>223</v>
      </c>
      <c r="E260" s="4">
        <v>5228523972</v>
      </c>
      <c r="F260" s="4">
        <f>VLOOKUP(E:E,代理人!E:U,17,0)</f>
        <v>0</v>
      </c>
      <c r="G260" s="4">
        <f>VLOOKUP(E:E,代理人!E:X,20,0)</f>
        <v>0</v>
      </c>
      <c r="H260" s="4">
        <f>VLOOKUP(E:E,代理人!E:Y,21,0)</f>
        <v>0</v>
      </c>
      <c r="I260" s="4"/>
      <c r="J260" s="4">
        <f>_xlfn.IFS(G:G&gt;=3,"20%",OR(G:G=1,G:G=2),"10%",G:G=0,0)</f>
        <v>0</v>
      </c>
    </row>
    <row r="261" spans="1:10">
      <c r="A261" s="4" t="s">
        <v>42</v>
      </c>
      <c r="B261" s="4" t="s">
        <v>62</v>
      </c>
      <c r="C261" s="4" t="s">
        <v>86</v>
      </c>
      <c r="D261" s="4" t="s">
        <v>493</v>
      </c>
      <c r="E261" s="4">
        <v>5227952842</v>
      </c>
      <c r="F261" s="4">
        <f>VLOOKUP(E:E,代理人!E:U,17,0)</f>
        <v>0</v>
      </c>
      <c r="G261" s="4">
        <f>VLOOKUP(E:E,代理人!E:X,20,0)</f>
        <v>0</v>
      </c>
      <c r="H261" s="4">
        <f>VLOOKUP(E:E,代理人!E:Y,21,0)</f>
        <v>0</v>
      </c>
      <c r="I261" s="4"/>
      <c r="J261" s="4">
        <f>_xlfn.IFS(G:G&gt;=3,"20%",OR(G:G=1,G:G=2),"10%",G:G=0,0)</f>
        <v>0</v>
      </c>
    </row>
    <row r="262" spans="1:10">
      <c r="A262" s="4" t="s">
        <v>42</v>
      </c>
      <c r="B262" s="4" t="s">
        <v>66</v>
      </c>
      <c r="C262" s="4" t="s">
        <v>343</v>
      </c>
      <c r="D262" s="4" t="s">
        <v>494</v>
      </c>
      <c r="E262" s="4">
        <v>5225001092</v>
      </c>
      <c r="F262" s="4">
        <f>VLOOKUP(E:E,代理人!E:U,17,0)</f>
        <v>0</v>
      </c>
      <c r="G262" s="4">
        <f>VLOOKUP(E:E,代理人!E:X,20,0)</f>
        <v>0</v>
      </c>
      <c r="H262" s="4">
        <f>VLOOKUP(E:E,代理人!E:Y,21,0)</f>
        <v>0</v>
      </c>
      <c r="I262" s="4"/>
      <c r="J262" s="4">
        <f>_xlfn.IFS(G:G&gt;=3,"20%",OR(G:G=1,G:G=2),"10%",G:G=0,0)</f>
        <v>0</v>
      </c>
    </row>
    <row r="263" spans="1:10">
      <c r="A263" s="4" t="s">
        <v>48</v>
      </c>
      <c r="B263" s="4" t="s">
        <v>49</v>
      </c>
      <c r="C263" s="4" t="s">
        <v>50</v>
      </c>
      <c r="D263" s="4" t="s">
        <v>51</v>
      </c>
      <c r="E263" s="4">
        <v>5212998502</v>
      </c>
      <c r="F263" s="4">
        <f>VLOOKUP(E:E,代理人!E:U,17,0)</f>
        <v>9.1</v>
      </c>
      <c r="G263" s="4">
        <f>VLOOKUP(E:E,代理人!E:X,20,0)</f>
        <v>0</v>
      </c>
      <c r="H263" s="4">
        <f>VLOOKUP(E:E,代理人!E:Y,21,0)</f>
        <v>0</v>
      </c>
      <c r="I263" s="4"/>
      <c r="J263" s="4">
        <f>_xlfn.IFS(G:G&gt;=3,"20%",OR(G:G=1,G:G=2),"10%",G:G=0,0)</f>
        <v>0</v>
      </c>
    </row>
    <row r="264" spans="1:10">
      <c r="A264" s="4" t="s">
        <v>48</v>
      </c>
      <c r="B264" s="4" t="s">
        <v>49</v>
      </c>
      <c r="C264" s="4" t="s">
        <v>82</v>
      </c>
      <c r="D264" s="4" t="s">
        <v>219</v>
      </c>
      <c r="E264" s="4">
        <v>5159113652</v>
      </c>
      <c r="F264" s="4">
        <f>VLOOKUP(E:E,代理人!E:U,17,0)</f>
        <v>0</v>
      </c>
      <c r="G264" s="4">
        <f>VLOOKUP(E:E,代理人!E:X,20,0)</f>
        <v>0</v>
      </c>
      <c r="H264" s="4">
        <f>VLOOKUP(E:E,代理人!E:Y,21,0)</f>
        <v>0</v>
      </c>
      <c r="I264" s="4"/>
      <c r="J264" s="4">
        <f>_xlfn.IFS(G:G&gt;=3,"20%",OR(G:G=1,G:G=2),"10%",G:G=0,0)</f>
        <v>0</v>
      </c>
    </row>
    <row r="265" spans="1:10">
      <c r="A265" s="4" t="s">
        <v>27</v>
      </c>
      <c r="B265" s="4" t="s">
        <v>94</v>
      </c>
      <c r="C265" s="4" t="s">
        <v>95</v>
      </c>
      <c r="D265" s="4" t="s">
        <v>495</v>
      </c>
      <c r="E265" s="4">
        <v>5154900972</v>
      </c>
      <c r="F265" s="4">
        <f>VLOOKUP(E:E,代理人!E:U,17,0)</f>
        <v>0</v>
      </c>
      <c r="G265" s="4">
        <f>VLOOKUP(E:E,代理人!E:X,20,0)</f>
        <v>0</v>
      </c>
      <c r="H265" s="4">
        <f>VLOOKUP(E:E,代理人!E:Y,21,0)</f>
        <v>0</v>
      </c>
      <c r="I265" s="4"/>
      <c r="J265" s="4">
        <f>_xlfn.IFS(G:G&gt;=3,"20%",OR(G:G=1,G:G=2),"10%",G:G=0,0)</f>
        <v>0</v>
      </c>
    </row>
    <row r="266" spans="1:10">
      <c r="A266" s="4" t="s">
        <v>27</v>
      </c>
      <c r="B266" s="4" t="s">
        <v>94</v>
      </c>
      <c r="C266" s="4" t="s">
        <v>95</v>
      </c>
      <c r="D266" s="4" t="s">
        <v>496</v>
      </c>
      <c r="E266" s="4">
        <v>5153091482</v>
      </c>
      <c r="F266" s="4">
        <f>VLOOKUP(E:E,代理人!E:U,17,0)</f>
        <v>0</v>
      </c>
      <c r="G266" s="4">
        <f>VLOOKUP(E:E,代理人!E:X,20,0)</f>
        <v>0</v>
      </c>
      <c r="H266" s="4">
        <f>VLOOKUP(E:E,代理人!E:Y,21,0)</f>
        <v>0</v>
      </c>
      <c r="I266" s="4"/>
      <c r="J266" s="4">
        <f>_xlfn.IFS(G:G&gt;=3,"20%",OR(G:G=1,G:G=2),"10%",G:G=0,0)</f>
        <v>0</v>
      </c>
    </row>
    <row r="267" spans="1:10">
      <c r="A267" s="4" t="s">
        <v>27</v>
      </c>
      <c r="B267" s="4" t="s">
        <v>94</v>
      </c>
      <c r="C267" s="4" t="s">
        <v>95</v>
      </c>
      <c r="D267" s="4" t="s">
        <v>497</v>
      </c>
      <c r="E267" s="4">
        <v>5147890662</v>
      </c>
      <c r="F267" s="4">
        <f>VLOOKUP(E:E,代理人!E:U,17,0)</f>
        <v>0</v>
      </c>
      <c r="G267" s="4">
        <f>VLOOKUP(E:E,代理人!E:X,20,0)</f>
        <v>0</v>
      </c>
      <c r="H267" s="4">
        <f>VLOOKUP(E:E,代理人!E:Y,21,0)</f>
        <v>0</v>
      </c>
      <c r="I267" s="4"/>
      <c r="J267" s="4">
        <f>_xlfn.IFS(G:G&gt;=3,"20%",OR(G:G=1,G:G=2),"10%",G:G=0,0)</f>
        <v>0</v>
      </c>
    </row>
    <row r="268" spans="1:10">
      <c r="A268" s="4" t="s">
        <v>42</v>
      </c>
      <c r="B268" s="4" t="s">
        <v>66</v>
      </c>
      <c r="C268" s="4" t="s">
        <v>343</v>
      </c>
      <c r="D268" s="4" t="s">
        <v>498</v>
      </c>
      <c r="E268" s="4">
        <v>5118165112</v>
      </c>
      <c r="F268" s="4">
        <f>VLOOKUP(E:E,代理人!E:U,17,0)</f>
        <v>0</v>
      </c>
      <c r="G268" s="4">
        <f>VLOOKUP(E:E,代理人!E:X,20,0)</f>
        <v>0</v>
      </c>
      <c r="H268" s="4">
        <f>VLOOKUP(E:E,代理人!E:Y,21,0)</f>
        <v>0</v>
      </c>
      <c r="I268" s="4"/>
      <c r="J268" s="4">
        <f>_xlfn.IFS(G:G&gt;=3,"20%",OR(G:G=1,G:G=2),"10%",G:G=0,0)</f>
        <v>0</v>
      </c>
    </row>
    <row r="269" spans="1:10">
      <c r="A269" s="4" t="s">
        <v>42</v>
      </c>
      <c r="B269" s="4" t="s">
        <v>66</v>
      </c>
      <c r="C269" s="4" t="s">
        <v>343</v>
      </c>
      <c r="D269" s="4" t="s">
        <v>499</v>
      </c>
      <c r="E269" s="4">
        <v>5118158812</v>
      </c>
      <c r="F269" s="4">
        <f>VLOOKUP(E:E,代理人!E:U,17,0)</f>
        <v>0</v>
      </c>
      <c r="G269" s="4">
        <f>VLOOKUP(E:E,代理人!E:X,20,0)</f>
        <v>0</v>
      </c>
      <c r="H269" s="4">
        <f>VLOOKUP(E:E,代理人!E:Y,21,0)</f>
        <v>0</v>
      </c>
      <c r="I269" s="4"/>
      <c r="J269" s="4">
        <f>_xlfn.IFS(G:G&gt;=3,"20%",OR(G:G=1,G:G=2),"10%",G:G=0,0)</f>
        <v>0</v>
      </c>
    </row>
    <row r="270" spans="1:10">
      <c r="A270" s="4" t="s">
        <v>27</v>
      </c>
      <c r="B270" s="4" t="s">
        <v>94</v>
      </c>
      <c r="C270" s="4" t="s">
        <v>95</v>
      </c>
      <c r="D270" s="4" t="s">
        <v>500</v>
      </c>
      <c r="E270" s="4">
        <v>5060890732</v>
      </c>
      <c r="F270" s="4">
        <f>VLOOKUP(E:E,代理人!E:U,17,0)</f>
        <v>0</v>
      </c>
      <c r="G270" s="4">
        <f>VLOOKUP(E:E,代理人!E:X,20,0)</f>
        <v>0</v>
      </c>
      <c r="H270" s="4">
        <f>VLOOKUP(E:E,代理人!E:Y,21,0)</f>
        <v>0</v>
      </c>
      <c r="I270" s="4"/>
      <c r="J270" s="4">
        <f>_xlfn.IFS(G:G&gt;=3,"20%",OR(G:G=1,G:G=2),"10%",G:G=0,0)</f>
        <v>0</v>
      </c>
    </row>
    <row r="271" spans="1:10">
      <c r="A271" s="4" t="s">
        <v>42</v>
      </c>
      <c r="B271" s="4" t="s">
        <v>43</v>
      </c>
      <c r="C271" s="4" t="s">
        <v>77</v>
      </c>
      <c r="D271" s="4" t="s">
        <v>501</v>
      </c>
      <c r="E271" s="4">
        <v>5037225432</v>
      </c>
      <c r="F271" s="4">
        <f>VLOOKUP(E:E,代理人!E:U,17,0)</f>
        <v>0</v>
      </c>
      <c r="G271" s="4">
        <f>VLOOKUP(E:E,代理人!E:X,20,0)</f>
        <v>0</v>
      </c>
      <c r="H271" s="4">
        <f>VLOOKUP(E:E,代理人!E:Y,21,0)</f>
        <v>0</v>
      </c>
      <c r="I271" s="4"/>
      <c r="J271" s="4">
        <f>_xlfn.IFS(G:G&gt;=3,"20%",OR(G:G=1,G:G=2),"10%",G:G=0,0)</f>
        <v>0</v>
      </c>
    </row>
    <row r="272" spans="1:10">
      <c r="A272" s="4" t="s">
        <v>27</v>
      </c>
      <c r="B272" s="4" t="s">
        <v>94</v>
      </c>
      <c r="C272" s="4" t="s">
        <v>95</v>
      </c>
      <c r="D272" s="4" t="s">
        <v>502</v>
      </c>
      <c r="E272" s="4">
        <v>865718112</v>
      </c>
      <c r="F272" s="4">
        <f>VLOOKUP(E:E,代理人!E:U,17,0)</f>
        <v>0</v>
      </c>
      <c r="G272" s="4">
        <f>VLOOKUP(E:E,代理人!E:X,20,0)</f>
        <v>0</v>
      </c>
      <c r="H272" s="4">
        <f>VLOOKUP(E:E,代理人!E:Y,21,0)</f>
        <v>0</v>
      </c>
      <c r="I272" s="4"/>
      <c r="J272" s="4">
        <f>_xlfn.IFS(G:G&gt;=3,"20%",OR(G:G=1,G:G=2),"10%",G:G=0,0)</f>
        <v>0</v>
      </c>
    </row>
    <row r="273" spans="1:10">
      <c r="A273" s="4" t="s">
        <v>27</v>
      </c>
      <c r="B273" s="4" t="s">
        <v>94</v>
      </c>
      <c r="C273" s="4" t="s">
        <v>95</v>
      </c>
      <c r="D273" s="4" t="s">
        <v>503</v>
      </c>
      <c r="E273" s="4">
        <v>864735132</v>
      </c>
      <c r="F273" s="4">
        <f>VLOOKUP(E:E,代理人!E:U,17,0)</f>
        <v>0</v>
      </c>
      <c r="G273" s="4">
        <f>VLOOKUP(E:E,代理人!E:X,20,0)</f>
        <v>0</v>
      </c>
      <c r="H273" s="4">
        <f>VLOOKUP(E:E,代理人!E:Y,21,0)</f>
        <v>0</v>
      </c>
      <c r="I273" s="4"/>
      <c r="J273" s="4">
        <f>_xlfn.IFS(G:G&gt;=3,"20%",OR(G:G=1,G:G=2),"10%",G:G=0,0)</f>
        <v>0</v>
      </c>
    </row>
    <row r="274" spans="1:10">
      <c r="A274" s="4" t="s">
        <v>27</v>
      </c>
      <c r="B274" s="4" t="s">
        <v>94</v>
      </c>
      <c r="C274" s="4" t="s">
        <v>95</v>
      </c>
      <c r="D274" s="4" t="s">
        <v>504</v>
      </c>
      <c r="E274" s="4">
        <v>846503872</v>
      </c>
      <c r="F274" s="4">
        <f>VLOOKUP(E:E,代理人!E:U,17,0)</f>
        <v>0</v>
      </c>
      <c r="G274" s="4">
        <f>VLOOKUP(E:E,代理人!E:X,20,0)</f>
        <v>0</v>
      </c>
      <c r="H274" s="4">
        <f>VLOOKUP(E:E,代理人!E:Y,21,0)</f>
        <v>0</v>
      </c>
      <c r="I274" s="4"/>
      <c r="J274" s="4">
        <f>_xlfn.IFS(G:G&gt;=3,"20%",OR(G:G=1,G:G=2),"10%",G:G=0,0)</f>
        <v>0</v>
      </c>
    </row>
    <row r="275" spans="1:10">
      <c r="A275" s="4" t="s">
        <v>42</v>
      </c>
      <c r="B275" s="4" t="s">
        <v>62</v>
      </c>
      <c r="C275" s="4" t="s">
        <v>228</v>
      </c>
      <c r="D275" s="4" t="s">
        <v>229</v>
      </c>
      <c r="E275" s="4">
        <v>786071202</v>
      </c>
      <c r="F275" s="4">
        <f>VLOOKUP(E:E,代理人!E:U,17,0)</f>
        <v>0</v>
      </c>
      <c r="G275" s="4">
        <f>VLOOKUP(E:E,代理人!E:X,20,0)</f>
        <v>0</v>
      </c>
      <c r="H275" s="4">
        <f>VLOOKUP(E:E,代理人!E:Y,21,0)</f>
        <v>0</v>
      </c>
      <c r="I275" s="4"/>
      <c r="J275" s="4">
        <f>_xlfn.IFS(G:G&gt;=3,"20%",OR(G:G=1,G:G=2),"10%",G:G=0,0)</f>
        <v>0</v>
      </c>
    </row>
    <row r="276" spans="1:10">
      <c r="A276" s="4" t="s">
        <v>42</v>
      </c>
      <c r="B276" s="4" t="s">
        <v>62</v>
      </c>
      <c r="C276" s="4" t="s">
        <v>86</v>
      </c>
      <c r="D276" s="4" t="s">
        <v>505</v>
      </c>
      <c r="E276" s="4">
        <v>780704102</v>
      </c>
      <c r="F276" s="4">
        <f>VLOOKUP(E:E,代理人!E:U,17,0)</f>
        <v>0</v>
      </c>
      <c r="G276" s="4">
        <f>VLOOKUP(E:E,代理人!E:X,20,0)</f>
        <v>0</v>
      </c>
      <c r="H276" s="4">
        <f>VLOOKUP(E:E,代理人!E:Y,21,0)</f>
        <v>0</v>
      </c>
      <c r="I276" s="4"/>
      <c r="J276" s="4">
        <f>_xlfn.IFS(G:G&gt;=3,"20%",OR(G:G=1,G:G=2),"10%",G:G=0,0)</f>
        <v>0</v>
      </c>
    </row>
    <row r="277" spans="1:10">
      <c r="A277" s="4" t="s">
        <v>42</v>
      </c>
      <c r="B277" s="4" t="s">
        <v>62</v>
      </c>
      <c r="C277" s="4" t="s">
        <v>86</v>
      </c>
      <c r="D277" s="4" t="s">
        <v>506</v>
      </c>
      <c r="E277" s="4">
        <v>756981112</v>
      </c>
      <c r="F277" s="4">
        <f>VLOOKUP(E:E,代理人!E:U,17,0)</f>
        <v>0</v>
      </c>
      <c r="G277" s="4">
        <f>VLOOKUP(E:E,代理人!E:X,20,0)</f>
        <v>0</v>
      </c>
      <c r="H277" s="4">
        <f>VLOOKUP(E:E,代理人!E:Y,21,0)</f>
        <v>0</v>
      </c>
      <c r="I277" s="4"/>
      <c r="J277" s="4">
        <f>_xlfn.IFS(G:G&gt;=3,"20%",OR(G:G=1,G:G=2),"10%",G:G=0,0)</f>
        <v>0</v>
      </c>
    </row>
    <row r="278" spans="1:10">
      <c r="A278" s="4" t="s">
        <v>42</v>
      </c>
      <c r="B278" s="4" t="s">
        <v>62</v>
      </c>
      <c r="C278" s="4" t="s">
        <v>86</v>
      </c>
      <c r="D278" s="4" t="s">
        <v>507</v>
      </c>
      <c r="E278" s="4">
        <v>733743122</v>
      </c>
      <c r="F278" s="4">
        <f>VLOOKUP(E:E,代理人!E:U,17,0)</f>
        <v>0</v>
      </c>
      <c r="G278" s="4">
        <f>VLOOKUP(E:E,代理人!E:X,20,0)</f>
        <v>0</v>
      </c>
      <c r="H278" s="4">
        <f>VLOOKUP(E:E,代理人!E:Y,21,0)</f>
        <v>0</v>
      </c>
      <c r="I278" s="4"/>
      <c r="J278" s="4">
        <f>_xlfn.IFS(G:G&gt;=3,"20%",OR(G:G=1,G:G=2),"10%",G:G=0,0)</f>
        <v>0</v>
      </c>
    </row>
    <row r="279" spans="1:10">
      <c r="A279" s="4" t="s">
        <v>42</v>
      </c>
      <c r="B279" s="4" t="s">
        <v>62</v>
      </c>
      <c r="C279" s="4" t="s">
        <v>86</v>
      </c>
      <c r="D279" s="4" t="s">
        <v>508</v>
      </c>
      <c r="E279" s="4">
        <v>733052812</v>
      </c>
      <c r="F279" s="4">
        <f>VLOOKUP(E:E,代理人!E:U,17,0)</f>
        <v>0</v>
      </c>
      <c r="G279" s="4">
        <f>VLOOKUP(E:E,代理人!E:X,20,0)</f>
        <v>0</v>
      </c>
      <c r="H279" s="4">
        <f>VLOOKUP(E:E,代理人!E:Y,21,0)</f>
        <v>0</v>
      </c>
      <c r="I279" s="4"/>
      <c r="J279" s="4">
        <f>_xlfn.IFS(G:G&gt;=3,"20%",OR(G:G=1,G:G=2),"10%",G:G=0,0)</f>
        <v>0</v>
      </c>
    </row>
    <row r="280" spans="1:10">
      <c r="A280" s="4" t="s">
        <v>27</v>
      </c>
      <c r="B280" s="4" t="s">
        <v>37</v>
      </c>
      <c r="C280" s="4" t="s">
        <v>38</v>
      </c>
      <c r="D280" s="4" t="s">
        <v>509</v>
      </c>
      <c r="E280" s="4">
        <v>695577042</v>
      </c>
      <c r="F280" s="4">
        <f>VLOOKUP(E:E,代理人!E:U,17,0)</f>
        <v>0</v>
      </c>
      <c r="G280" s="4">
        <f>VLOOKUP(E:E,代理人!E:X,20,0)</f>
        <v>0</v>
      </c>
      <c r="H280" s="4">
        <f>VLOOKUP(E:E,代理人!E:Y,21,0)</f>
        <v>0</v>
      </c>
      <c r="I280" s="4"/>
      <c r="J280" s="4">
        <f>_xlfn.IFS(G:G&gt;=3,"20%",OR(G:G=1,G:G=2),"10%",G:G=0,0)</f>
        <v>0</v>
      </c>
    </row>
    <row r="281" spans="1:10">
      <c r="A281" s="4" t="s">
        <v>42</v>
      </c>
      <c r="B281" s="4" t="s">
        <v>66</v>
      </c>
      <c r="C281" s="4" t="s">
        <v>343</v>
      </c>
      <c r="D281" s="4" t="s">
        <v>510</v>
      </c>
      <c r="E281" s="4">
        <v>628868672</v>
      </c>
      <c r="F281" s="4">
        <f>VLOOKUP(E:E,代理人!E:U,17,0)</f>
        <v>0</v>
      </c>
      <c r="G281" s="4">
        <f>VLOOKUP(E:E,代理人!E:X,20,0)</f>
        <v>0</v>
      </c>
      <c r="H281" s="4">
        <f>VLOOKUP(E:E,代理人!E:Y,21,0)</f>
        <v>0</v>
      </c>
      <c r="I281" s="4"/>
      <c r="J281" s="4">
        <f>_xlfn.IFS(G:G&gt;=3,"20%",OR(G:G=1,G:G=2),"10%",G:G=0,0)</f>
        <v>0</v>
      </c>
    </row>
    <row r="282" spans="1:10">
      <c r="A282" s="4" t="s">
        <v>42</v>
      </c>
      <c r="B282" s="4" t="s">
        <v>62</v>
      </c>
      <c r="C282" s="4" t="s">
        <v>86</v>
      </c>
      <c r="D282" s="4" t="s">
        <v>511</v>
      </c>
      <c r="E282" s="4">
        <v>623618392</v>
      </c>
      <c r="F282" s="4">
        <f>VLOOKUP(E:E,代理人!E:U,17,0)</f>
        <v>0</v>
      </c>
      <c r="G282" s="4">
        <f>VLOOKUP(E:E,代理人!E:X,20,0)</f>
        <v>0</v>
      </c>
      <c r="H282" s="4">
        <f>VLOOKUP(E:E,代理人!E:Y,21,0)</f>
        <v>0</v>
      </c>
      <c r="I282" s="4"/>
      <c r="J282" s="4">
        <f>_xlfn.IFS(G:G&gt;=3,"20%",OR(G:G=1,G:G=2),"10%",G:G=0,0)</f>
        <v>0</v>
      </c>
    </row>
    <row r="283" spans="1:10">
      <c r="A283" s="4" t="s">
        <v>42</v>
      </c>
      <c r="B283" s="4" t="s">
        <v>66</v>
      </c>
      <c r="C283" s="4" t="s">
        <v>67</v>
      </c>
      <c r="D283" s="4" t="s">
        <v>512</v>
      </c>
      <c r="E283" s="4">
        <v>604820212</v>
      </c>
      <c r="F283" s="4">
        <f>VLOOKUP(E:E,代理人!E:U,17,0)</f>
        <v>0</v>
      </c>
      <c r="G283" s="4">
        <f>VLOOKUP(E:E,代理人!E:X,20,0)</f>
        <v>0</v>
      </c>
      <c r="H283" s="4">
        <f>VLOOKUP(E:E,代理人!E:Y,21,0)</f>
        <v>0</v>
      </c>
      <c r="I283" s="4"/>
      <c r="J283" s="4">
        <f>_xlfn.IFS(G:G&gt;=3,"20%",OR(G:G=1,G:G=2),"10%",G:G=0,0)</f>
        <v>0</v>
      </c>
    </row>
    <row r="284" spans="1:10">
      <c r="A284" s="4" t="s">
        <v>48</v>
      </c>
      <c r="B284" s="4" t="s">
        <v>49</v>
      </c>
      <c r="C284" s="4" t="s">
        <v>50</v>
      </c>
      <c r="D284" s="4" t="s">
        <v>513</v>
      </c>
      <c r="E284" s="4">
        <v>601246562</v>
      </c>
      <c r="F284" s="4">
        <f>VLOOKUP(E:E,代理人!E:U,17,0)</f>
        <v>0</v>
      </c>
      <c r="G284" s="4">
        <f>VLOOKUP(E:E,代理人!E:X,20,0)</f>
        <v>0</v>
      </c>
      <c r="H284" s="4">
        <f>VLOOKUP(E:E,代理人!E:Y,21,0)</f>
        <v>0</v>
      </c>
      <c r="I284" s="4"/>
      <c r="J284" s="4">
        <f>_xlfn.IFS(G:G&gt;=3,"20%",OR(G:G=1,G:G=2),"10%",G:G=0,0)</f>
        <v>0</v>
      </c>
    </row>
    <row r="285" spans="1:10">
      <c r="A285" s="4" t="s">
        <v>42</v>
      </c>
      <c r="B285" s="4" t="s">
        <v>62</v>
      </c>
      <c r="C285" s="4" t="s">
        <v>86</v>
      </c>
      <c r="D285" s="4" t="s">
        <v>514</v>
      </c>
      <c r="E285" s="4">
        <v>591227232</v>
      </c>
      <c r="F285" s="4">
        <f>VLOOKUP(E:E,代理人!E:U,17,0)</f>
        <v>0</v>
      </c>
      <c r="G285" s="4">
        <f>VLOOKUP(E:E,代理人!E:X,20,0)</f>
        <v>0</v>
      </c>
      <c r="H285" s="4">
        <f>VLOOKUP(E:E,代理人!E:Y,21,0)</f>
        <v>0</v>
      </c>
      <c r="I285" s="4"/>
      <c r="J285" s="4">
        <f>_xlfn.IFS(G:G&gt;=3,"20%",OR(G:G=1,G:G=2),"10%",G:G=0,0)</f>
        <v>0</v>
      </c>
    </row>
    <row r="286" spans="1:10">
      <c r="A286" s="4" t="s">
        <v>27</v>
      </c>
      <c r="B286" s="4" t="s">
        <v>28</v>
      </c>
      <c r="C286" s="4" t="s">
        <v>29</v>
      </c>
      <c r="D286" s="4" t="s">
        <v>30</v>
      </c>
      <c r="E286" s="4">
        <v>588442562</v>
      </c>
      <c r="F286" s="4">
        <f>VLOOKUP(E:E,代理人!E:U,17,0)</f>
        <v>0</v>
      </c>
      <c r="G286" s="4">
        <f>VLOOKUP(E:E,代理人!E:X,20,0)</f>
        <v>1</v>
      </c>
      <c r="H286" s="4">
        <f>VLOOKUP(E:E,代理人!E:Y,21,0)</f>
        <v>0</v>
      </c>
      <c r="I286" s="4"/>
      <c r="J286" s="4" t="str">
        <f>_xlfn.IFS(G:G&gt;=3,"20%",OR(G:G=1,G:G=2),"10%",G:G=0,0)</f>
        <v>10%</v>
      </c>
    </row>
    <row r="287" spans="1:10">
      <c r="A287" s="4" t="s">
        <v>27</v>
      </c>
      <c r="B287" s="4" t="s">
        <v>294</v>
      </c>
      <c r="C287" s="4" t="s">
        <v>295</v>
      </c>
      <c r="D287" s="4" t="s">
        <v>515</v>
      </c>
      <c r="E287" s="4">
        <v>553691302</v>
      </c>
      <c r="F287" s="4">
        <f>VLOOKUP(E:E,代理人!E:U,17,0)</f>
        <v>0</v>
      </c>
      <c r="G287" s="4">
        <f>VLOOKUP(E:E,代理人!E:X,20,0)</f>
        <v>0</v>
      </c>
      <c r="H287" s="4">
        <f>VLOOKUP(E:E,代理人!E:Y,21,0)</f>
        <v>0</v>
      </c>
      <c r="I287" s="4"/>
      <c r="J287" s="4">
        <f>_xlfn.IFS(G:G&gt;=3,"20%",OR(G:G=1,G:G=2),"10%",G:G=0,0)</f>
        <v>0</v>
      </c>
    </row>
    <row r="288" spans="1:10">
      <c r="A288" s="4" t="s">
        <v>27</v>
      </c>
      <c r="B288" s="4" t="s">
        <v>37</v>
      </c>
      <c r="C288" s="4" t="s">
        <v>38</v>
      </c>
      <c r="D288" s="4" t="s">
        <v>516</v>
      </c>
      <c r="E288" s="4">
        <v>481828952</v>
      </c>
      <c r="F288" s="4">
        <f>VLOOKUP(E:E,代理人!E:U,17,0)</f>
        <v>0</v>
      </c>
      <c r="G288" s="4">
        <f>VLOOKUP(E:E,代理人!E:X,20,0)</f>
        <v>0</v>
      </c>
      <c r="H288" s="4">
        <f>VLOOKUP(E:E,代理人!E:Y,21,0)</f>
        <v>0</v>
      </c>
      <c r="I288" s="4"/>
      <c r="J288" s="4">
        <f>_xlfn.IFS(G:G&gt;=3,"20%",OR(G:G=1,G:G=2),"10%",G:G=0,0)</f>
        <v>0</v>
      </c>
    </row>
    <row r="289" spans="1:10">
      <c r="A289" s="4" t="s">
        <v>48</v>
      </c>
      <c r="B289" s="4" t="s">
        <v>49</v>
      </c>
      <c r="C289" s="4" t="s">
        <v>50</v>
      </c>
      <c r="D289" s="4" t="s">
        <v>517</v>
      </c>
      <c r="E289" s="4">
        <v>475904142</v>
      </c>
      <c r="F289" s="4">
        <f>VLOOKUP(E:E,代理人!E:U,17,0)</f>
        <v>0</v>
      </c>
      <c r="G289" s="4">
        <f>VLOOKUP(E:E,代理人!E:X,20,0)</f>
        <v>0</v>
      </c>
      <c r="H289" s="4">
        <f>VLOOKUP(E:E,代理人!E:Y,21,0)</f>
        <v>0</v>
      </c>
      <c r="I289" s="4"/>
      <c r="J289" s="4">
        <f>_xlfn.IFS(G:G&gt;=3,"20%",OR(G:G=1,G:G=2),"10%",G:G=0,0)</f>
        <v>0</v>
      </c>
    </row>
    <row r="290" spans="1:10">
      <c r="A290" s="4" t="s">
        <v>42</v>
      </c>
      <c r="B290" s="4" t="s">
        <v>518</v>
      </c>
      <c r="C290" s="4" t="s">
        <v>519</v>
      </c>
      <c r="D290" s="4" t="s">
        <v>520</v>
      </c>
      <c r="E290" s="4">
        <v>456088782</v>
      </c>
      <c r="F290" s="4">
        <f>VLOOKUP(E:E,代理人!E:U,17,0)</f>
        <v>0</v>
      </c>
      <c r="G290" s="4">
        <f>VLOOKUP(E:E,代理人!E:X,20,0)</f>
        <v>0</v>
      </c>
      <c r="H290" s="4">
        <f>VLOOKUP(E:E,代理人!E:Y,21,0)</f>
        <v>0</v>
      </c>
      <c r="I290" s="4"/>
      <c r="J290" s="4">
        <f>_xlfn.IFS(G:G&gt;=3,"20%",OR(G:G=1,G:G=2),"10%",G:G=0,0)</f>
        <v>0</v>
      </c>
    </row>
    <row r="291" spans="1:10">
      <c r="A291" s="4" t="s">
        <v>42</v>
      </c>
      <c r="B291" s="4" t="s">
        <v>43</v>
      </c>
      <c r="C291" s="4" t="s">
        <v>77</v>
      </c>
      <c r="D291" s="4" t="s">
        <v>220</v>
      </c>
      <c r="E291" s="4">
        <v>362775482</v>
      </c>
      <c r="F291" s="4">
        <f>VLOOKUP(E:E,代理人!E:U,17,0)</f>
        <v>0</v>
      </c>
      <c r="G291" s="4">
        <f>VLOOKUP(E:E,代理人!E:X,20,0)</f>
        <v>0</v>
      </c>
      <c r="H291" s="4">
        <f>VLOOKUP(E:E,代理人!E:Y,21,0)</f>
        <v>0</v>
      </c>
      <c r="I291" s="4"/>
      <c r="J291" s="4">
        <f>_xlfn.IFS(G:G&gt;=3,"20%",OR(G:G=1,G:G=2),"10%",G:G=0,0)</f>
        <v>0</v>
      </c>
    </row>
    <row r="292" spans="1:10">
      <c r="A292" s="4" t="s">
        <v>27</v>
      </c>
      <c r="B292" s="4" t="s">
        <v>294</v>
      </c>
      <c r="C292" s="4" t="s">
        <v>295</v>
      </c>
      <c r="D292" s="4" t="s">
        <v>521</v>
      </c>
      <c r="E292" s="4">
        <v>360264092</v>
      </c>
      <c r="F292" s="4">
        <f>VLOOKUP(E:E,代理人!E:U,17,0)</f>
        <v>0</v>
      </c>
      <c r="G292" s="4">
        <f>VLOOKUP(E:E,代理人!E:X,20,0)</f>
        <v>0</v>
      </c>
      <c r="H292" s="4">
        <f>VLOOKUP(E:E,代理人!E:Y,21,0)</f>
        <v>0</v>
      </c>
      <c r="I292" s="4"/>
      <c r="J292" s="4">
        <f>_xlfn.IFS(G:G&gt;=3,"20%",OR(G:G=1,G:G=2),"10%",G:G=0,0)</f>
        <v>0</v>
      </c>
    </row>
    <row r="293" spans="1:10">
      <c r="A293" s="4" t="s">
        <v>27</v>
      </c>
      <c r="B293" s="4" t="s">
        <v>100</v>
      </c>
      <c r="C293" s="4" t="s">
        <v>101</v>
      </c>
      <c r="D293" s="4" t="s">
        <v>221</v>
      </c>
      <c r="E293" s="4">
        <v>283558582</v>
      </c>
      <c r="F293" s="4">
        <f>VLOOKUP(E:E,代理人!E:U,17,0)</f>
        <v>0</v>
      </c>
      <c r="G293" s="4">
        <f>VLOOKUP(E:E,代理人!E:X,20,0)</f>
        <v>0</v>
      </c>
      <c r="H293" s="4">
        <f>VLOOKUP(E:E,代理人!E:Y,21,0)</f>
        <v>0</v>
      </c>
      <c r="I293" s="4"/>
      <c r="J293" s="4">
        <f>_xlfn.IFS(G:G&gt;=3,"20%",OR(G:G=1,G:G=2),"10%",G:G=0,0)</f>
        <v>0</v>
      </c>
    </row>
    <row r="294" spans="1:10">
      <c r="A294" s="4" t="s">
        <v>42</v>
      </c>
      <c r="B294" s="4" t="s">
        <v>518</v>
      </c>
      <c r="C294" s="4" t="s">
        <v>519</v>
      </c>
      <c r="D294" s="4" t="s">
        <v>522</v>
      </c>
      <c r="E294" s="4">
        <v>217723912</v>
      </c>
      <c r="F294" s="4">
        <f>VLOOKUP(E:E,代理人!E:U,17,0)</f>
        <v>0</v>
      </c>
      <c r="G294" s="4">
        <f>VLOOKUP(E:E,代理人!E:X,20,0)</f>
        <v>0</v>
      </c>
      <c r="H294" s="4">
        <f>VLOOKUP(E:E,代理人!E:Y,21,0)</f>
        <v>0</v>
      </c>
      <c r="I294" s="4"/>
      <c r="J294" s="4">
        <f>_xlfn.IFS(G:G&gt;=3,"20%",OR(G:G=1,G:G=2),"10%",G:G=0,0)</f>
        <v>0</v>
      </c>
    </row>
    <row r="295" spans="1:10">
      <c r="A295" s="4" t="s">
        <v>42</v>
      </c>
      <c r="B295" s="4" t="s">
        <v>518</v>
      </c>
      <c r="C295" s="4" t="s">
        <v>519</v>
      </c>
      <c r="D295" s="4" t="s">
        <v>523</v>
      </c>
      <c r="E295" s="4">
        <v>216455102</v>
      </c>
      <c r="F295" s="4">
        <f>VLOOKUP(E:E,代理人!E:U,17,0)</f>
        <v>0</v>
      </c>
      <c r="G295" s="4">
        <f>VLOOKUP(E:E,代理人!E:X,20,0)</f>
        <v>0</v>
      </c>
      <c r="H295" s="4">
        <f>VLOOKUP(E:E,代理人!E:Y,21,0)</f>
        <v>0</v>
      </c>
      <c r="I295" s="4"/>
      <c r="J295" s="4">
        <f>_xlfn.IFS(G:G&gt;=3,"20%",OR(G:G=1,G:G=2),"10%",G:G=0,0)</f>
        <v>0</v>
      </c>
    </row>
    <row r="296" spans="1:10">
      <c r="A296" s="4" t="s">
        <v>42</v>
      </c>
      <c r="B296" s="4" t="s">
        <v>43</v>
      </c>
      <c r="C296" s="4" t="s">
        <v>44</v>
      </c>
      <c r="D296" s="4" t="s">
        <v>524</v>
      </c>
      <c r="E296" s="4">
        <v>164606852</v>
      </c>
      <c r="F296" s="4">
        <f>VLOOKUP(E:E,代理人!E:U,17,0)</f>
        <v>0</v>
      </c>
      <c r="G296" s="4">
        <f>VLOOKUP(E:E,代理人!E:X,20,0)</f>
        <v>0</v>
      </c>
      <c r="H296" s="4">
        <f>VLOOKUP(E:E,代理人!E:Y,21,0)</f>
        <v>0</v>
      </c>
      <c r="I296" s="4"/>
      <c r="J296" s="4">
        <f>_xlfn.IFS(G:G&gt;=3,"20%",OR(G:G=1,G:G=2),"10%",G:G=0,0)</f>
        <v>0</v>
      </c>
    </row>
    <row r="297" spans="1:10">
      <c r="A297" s="4" t="s">
        <v>27</v>
      </c>
      <c r="B297" s="4" t="s">
        <v>94</v>
      </c>
      <c r="C297" s="4" t="s">
        <v>525</v>
      </c>
      <c r="D297" s="4" t="s">
        <v>526</v>
      </c>
      <c r="E297" s="4">
        <v>105176282</v>
      </c>
      <c r="F297" s="4">
        <f>VLOOKUP(E:E,代理人!E:U,17,0)</f>
        <v>0</v>
      </c>
      <c r="G297" s="4">
        <f>VLOOKUP(E:E,代理人!E:X,20,0)</f>
        <v>0</v>
      </c>
      <c r="H297" s="4">
        <f>VLOOKUP(E:E,代理人!E:Y,21,0)</f>
        <v>0</v>
      </c>
      <c r="I297" s="4"/>
      <c r="J297" s="4">
        <f>_xlfn.IFS(G:G&gt;=3,"20%",OR(G:G=1,G:G=2),"10%",G:G=0,0)</f>
        <v>0</v>
      </c>
    </row>
    <row r="298" spans="1:10">
      <c r="A298" s="4" t="s">
        <v>42</v>
      </c>
      <c r="B298" s="4" t="s">
        <v>66</v>
      </c>
      <c r="C298" s="4" t="s">
        <v>343</v>
      </c>
      <c r="D298" s="4" t="s">
        <v>527</v>
      </c>
      <c r="E298" s="4">
        <v>87256542</v>
      </c>
      <c r="F298" s="4">
        <f>VLOOKUP(E:E,代理人!E:U,17,0)</f>
        <v>0</v>
      </c>
      <c r="G298" s="4">
        <f>VLOOKUP(E:E,代理人!E:X,20,0)</f>
        <v>0</v>
      </c>
      <c r="H298" s="4">
        <f>VLOOKUP(E:E,代理人!E:Y,21,0)</f>
        <v>0</v>
      </c>
      <c r="I298" s="4"/>
      <c r="J298" s="4">
        <f>_xlfn.IFS(G:G&gt;=3,"20%",OR(G:G=1,G:G=2),"10%",G:G=0,0)</f>
        <v>0</v>
      </c>
    </row>
    <row r="299" spans="1:10">
      <c r="A299" s="4" t="s">
        <v>42</v>
      </c>
      <c r="B299" s="4" t="s">
        <v>43</v>
      </c>
      <c r="C299" s="4" t="s">
        <v>44</v>
      </c>
      <c r="D299" s="4" t="s">
        <v>528</v>
      </c>
      <c r="E299" s="4">
        <v>86051232</v>
      </c>
      <c r="F299" s="4">
        <f>VLOOKUP(E:E,代理人!E:U,17,0)</f>
        <v>0</v>
      </c>
      <c r="G299" s="4">
        <f>VLOOKUP(E:E,代理人!E:X,20,0)</f>
        <v>0</v>
      </c>
      <c r="H299" s="4">
        <f>VLOOKUP(E:E,代理人!E:Y,21,0)</f>
        <v>0</v>
      </c>
      <c r="I299" s="4"/>
      <c r="J299" s="4">
        <f>_xlfn.IFS(G:G&gt;=3,"20%",OR(G:G=1,G:G=2),"10%",G:G=0,0)</f>
        <v>0</v>
      </c>
    </row>
    <row r="300" spans="1:10">
      <c r="A300" s="4" t="s">
        <v>42</v>
      </c>
      <c r="B300" s="4" t="s">
        <v>66</v>
      </c>
      <c r="C300" s="4" t="s">
        <v>343</v>
      </c>
      <c r="D300" s="4" t="s">
        <v>529</v>
      </c>
      <c r="E300" s="4">
        <v>70685592</v>
      </c>
      <c r="F300" s="4">
        <f>VLOOKUP(E:E,代理人!E:U,17,0)</f>
        <v>0</v>
      </c>
      <c r="G300" s="4">
        <f>VLOOKUP(E:E,代理人!E:X,20,0)</f>
        <v>0</v>
      </c>
      <c r="H300" s="4">
        <f>VLOOKUP(E:E,代理人!E:Y,21,0)</f>
        <v>0</v>
      </c>
      <c r="I300" s="4"/>
      <c r="J300" s="4">
        <f>_xlfn.IFS(G:G&gt;=3,"20%",OR(G:G=1,G:G=2),"10%",G:G=0,0)</f>
        <v>0</v>
      </c>
    </row>
    <row r="301" spans="1:10">
      <c r="A301" s="4" t="s">
        <v>27</v>
      </c>
      <c r="B301" s="4" t="s">
        <v>37</v>
      </c>
      <c r="C301" s="4" t="s">
        <v>38</v>
      </c>
      <c r="D301" s="4" t="s">
        <v>39</v>
      </c>
      <c r="E301" s="4">
        <v>68852502</v>
      </c>
      <c r="F301" s="4">
        <f>VLOOKUP(E:E,代理人!E:U,17,0)</f>
        <v>4.6</v>
      </c>
      <c r="G301" s="4">
        <f>VLOOKUP(E:E,代理人!E:X,20,0)</f>
        <v>0</v>
      </c>
      <c r="H301" s="4">
        <f>VLOOKUP(E:E,代理人!E:Y,21,0)</f>
        <v>0</v>
      </c>
      <c r="I301" s="4"/>
      <c r="J301" s="4">
        <f>_xlfn.IFS(G:G&gt;=3,"20%",OR(G:G=1,G:G=2),"10%",G:G=0,0)</f>
        <v>0</v>
      </c>
    </row>
    <row r="302" spans="1:10">
      <c r="A302" s="4" t="s">
        <v>48</v>
      </c>
      <c r="B302" s="4" t="s">
        <v>49</v>
      </c>
      <c r="C302" s="4" t="s">
        <v>50</v>
      </c>
      <c r="D302" s="4" t="s">
        <v>530</v>
      </c>
      <c r="E302" s="4">
        <v>51173242</v>
      </c>
      <c r="F302" s="4">
        <f>VLOOKUP(E:E,代理人!E:U,17,0)</f>
        <v>0</v>
      </c>
      <c r="G302" s="4">
        <f>VLOOKUP(E:E,代理人!E:X,20,0)</f>
        <v>0</v>
      </c>
      <c r="H302" s="4">
        <f>VLOOKUP(E:E,代理人!E:Y,21,0)</f>
        <v>0</v>
      </c>
      <c r="I302" s="4"/>
      <c r="J302" s="4">
        <f>_xlfn.IFS(G:G&gt;=3,"20%",OR(G:G=1,G:G=2),"10%",G:G=0,0)</f>
        <v>0</v>
      </c>
    </row>
    <row r="303" spans="1:10">
      <c r="A303" s="4" t="s">
        <v>48</v>
      </c>
      <c r="B303" s="4" t="s">
        <v>49</v>
      </c>
      <c r="C303" s="4" t="s">
        <v>50</v>
      </c>
      <c r="D303" s="4" t="s">
        <v>217</v>
      </c>
      <c r="E303" s="4">
        <v>51103872</v>
      </c>
      <c r="F303" s="4">
        <f>VLOOKUP(E:E,代理人!E:U,17,0)</f>
        <v>0</v>
      </c>
      <c r="G303" s="4">
        <f>VLOOKUP(E:E,代理人!E:X,20,0)</f>
        <v>0</v>
      </c>
      <c r="H303" s="4">
        <f>VLOOKUP(E:E,代理人!E:Y,21,0)</f>
        <v>0</v>
      </c>
      <c r="I303" s="4"/>
      <c r="J303" s="4">
        <f>_xlfn.IFS(G:G&gt;=3,"20%",OR(G:G=1,G:G=2),"10%",G:G=0,0)</f>
        <v>0</v>
      </c>
    </row>
    <row r="304" spans="1:10">
      <c r="A304" s="4" t="s">
        <v>48</v>
      </c>
      <c r="B304" s="4" t="s">
        <v>49</v>
      </c>
      <c r="C304" s="4" t="s">
        <v>82</v>
      </c>
      <c r="D304" s="4" t="s">
        <v>90</v>
      </c>
      <c r="E304" s="4">
        <v>6137982332</v>
      </c>
      <c r="F304" s="4">
        <f>VLOOKUP(E:E,代理人!E:U,17,0)</f>
        <v>-45.8</v>
      </c>
      <c r="G304" s="4">
        <f>VLOOKUP(E:E,代理人!E:X,20,0)</f>
        <v>0</v>
      </c>
      <c r="H304" s="4">
        <f>VLOOKUP(E:E,代理人!E:Y,21,0)</f>
        <v>0</v>
      </c>
      <c r="I304" s="4"/>
      <c r="J304" s="4">
        <f>_xlfn.IFS(G:G&gt;=3,"20%",OR(G:G=1,G:G=2),"10%",G:G=0,0)</f>
        <v>0</v>
      </c>
    </row>
    <row r="305" spans="1:10">
      <c r="A305" s="4" t="s">
        <v>48</v>
      </c>
      <c r="B305" s="4" t="s">
        <v>49</v>
      </c>
      <c r="C305" s="4" t="s">
        <v>98</v>
      </c>
      <c r="D305" s="4" t="s">
        <v>99</v>
      </c>
      <c r="E305" s="44">
        <v>6183615882</v>
      </c>
      <c r="F305" s="4">
        <f>VLOOKUP(E:E,代理人!E:U,17,0)</f>
        <v>-128</v>
      </c>
      <c r="G305" s="4">
        <f>VLOOKUP(E:E,代理人!E:X,20,0)</f>
        <v>0</v>
      </c>
      <c r="H305" s="4">
        <f>VLOOKUP(E:E,代理人!E:Y,21,0)</f>
        <v>0</v>
      </c>
      <c r="I305" s="4"/>
      <c r="J305" s="4">
        <f>_xlfn.IFS(G:G&gt;=3,"20%",OR(G:G=1,G:G=2),"10%",G:G=0,0)</f>
        <v>0</v>
      </c>
    </row>
    <row r="306" spans="1:10">
      <c r="A306" s="4" t="s">
        <v>48</v>
      </c>
      <c r="B306" s="4" t="s">
        <v>49</v>
      </c>
      <c r="C306" s="4" t="s">
        <v>50</v>
      </c>
      <c r="D306" s="4" t="s">
        <v>74</v>
      </c>
      <c r="E306" s="44">
        <v>782700762</v>
      </c>
      <c r="F306" s="4">
        <f>VLOOKUP(E:E,代理人!E:U,17,0)</f>
        <v>-153.6</v>
      </c>
      <c r="G306" s="4">
        <f>VLOOKUP(E:E,代理人!E:X,20,0)</f>
        <v>0</v>
      </c>
      <c r="H306" s="4">
        <f>VLOOKUP(E:E,代理人!E:Y,21,0)</f>
        <v>0</v>
      </c>
      <c r="I306" s="4"/>
      <c r="J306" s="4">
        <f>_xlfn.IFS(G:G&gt;=3,"20%",OR(G:G=1,G:G=2),"10%",G:G=0,0)</f>
        <v>0</v>
      </c>
    </row>
    <row r="307" spans="1:10">
      <c r="A307" s="4" t="s">
        <v>27</v>
      </c>
      <c r="B307" s="4" t="s">
        <v>94</v>
      </c>
      <c r="C307" s="4" t="s">
        <v>95</v>
      </c>
      <c r="D307" s="4" t="s">
        <v>96</v>
      </c>
      <c r="E307" s="44">
        <v>480193632</v>
      </c>
      <c r="F307" s="4">
        <f>VLOOKUP(E:E,代理人!E:U,17,0)</f>
        <v>-231.3</v>
      </c>
      <c r="G307" s="4">
        <f>VLOOKUP(E:E,代理人!E:X,20,0)</f>
        <v>0</v>
      </c>
      <c r="H307" s="4">
        <f>VLOOKUP(E:E,代理人!E:Y,21,0)</f>
        <v>0</v>
      </c>
      <c r="I307" s="4"/>
      <c r="J307" s="4">
        <f>_xlfn.IFS(G:G&gt;=3,"20%",OR(G:G=1,G:G=2),"10%",G:G=0,0)</f>
        <v>0</v>
      </c>
    </row>
    <row r="308" spans="1:10">
      <c r="A308" s="4" t="s">
        <v>42</v>
      </c>
      <c r="B308" s="4" t="s">
        <v>62</v>
      </c>
      <c r="C308" s="4" t="s">
        <v>86</v>
      </c>
      <c r="D308" s="4" t="s">
        <v>89</v>
      </c>
      <c r="E308" s="44">
        <v>584648952</v>
      </c>
      <c r="F308" s="4">
        <f>VLOOKUP(E:E,代理人!E:U,17,0)</f>
        <v>-259.3</v>
      </c>
      <c r="G308" s="4">
        <f>VLOOKUP(E:E,代理人!E:X,20,0)</f>
        <v>0</v>
      </c>
      <c r="H308" s="4">
        <f>VLOOKUP(E:E,代理人!E:Y,21,0)</f>
        <v>0</v>
      </c>
      <c r="I308" s="4"/>
      <c r="J308" s="4">
        <f>_xlfn.IFS(G:G&gt;=3,"20%",OR(G:G=1,G:G=2),"10%",G:G=0,0)</f>
        <v>0</v>
      </c>
    </row>
    <row r="309" s="39" customFormat="1" ht="33" customHeight="1" spans="1:10">
      <c r="A309" s="41" t="s">
        <v>538</v>
      </c>
      <c r="B309" s="45" t="str">
        <f>"本部目前"&amp;COUNTIFS(A:A,"淮南本部",J:J,"20%")&amp;"人预收达标20%加佣，"&amp;COUNTIFS(A:A,"淮南本部",J:J,"10%")&amp;"人达标10%加佣，"&amp;COUNTIFS(A:A,"淮南本部",J:J,"0")&amp;"人暂未加佣"</f>
        <v>本部目前0人预收达标20%加佣，7人达标10%加佣，121人暂未加佣</v>
      </c>
      <c r="C309" s="45"/>
      <c r="D309" s="45"/>
      <c r="E309" s="46"/>
      <c r="F309" s="45"/>
      <c r="G309" s="45"/>
      <c r="H309" s="47"/>
      <c r="I309" s="48"/>
      <c r="J309" s="49"/>
    </row>
    <row r="310" s="39" customFormat="1" ht="33" customHeight="1" spans="1:10">
      <c r="A310" s="41" t="s">
        <v>539</v>
      </c>
      <c r="B310" s="45" t="str">
        <f>"凤台目前"&amp;COUNTIFS(A:A,"凤台",J:J,"20%")&amp;"人预收达标20%加佣，"&amp;COUNTIFS(A:A,"凤台",J:J,"10%")&amp;"人达标10%加佣，"&amp;COUNTIFS(A:A,"凤台",J:J,"0")&amp;"人暂未加佣"</f>
        <v>凤台目前0人预收达标20%加佣，2人达标10%加佣，113人暂未加佣</v>
      </c>
      <c r="C310" s="45"/>
      <c r="D310" s="45"/>
      <c r="E310" s="46"/>
      <c r="F310" s="45"/>
      <c r="G310" s="45"/>
      <c r="H310" s="47"/>
      <c r="I310" s="48"/>
      <c r="J310" s="49"/>
    </row>
    <row r="311" s="39" customFormat="1" ht="33" customHeight="1" spans="1:10">
      <c r="A311" s="41" t="s">
        <v>540</v>
      </c>
      <c r="B311" s="45" t="str">
        <f>"谢家集目前"&amp;COUNTIFS(A:A,"谢家集",J:J,"20%")&amp;"人预收达标20%加佣，"&amp;COUNTIFS(A:A,"谢家集",J:J,"10%")&amp;"人达标10%加佣，"&amp;COUNTIFS(A:A,"谢家集",J:J,"0")&amp;"人暂未加佣"</f>
        <v>谢家集目前0人预收达标20%加佣，3人达标10%加佣，56人暂未加佣</v>
      </c>
      <c r="C311" s="45"/>
      <c r="D311" s="45"/>
      <c r="E311" s="46"/>
      <c r="F311" s="45"/>
      <c r="G311" s="45"/>
      <c r="H311" s="47"/>
      <c r="I311" s="48"/>
      <c r="J311" s="49"/>
    </row>
  </sheetData>
  <autoFilter ref="A2:J311">
    <sortState ref="A2:J311">
      <sortCondition ref="F2" descending="1"/>
    </sortState>
    <extLst/>
  </autoFilter>
  <mergeCells count="1">
    <mergeCell ref="A1:J1"/>
  </mergeCells>
  <conditionalFormatting sqref="A3:J308">
    <cfRule type="expression" dxfId="17" priority="1">
      <formula>$J3="10%"</formula>
    </cfRule>
    <cfRule type="expression" dxfId="18" priority="2">
      <formula>$J3="20%"</formula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>
    <tabColor rgb="FFFFFF00"/>
  </sheetPr>
  <dimension ref="A1:G311"/>
  <sheetViews>
    <sheetView workbookViewId="0">
      <selection activeCell="A1" sqref="A1:G311"/>
    </sheetView>
  </sheetViews>
  <sheetFormatPr defaultColWidth="9" defaultRowHeight="15" outlineLevelCol="6"/>
  <cols>
    <col min="1" max="1" width="14.25" style="25" customWidth="1"/>
    <col min="2" max="4" width="19.25" style="25" customWidth="1"/>
    <col min="5" max="5" width="19.25" style="25" hidden="1" customWidth="1"/>
    <col min="6" max="6" width="19.25" style="25" customWidth="1"/>
    <col min="7" max="7" width="19.25" style="26" customWidth="1"/>
    <col min="8" max="16384" width="9" style="26"/>
  </cols>
  <sheetData>
    <row r="1" ht="29.25" spans="1:7">
      <c r="A1" s="34" t="s">
        <v>544</v>
      </c>
      <c r="B1" s="34"/>
      <c r="C1" s="34"/>
      <c r="D1" s="34"/>
      <c r="E1" s="34"/>
      <c r="F1" s="34"/>
      <c r="G1" s="34"/>
    </row>
    <row r="2" ht="29" customHeight="1" spans="1:7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5" t="s">
        <v>250</v>
      </c>
      <c r="G2" s="35" t="s">
        <v>251</v>
      </c>
    </row>
    <row r="3" spans="1:7">
      <c r="A3" s="4" t="s">
        <v>42</v>
      </c>
      <c r="B3" s="4" t="s">
        <v>62</v>
      </c>
      <c r="C3" s="4" t="s">
        <v>63</v>
      </c>
      <c r="D3" s="4" t="s">
        <v>64</v>
      </c>
      <c r="E3" s="4">
        <v>6550500692</v>
      </c>
      <c r="F3" s="4">
        <f>VLOOKUP(E:E,代理人!E:AD,23,FALSE)</f>
        <v>0</v>
      </c>
      <c r="G3" s="4">
        <f>VLOOKUP(E:E,代理人!E:AD,24,FALSE)</f>
        <v>0</v>
      </c>
    </row>
    <row r="4" spans="1:7">
      <c r="A4" s="4" t="s">
        <v>42</v>
      </c>
      <c r="B4" s="4" t="s">
        <v>43</v>
      </c>
      <c r="C4" s="4" t="s">
        <v>70</v>
      </c>
      <c r="D4" s="4" t="s">
        <v>71</v>
      </c>
      <c r="E4" s="4">
        <v>5689072702</v>
      </c>
      <c r="F4" s="4">
        <f>VLOOKUP(E:E,代理人!E:AD,23,FALSE)</f>
        <v>0</v>
      </c>
      <c r="G4" s="4">
        <f>VLOOKUP(E:E,代理人!E:AD,24,FALSE)</f>
        <v>0</v>
      </c>
    </row>
    <row r="5" spans="1:7">
      <c r="A5" s="4" t="s">
        <v>48</v>
      </c>
      <c r="B5" s="4" t="s">
        <v>49</v>
      </c>
      <c r="C5" s="4" t="s">
        <v>50</v>
      </c>
      <c r="D5" s="4" t="s">
        <v>91</v>
      </c>
      <c r="E5" s="4">
        <v>157576102</v>
      </c>
      <c r="F5" s="4">
        <f>VLOOKUP(E:E,代理人!E:AD,23,FALSE)</f>
        <v>0</v>
      </c>
      <c r="G5" s="4">
        <f>VLOOKUP(E:E,代理人!E:AD,24,FALSE)</f>
        <v>0</v>
      </c>
    </row>
    <row r="6" spans="1:7">
      <c r="A6" s="4" t="s">
        <v>27</v>
      </c>
      <c r="B6" s="4" t="s">
        <v>58</v>
      </c>
      <c r="C6" s="4" t="s">
        <v>59</v>
      </c>
      <c r="D6" s="4" t="s">
        <v>60</v>
      </c>
      <c r="E6" s="4">
        <v>51137372</v>
      </c>
      <c r="F6" s="4">
        <f>VLOOKUP(E:E,代理人!E:AD,23,FALSE)</f>
        <v>0</v>
      </c>
      <c r="G6" s="4">
        <f>VLOOKUP(E:E,代理人!E:AD,24,FALSE)</f>
        <v>0</v>
      </c>
    </row>
    <row r="7" spans="1:7">
      <c r="A7" s="4" t="s">
        <v>48</v>
      </c>
      <c r="B7" s="4" t="s">
        <v>49</v>
      </c>
      <c r="C7" s="4" t="s">
        <v>98</v>
      </c>
      <c r="D7" s="4" t="s">
        <v>104</v>
      </c>
      <c r="E7" s="4">
        <v>5449941392</v>
      </c>
      <c r="F7" s="4">
        <f>VLOOKUP(E:E,代理人!E:AD,23,FALSE)</f>
        <v>0</v>
      </c>
      <c r="G7" s="4">
        <f>VLOOKUP(E:E,代理人!E:AD,24,FALSE)</f>
        <v>0</v>
      </c>
    </row>
    <row r="8" spans="1:7">
      <c r="A8" s="4" t="s">
        <v>42</v>
      </c>
      <c r="B8" s="4" t="s">
        <v>62</v>
      </c>
      <c r="C8" s="4" t="s">
        <v>72</v>
      </c>
      <c r="D8" s="4" t="s">
        <v>73</v>
      </c>
      <c r="E8" s="4">
        <v>6487584872</v>
      </c>
      <c r="F8" s="4">
        <f>VLOOKUP(E:E,代理人!E:AD,23,FALSE)</f>
        <v>0</v>
      </c>
      <c r="G8" s="4">
        <f>VLOOKUP(E:E,代理人!E:AD,24,FALSE)</f>
        <v>0</v>
      </c>
    </row>
    <row r="9" spans="1:7">
      <c r="A9" s="4" t="s">
        <v>42</v>
      </c>
      <c r="B9" s="4" t="s">
        <v>66</v>
      </c>
      <c r="C9" s="4" t="s">
        <v>67</v>
      </c>
      <c r="D9" s="4" t="s">
        <v>97</v>
      </c>
      <c r="E9" s="4">
        <v>628297282</v>
      </c>
      <c r="F9" s="4">
        <f>VLOOKUP(E:E,代理人!E:AD,23,FALSE)</f>
        <v>0</v>
      </c>
      <c r="G9" s="4">
        <f>VLOOKUP(E:E,代理人!E:AD,24,FALSE)</f>
        <v>0</v>
      </c>
    </row>
    <row r="10" spans="1:7">
      <c r="A10" s="4" t="s">
        <v>42</v>
      </c>
      <c r="B10" s="4" t="s">
        <v>62</v>
      </c>
      <c r="C10" s="4" t="s">
        <v>86</v>
      </c>
      <c r="D10" s="4" t="s">
        <v>87</v>
      </c>
      <c r="E10" s="4">
        <v>214639732</v>
      </c>
      <c r="F10" s="4">
        <f>VLOOKUP(E:E,代理人!E:AD,23,FALSE)</f>
        <v>0</v>
      </c>
      <c r="G10" s="4">
        <f>VLOOKUP(E:E,代理人!E:AD,24,FALSE)</f>
        <v>0</v>
      </c>
    </row>
    <row r="11" spans="1:7">
      <c r="A11" s="4" t="s">
        <v>48</v>
      </c>
      <c r="B11" s="4" t="s">
        <v>49</v>
      </c>
      <c r="C11" s="4" t="s">
        <v>82</v>
      </c>
      <c r="D11" s="4" t="s">
        <v>83</v>
      </c>
      <c r="E11" s="4">
        <v>6549480842</v>
      </c>
      <c r="F11" s="4">
        <f>VLOOKUP(E:E,代理人!E:AD,23,FALSE)</f>
        <v>0</v>
      </c>
      <c r="G11" s="4">
        <f>VLOOKUP(E:E,代理人!E:AD,24,FALSE)</f>
        <v>0</v>
      </c>
    </row>
    <row r="12" hidden="1" spans="1:7">
      <c r="A12" s="4" t="s">
        <v>42</v>
      </c>
      <c r="B12" s="4" t="s">
        <v>43</v>
      </c>
      <c r="C12" s="4" t="s">
        <v>75</v>
      </c>
      <c r="D12" s="4" t="s">
        <v>76</v>
      </c>
      <c r="E12" s="4">
        <v>5671371552</v>
      </c>
      <c r="F12" s="4">
        <f>VLOOKUP(E:E,代理人!E:AD,23,FALSE)</f>
        <v>0</v>
      </c>
      <c r="G12" s="4">
        <f>VLOOKUP(E:E,代理人!E:AD,24,FALSE)</f>
        <v>0</v>
      </c>
    </row>
    <row r="13" hidden="1" spans="1:7">
      <c r="A13" s="4" t="s">
        <v>27</v>
      </c>
      <c r="B13" s="4" t="s">
        <v>52</v>
      </c>
      <c r="C13" s="4" t="s">
        <v>53</v>
      </c>
      <c r="D13" s="4" t="s">
        <v>54</v>
      </c>
      <c r="E13" s="4">
        <v>531925062</v>
      </c>
      <c r="F13" s="4">
        <f>VLOOKUP(E:E,代理人!E:AD,23,FALSE)</f>
        <v>0</v>
      </c>
      <c r="G13" s="4">
        <f>VLOOKUP(E:E,代理人!E:AD,24,FALSE)</f>
        <v>0</v>
      </c>
    </row>
    <row r="14" hidden="1" spans="1:7">
      <c r="A14" s="4" t="s">
        <v>27</v>
      </c>
      <c r="B14" s="4" t="s">
        <v>100</v>
      </c>
      <c r="C14" s="4" t="s">
        <v>101</v>
      </c>
      <c r="D14" s="4" t="s">
        <v>102</v>
      </c>
      <c r="E14" s="4">
        <v>61598022</v>
      </c>
      <c r="F14" s="4">
        <f>VLOOKUP(E:E,代理人!E:AD,23,FALSE)</f>
        <v>0</v>
      </c>
      <c r="G14" s="4">
        <f>VLOOKUP(E:E,代理人!E:AD,24,FALSE)</f>
        <v>0</v>
      </c>
    </row>
    <row r="15" hidden="1" spans="1:7">
      <c r="A15" s="4" t="s">
        <v>42</v>
      </c>
      <c r="B15" s="4" t="s">
        <v>62</v>
      </c>
      <c r="C15" s="4" t="s">
        <v>92</v>
      </c>
      <c r="D15" s="4" t="s">
        <v>93</v>
      </c>
      <c r="E15" s="4">
        <v>6559818092</v>
      </c>
      <c r="F15" s="4">
        <f>VLOOKUP(E:E,代理人!E:AD,23,FALSE)</f>
        <v>0</v>
      </c>
      <c r="G15" s="4">
        <f>VLOOKUP(E:E,代理人!E:AD,24,FALSE)</f>
        <v>0</v>
      </c>
    </row>
    <row r="16" hidden="1" spans="1:7">
      <c r="A16" s="4" t="s">
        <v>27</v>
      </c>
      <c r="B16" s="4" t="s">
        <v>37</v>
      </c>
      <c r="C16" s="4" t="s">
        <v>110</v>
      </c>
      <c r="D16" s="4" t="s">
        <v>111</v>
      </c>
      <c r="E16" s="4">
        <v>477030872</v>
      </c>
      <c r="F16" s="4">
        <f>VLOOKUP(E:E,代理人!E:AD,23,FALSE)</f>
        <v>0</v>
      </c>
      <c r="G16" s="4">
        <f>VLOOKUP(E:E,代理人!E:AD,24,FALSE)</f>
        <v>0</v>
      </c>
    </row>
    <row r="17" hidden="1" spans="1:7">
      <c r="A17" s="4" t="s">
        <v>42</v>
      </c>
      <c r="B17" s="4" t="s">
        <v>62</v>
      </c>
      <c r="C17" s="4" t="s">
        <v>108</v>
      </c>
      <c r="D17" s="4" t="s">
        <v>109</v>
      </c>
      <c r="E17" s="4">
        <v>5503363952</v>
      </c>
      <c r="F17" s="4">
        <f>VLOOKUP(E:E,代理人!E:AD,23,FALSE)</f>
        <v>0</v>
      </c>
      <c r="G17" s="4">
        <f>VLOOKUP(E:E,代理人!E:AD,24,FALSE)</f>
        <v>0</v>
      </c>
    </row>
    <row r="18" hidden="1" spans="1:7">
      <c r="A18" s="4" t="s">
        <v>27</v>
      </c>
      <c r="B18" s="4" t="s">
        <v>100</v>
      </c>
      <c r="C18" s="4" t="s">
        <v>101</v>
      </c>
      <c r="D18" s="4" t="s">
        <v>107</v>
      </c>
      <c r="E18" s="4">
        <v>484039162</v>
      </c>
      <c r="F18" s="4">
        <f>VLOOKUP(E:E,代理人!E:AD,23,FALSE)</f>
        <v>0</v>
      </c>
      <c r="G18" s="4">
        <f>VLOOKUP(E:E,代理人!E:AD,24,FALSE)</f>
        <v>0</v>
      </c>
    </row>
    <row r="19" hidden="1" spans="1:7">
      <c r="A19" s="4" t="s">
        <v>27</v>
      </c>
      <c r="B19" s="4" t="s">
        <v>28</v>
      </c>
      <c r="C19" s="4" t="s">
        <v>29</v>
      </c>
      <c r="D19" s="4" t="s">
        <v>260</v>
      </c>
      <c r="E19" s="4">
        <v>6580196262</v>
      </c>
      <c r="F19" s="4">
        <f>VLOOKUP(E:E,代理人!E:AD,23,FALSE)</f>
        <v>0</v>
      </c>
      <c r="G19" s="4">
        <f>VLOOKUP(E:E,代理人!E:AD,24,FALSE)</f>
        <v>0</v>
      </c>
    </row>
    <row r="20" hidden="1" spans="1:7">
      <c r="A20" s="4" t="s">
        <v>27</v>
      </c>
      <c r="B20" s="4" t="s">
        <v>28</v>
      </c>
      <c r="C20" s="4" t="s">
        <v>29</v>
      </c>
      <c r="D20" s="4" t="s">
        <v>261</v>
      </c>
      <c r="E20" s="4">
        <v>6580545282</v>
      </c>
      <c r="F20" s="4">
        <f>VLOOKUP(E:E,代理人!E:AD,23,FALSE)</f>
        <v>0</v>
      </c>
      <c r="G20" s="4">
        <f>VLOOKUP(E:E,代理人!E:AD,24,FALSE)</f>
        <v>0</v>
      </c>
    </row>
    <row r="21" hidden="1" spans="1:7">
      <c r="A21" s="4" t="s">
        <v>42</v>
      </c>
      <c r="B21" s="4" t="s">
        <v>62</v>
      </c>
      <c r="C21" s="4" t="s">
        <v>108</v>
      </c>
      <c r="D21" s="4" t="s">
        <v>262</v>
      </c>
      <c r="E21" s="4">
        <v>6580502702</v>
      </c>
      <c r="F21" s="4">
        <f>VLOOKUP(E:E,代理人!E:AD,23,FALSE)</f>
        <v>0</v>
      </c>
      <c r="G21" s="4">
        <f>VLOOKUP(E:E,代理人!E:AD,24,FALSE)</f>
        <v>0</v>
      </c>
    </row>
    <row r="22" hidden="1" spans="1:7">
      <c r="A22" s="4" t="s">
        <v>27</v>
      </c>
      <c r="B22" s="4" t="s">
        <v>94</v>
      </c>
      <c r="C22" s="4" t="s">
        <v>95</v>
      </c>
      <c r="D22" s="4" t="s">
        <v>263</v>
      </c>
      <c r="E22" s="4">
        <v>6579892592</v>
      </c>
      <c r="F22" s="4">
        <f>VLOOKUP(E:E,代理人!E:AD,23,FALSE)</f>
        <v>0</v>
      </c>
      <c r="G22" s="4">
        <f>VLOOKUP(E:E,代理人!E:AD,24,FALSE)</f>
        <v>0</v>
      </c>
    </row>
    <row r="23" hidden="1" spans="1:7">
      <c r="A23" s="4" t="s">
        <v>27</v>
      </c>
      <c r="B23" s="4" t="s">
        <v>28</v>
      </c>
      <c r="C23" s="4" t="s">
        <v>29</v>
      </c>
      <c r="D23" s="4" t="s">
        <v>264</v>
      </c>
      <c r="E23" s="4">
        <v>6578633392</v>
      </c>
      <c r="F23" s="4">
        <f>VLOOKUP(E:E,代理人!E:AD,23,FALSE)</f>
        <v>0</v>
      </c>
      <c r="G23" s="4">
        <f>VLOOKUP(E:E,代理人!E:AD,24,FALSE)</f>
        <v>0</v>
      </c>
    </row>
    <row r="24" hidden="1" spans="1:7">
      <c r="A24" s="4" t="s">
        <v>27</v>
      </c>
      <c r="B24" s="4" t="s">
        <v>28</v>
      </c>
      <c r="C24" s="4" t="s">
        <v>29</v>
      </c>
      <c r="D24" s="4" t="s">
        <v>265</v>
      </c>
      <c r="E24" s="4">
        <v>6579141032</v>
      </c>
      <c r="F24" s="4">
        <f>VLOOKUP(E:E,代理人!E:AD,23,FALSE)</f>
        <v>0</v>
      </c>
      <c r="G24" s="4">
        <f>VLOOKUP(E:E,代理人!E:AD,24,FALSE)</f>
        <v>0</v>
      </c>
    </row>
    <row r="25" hidden="1" spans="1:7">
      <c r="A25" s="4" t="s">
        <v>27</v>
      </c>
      <c r="B25" s="4" t="s">
        <v>100</v>
      </c>
      <c r="C25" s="4" t="s">
        <v>101</v>
      </c>
      <c r="D25" s="4" t="s">
        <v>266</v>
      </c>
      <c r="E25" s="4">
        <v>6579086682</v>
      </c>
      <c r="F25" s="4">
        <f>VLOOKUP(E:E,代理人!E:AD,23,FALSE)</f>
        <v>0</v>
      </c>
      <c r="G25" s="4">
        <f>VLOOKUP(E:E,代理人!E:AD,24,FALSE)</f>
        <v>0</v>
      </c>
    </row>
    <row r="26" hidden="1" spans="1:7">
      <c r="A26" s="4" t="s">
        <v>42</v>
      </c>
      <c r="B26" s="4" t="s">
        <v>62</v>
      </c>
      <c r="C26" s="4" t="s">
        <v>72</v>
      </c>
      <c r="D26" s="4" t="s">
        <v>267</v>
      </c>
      <c r="E26" s="4">
        <v>6578542762</v>
      </c>
      <c r="F26" s="4">
        <f>VLOOKUP(E:E,代理人!E:AD,23,FALSE)</f>
        <v>0</v>
      </c>
      <c r="G26" s="4">
        <f>VLOOKUP(E:E,代理人!E:AD,24,FALSE)</f>
        <v>0</v>
      </c>
    </row>
    <row r="27" hidden="1" spans="1:7">
      <c r="A27" s="4" t="s">
        <v>27</v>
      </c>
      <c r="B27" s="4" t="s">
        <v>28</v>
      </c>
      <c r="C27" s="4" t="s">
        <v>29</v>
      </c>
      <c r="D27" s="4" t="s">
        <v>268</v>
      </c>
      <c r="E27" s="4">
        <v>6577775832</v>
      </c>
      <c r="F27" s="4">
        <f>VLOOKUP(E:E,代理人!E:AD,23,FALSE)</f>
        <v>0</v>
      </c>
      <c r="G27" s="4">
        <f>VLOOKUP(E:E,代理人!E:AD,24,FALSE)</f>
        <v>0</v>
      </c>
    </row>
    <row r="28" hidden="1" spans="1:7">
      <c r="A28" s="4" t="s">
        <v>42</v>
      </c>
      <c r="B28" s="4" t="s">
        <v>62</v>
      </c>
      <c r="C28" s="4" t="s">
        <v>72</v>
      </c>
      <c r="D28" s="4" t="s">
        <v>269</v>
      </c>
      <c r="E28" s="4">
        <v>6575257432</v>
      </c>
      <c r="F28" s="4">
        <f>VLOOKUP(E:E,代理人!E:AD,23,FALSE)</f>
        <v>0</v>
      </c>
      <c r="G28" s="4">
        <f>VLOOKUP(E:E,代理人!E:AD,24,FALSE)</f>
        <v>0</v>
      </c>
    </row>
    <row r="29" hidden="1" spans="1:7">
      <c r="A29" s="4" t="s">
        <v>48</v>
      </c>
      <c r="B29" s="4" t="s">
        <v>49</v>
      </c>
      <c r="C29" s="4" t="s">
        <v>98</v>
      </c>
      <c r="D29" s="4" t="s">
        <v>270</v>
      </c>
      <c r="E29" s="4">
        <v>6567279892</v>
      </c>
      <c r="F29" s="4">
        <f>VLOOKUP(E:E,代理人!E:AD,23,FALSE)</f>
        <v>0</v>
      </c>
      <c r="G29" s="4">
        <f>VLOOKUP(E:E,代理人!E:AD,24,FALSE)</f>
        <v>0</v>
      </c>
    </row>
    <row r="30" hidden="1" spans="1:7">
      <c r="A30" s="4" t="s">
        <v>42</v>
      </c>
      <c r="B30" s="4" t="s">
        <v>62</v>
      </c>
      <c r="C30" s="4" t="s">
        <v>108</v>
      </c>
      <c r="D30" s="4" t="s">
        <v>271</v>
      </c>
      <c r="E30" s="4">
        <v>6563912032</v>
      </c>
      <c r="F30" s="4">
        <f>VLOOKUP(E:E,代理人!E:AD,23,FALSE)</f>
        <v>0</v>
      </c>
      <c r="G30" s="4">
        <f>VLOOKUP(E:E,代理人!E:AD,24,FALSE)</f>
        <v>0</v>
      </c>
    </row>
    <row r="31" hidden="1" spans="1:7">
      <c r="A31" s="4" t="s">
        <v>48</v>
      </c>
      <c r="B31" s="4" t="s">
        <v>49</v>
      </c>
      <c r="C31" s="4" t="s">
        <v>98</v>
      </c>
      <c r="D31" s="4" t="s">
        <v>272</v>
      </c>
      <c r="E31" s="4">
        <v>6561874132</v>
      </c>
      <c r="F31" s="4">
        <f>VLOOKUP(E:E,代理人!E:AD,23,FALSE)</f>
        <v>0</v>
      </c>
      <c r="G31" s="4">
        <f>VLOOKUP(E:E,代理人!E:AD,24,FALSE)</f>
        <v>0</v>
      </c>
    </row>
    <row r="32" hidden="1" spans="1:7">
      <c r="A32" s="4" t="s">
        <v>42</v>
      </c>
      <c r="B32" s="4" t="s">
        <v>62</v>
      </c>
      <c r="C32" s="4" t="s">
        <v>72</v>
      </c>
      <c r="D32" s="4" t="s">
        <v>273</v>
      </c>
      <c r="E32" s="4">
        <v>6561864162</v>
      </c>
      <c r="F32" s="4">
        <f>VLOOKUP(E:E,代理人!E:AD,23,FALSE)</f>
        <v>0</v>
      </c>
      <c r="G32" s="4">
        <f>VLOOKUP(E:E,代理人!E:AD,24,FALSE)</f>
        <v>0</v>
      </c>
    </row>
    <row r="33" hidden="1" spans="1:7">
      <c r="A33" s="4" t="s">
        <v>42</v>
      </c>
      <c r="B33" s="4" t="s">
        <v>43</v>
      </c>
      <c r="C33" s="4" t="s">
        <v>77</v>
      </c>
      <c r="D33" s="4" t="s">
        <v>274</v>
      </c>
      <c r="E33" s="4">
        <v>6561860562</v>
      </c>
      <c r="F33" s="4">
        <f>VLOOKUP(E:E,代理人!E:AD,23,FALSE)</f>
        <v>0</v>
      </c>
      <c r="G33" s="4">
        <f>VLOOKUP(E:E,代理人!E:AD,24,FALSE)</f>
        <v>0</v>
      </c>
    </row>
    <row r="34" hidden="1" spans="1:7">
      <c r="A34" s="4" t="s">
        <v>48</v>
      </c>
      <c r="B34" s="4" t="s">
        <v>49</v>
      </c>
      <c r="C34" s="4" t="s">
        <v>50</v>
      </c>
      <c r="D34" s="4" t="s">
        <v>275</v>
      </c>
      <c r="E34" s="4">
        <v>6560423702</v>
      </c>
      <c r="F34" s="4">
        <f>VLOOKUP(E:E,代理人!E:AD,23,FALSE)</f>
        <v>0</v>
      </c>
      <c r="G34" s="4">
        <f>VLOOKUP(E:E,代理人!E:AD,24,FALSE)</f>
        <v>0</v>
      </c>
    </row>
    <row r="35" hidden="1" spans="1:7">
      <c r="A35" s="4" t="s">
        <v>42</v>
      </c>
      <c r="B35" s="4" t="s">
        <v>62</v>
      </c>
      <c r="C35" s="4" t="s">
        <v>86</v>
      </c>
      <c r="D35" s="4" t="s">
        <v>276</v>
      </c>
      <c r="E35" s="4">
        <v>6560355712</v>
      </c>
      <c r="F35" s="4">
        <f>VLOOKUP(E:E,代理人!E:AD,23,FALSE)</f>
        <v>0</v>
      </c>
      <c r="G35" s="4">
        <f>VLOOKUP(E:E,代理人!E:AD,24,FALSE)</f>
        <v>0</v>
      </c>
    </row>
    <row r="36" hidden="1" spans="1:7">
      <c r="A36" s="4" t="s">
        <v>42</v>
      </c>
      <c r="B36" s="4" t="s">
        <v>62</v>
      </c>
      <c r="C36" s="4" t="s">
        <v>72</v>
      </c>
      <c r="D36" s="4" t="s">
        <v>277</v>
      </c>
      <c r="E36" s="4">
        <v>6560214262</v>
      </c>
      <c r="F36" s="4">
        <f>VLOOKUP(E:E,代理人!E:AD,23,FALSE)</f>
        <v>0</v>
      </c>
      <c r="G36" s="4">
        <f>VLOOKUP(E:E,代理人!E:AD,24,FALSE)</f>
        <v>0</v>
      </c>
    </row>
    <row r="37" hidden="1" spans="1:7">
      <c r="A37" s="4" t="s">
        <v>48</v>
      </c>
      <c r="B37" s="4" t="s">
        <v>49</v>
      </c>
      <c r="C37" s="4" t="s">
        <v>98</v>
      </c>
      <c r="D37" s="4" t="s">
        <v>278</v>
      </c>
      <c r="E37" s="4">
        <v>6560149942</v>
      </c>
      <c r="F37" s="4">
        <f>VLOOKUP(E:E,代理人!E:AD,23,FALSE)</f>
        <v>0</v>
      </c>
      <c r="G37" s="4">
        <f>VLOOKUP(E:E,代理人!E:AD,24,FALSE)</f>
        <v>0</v>
      </c>
    </row>
    <row r="38" hidden="1" spans="1:7">
      <c r="A38" s="4" t="s">
        <v>27</v>
      </c>
      <c r="B38" s="4" t="s">
        <v>94</v>
      </c>
      <c r="C38" s="4" t="s">
        <v>95</v>
      </c>
      <c r="D38" s="4" t="s">
        <v>279</v>
      </c>
      <c r="E38" s="4">
        <v>6560072882</v>
      </c>
      <c r="F38" s="4">
        <f>VLOOKUP(E:E,代理人!E:AD,23,FALSE)</f>
        <v>0</v>
      </c>
      <c r="G38" s="4">
        <f>VLOOKUP(E:E,代理人!E:AD,24,FALSE)</f>
        <v>0</v>
      </c>
    </row>
    <row r="39" hidden="1" spans="1:7">
      <c r="A39" s="4" t="s">
        <v>27</v>
      </c>
      <c r="B39" s="4" t="s">
        <v>100</v>
      </c>
      <c r="C39" s="4" t="s">
        <v>101</v>
      </c>
      <c r="D39" s="4" t="s">
        <v>280</v>
      </c>
      <c r="E39" s="4">
        <v>6560025732</v>
      </c>
      <c r="F39" s="4">
        <f>VLOOKUP(E:E,代理人!E:AD,23,FALSE)</f>
        <v>0</v>
      </c>
      <c r="G39" s="4">
        <f>VLOOKUP(E:E,代理人!E:AD,24,FALSE)</f>
        <v>0</v>
      </c>
    </row>
    <row r="40" hidden="1" spans="1:7">
      <c r="A40" s="4" t="s">
        <v>48</v>
      </c>
      <c r="B40" s="4" t="s">
        <v>49</v>
      </c>
      <c r="C40" s="4" t="s">
        <v>98</v>
      </c>
      <c r="D40" s="4" t="s">
        <v>281</v>
      </c>
      <c r="E40" s="4">
        <v>6559333092</v>
      </c>
      <c r="F40" s="4">
        <f>VLOOKUP(E:E,代理人!E:AD,23,FALSE)</f>
        <v>0</v>
      </c>
      <c r="G40" s="4">
        <f>VLOOKUP(E:E,代理人!E:AD,24,FALSE)</f>
        <v>0</v>
      </c>
    </row>
    <row r="41" hidden="1" spans="1:7">
      <c r="A41" s="4" t="s">
        <v>48</v>
      </c>
      <c r="B41" s="4" t="s">
        <v>49</v>
      </c>
      <c r="C41" s="4" t="s">
        <v>50</v>
      </c>
      <c r="D41" s="4" t="s">
        <v>282</v>
      </c>
      <c r="E41" s="4">
        <v>6556490182</v>
      </c>
      <c r="F41" s="4">
        <f>VLOOKUP(E:E,代理人!E:AD,23,FALSE)</f>
        <v>0</v>
      </c>
      <c r="G41" s="4">
        <f>VLOOKUP(E:E,代理人!E:AD,24,FALSE)</f>
        <v>0</v>
      </c>
    </row>
    <row r="42" hidden="1" spans="1:7">
      <c r="A42" s="4" t="s">
        <v>48</v>
      </c>
      <c r="B42" s="4" t="s">
        <v>49</v>
      </c>
      <c r="C42" s="4" t="s">
        <v>98</v>
      </c>
      <c r="D42" s="4" t="s">
        <v>283</v>
      </c>
      <c r="E42" s="4">
        <v>6556481112</v>
      </c>
      <c r="F42" s="4">
        <f>VLOOKUP(E:E,代理人!E:AD,23,FALSE)</f>
        <v>0</v>
      </c>
      <c r="G42" s="4">
        <f>VLOOKUP(E:E,代理人!E:AD,24,FALSE)</f>
        <v>0</v>
      </c>
    </row>
    <row r="43" hidden="1" spans="1:7">
      <c r="A43" s="4" t="s">
        <v>42</v>
      </c>
      <c r="B43" s="4" t="s">
        <v>62</v>
      </c>
      <c r="C43" s="4" t="s">
        <v>86</v>
      </c>
      <c r="D43" s="4" t="s">
        <v>284</v>
      </c>
      <c r="E43" s="4">
        <v>6555905482</v>
      </c>
      <c r="F43" s="4">
        <f>VLOOKUP(E:E,代理人!E:AD,23,FALSE)</f>
        <v>0</v>
      </c>
      <c r="G43" s="4">
        <f>VLOOKUP(E:E,代理人!E:AD,24,FALSE)</f>
        <v>0</v>
      </c>
    </row>
    <row r="44" hidden="1" spans="1:7">
      <c r="A44" s="4" t="s">
        <v>42</v>
      </c>
      <c r="B44" s="4" t="s">
        <v>62</v>
      </c>
      <c r="C44" s="4" t="s">
        <v>63</v>
      </c>
      <c r="D44" s="4" t="s">
        <v>285</v>
      </c>
      <c r="E44" s="4">
        <v>6554680762</v>
      </c>
      <c r="F44" s="4">
        <f>VLOOKUP(E:E,代理人!E:AD,23,FALSE)</f>
        <v>0</v>
      </c>
      <c r="G44" s="4">
        <f>VLOOKUP(E:E,代理人!E:AD,24,FALSE)</f>
        <v>0</v>
      </c>
    </row>
    <row r="45" hidden="1" spans="1:7">
      <c r="A45" s="4" t="s">
        <v>27</v>
      </c>
      <c r="B45" s="4" t="s">
        <v>28</v>
      </c>
      <c r="C45" s="4" t="s">
        <v>29</v>
      </c>
      <c r="D45" s="4" t="s">
        <v>79</v>
      </c>
      <c r="E45" s="4">
        <v>6554611872</v>
      </c>
      <c r="F45" s="4">
        <f>VLOOKUP(E:E,代理人!E:AD,23,FALSE)</f>
        <v>0</v>
      </c>
      <c r="G45" s="4">
        <f>VLOOKUP(E:E,代理人!E:AD,24,FALSE)</f>
        <v>0</v>
      </c>
    </row>
    <row r="46" hidden="1" spans="1:7">
      <c r="A46" s="4" t="s">
        <v>27</v>
      </c>
      <c r="B46" s="4" t="s">
        <v>37</v>
      </c>
      <c r="C46" s="4" t="s">
        <v>226</v>
      </c>
      <c r="D46" s="4" t="s">
        <v>286</v>
      </c>
      <c r="E46" s="4">
        <v>6554598232</v>
      </c>
      <c r="F46" s="4">
        <f>VLOOKUP(E:E,代理人!E:AD,23,FALSE)</f>
        <v>0</v>
      </c>
      <c r="G46" s="4">
        <f>VLOOKUP(E:E,代理人!E:AD,24,FALSE)</f>
        <v>0</v>
      </c>
    </row>
    <row r="47" hidden="1" spans="1:7">
      <c r="A47" s="4" t="s">
        <v>48</v>
      </c>
      <c r="B47" s="4" t="s">
        <v>49</v>
      </c>
      <c r="C47" s="4" t="s">
        <v>50</v>
      </c>
      <c r="D47" s="4" t="s">
        <v>287</v>
      </c>
      <c r="E47" s="4">
        <v>6554581962</v>
      </c>
      <c r="F47" s="4">
        <f>VLOOKUP(E:E,代理人!E:AD,23,FALSE)</f>
        <v>0</v>
      </c>
      <c r="G47" s="4">
        <f>VLOOKUP(E:E,代理人!E:AD,24,FALSE)</f>
        <v>0</v>
      </c>
    </row>
    <row r="48" hidden="1" spans="1:7">
      <c r="A48" s="4" t="s">
        <v>48</v>
      </c>
      <c r="B48" s="4" t="s">
        <v>49</v>
      </c>
      <c r="C48" s="4" t="s">
        <v>98</v>
      </c>
      <c r="D48" s="4" t="s">
        <v>288</v>
      </c>
      <c r="E48" s="4">
        <v>6552982812</v>
      </c>
      <c r="F48" s="4">
        <f>VLOOKUP(E:E,代理人!E:AD,23,FALSE)</f>
        <v>0</v>
      </c>
      <c r="G48" s="4">
        <f>VLOOKUP(E:E,代理人!E:AD,24,FALSE)</f>
        <v>0</v>
      </c>
    </row>
    <row r="49" hidden="1" spans="1:7">
      <c r="A49" s="4" t="s">
        <v>27</v>
      </c>
      <c r="B49" s="4" t="s">
        <v>28</v>
      </c>
      <c r="C49" s="4" t="s">
        <v>29</v>
      </c>
      <c r="D49" s="4" t="s">
        <v>289</v>
      </c>
      <c r="E49" s="4">
        <v>6551184192</v>
      </c>
      <c r="F49" s="4">
        <f>VLOOKUP(E:E,代理人!E:AD,23,FALSE)</f>
        <v>0</v>
      </c>
      <c r="G49" s="4">
        <f>VLOOKUP(E:E,代理人!E:AD,24,FALSE)</f>
        <v>0</v>
      </c>
    </row>
    <row r="50" hidden="1" spans="1:7">
      <c r="A50" s="4" t="s">
        <v>27</v>
      </c>
      <c r="B50" s="4" t="s">
        <v>94</v>
      </c>
      <c r="C50" s="4" t="s">
        <v>95</v>
      </c>
      <c r="D50" s="4" t="s">
        <v>290</v>
      </c>
      <c r="E50" s="4">
        <v>6551176022</v>
      </c>
      <c r="F50" s="4">
        <f>VLOOKUP(E:E,代理人!E:AD,23,FALSE)</f>
        <v>0</v>
      </c>
      <c r="G50" s="4">
        <f>VLOOKUP(E:E,代理人!E:AD,24,FALSE)</f>
        <v>0</v>
      </c>
    </row>
    <row r="51" hidden="1" spans="1:7">
      <c r="A51" s="4" t="s">
        <v>42</v>
      </c>
      <c r="B51" s="4" t="s">
        <v>43</v>
      </c>
      <c r="C51" s="4" t="s">
        <v>75</v>
      </c>
      <c r="D51" s="4" t="s">
        <v>291</v>
      </c>
      <c r="E51" s="4">
        <v>6551158852</v>
      </c>
      <c r="F51" s="4">
        <f>VLOOKUP(E:E,代理人!E:AD,23,FALSE)</f>
        <v>0</v>
      </c>
      <c r="G51" s="4">
        <f>VLOOKUP(E:E,代理人!E:AD,24,FALSE)</f>
        <v>0</v>
      </c>
    </row>
    <row r="52" hidden="1" spans="1:7">
      <c r="A52" s="4" t="s">
        <v>48</v>
      </c>
      <c r="B52" s="4" t="s">
        <v>49</v>
      </c>
      <c r="C52" s="4" t="s">
        <v>50</v>
      </c>
      <c r="D52" s="4" t="s">
        <v>292</v>
      </c>
      <c r="E52" s="4">
        <v>6550477082</v>
      </c>
      <c r="F52" s="4">
        <f>VLOOKUP(E:E,代理人!E:AD,23,FALSE)</f>
        <v>0</v>
      </c>
      <c r="G52" s="4">
        <f>VLOOKUP(E:E,代理人!E:AD,24,FALSE)</f>
        <v>0</v>
      </c>
    </row>
    <row r="53" hidden="1" spans="1:7">
      <c r="A53" s="4" t="s">
        <v>27</v>
      </c>
      <c r="B53" s="4" t="s">
        <v>100</v>
      </c>
      <c r="C53" s="4" t="s">
        <v>101</v>
      </c>
      <c r="D53" s="4" t="s">
        <v>106</v>
      </c>
      <c r="E53" s="4">
        <v>6550456242</v>
      </c>
      <c r="F53" s="4">
        <f>VLOOKUP(E:E,代理人!E:AD,23,FALSE)</f>
        <v>0</v>
      </c>
      <c r="G53" s="4">
        <f>VLOOKUP(E:E,代理人!E:AD,24,FALSE)</f>
        <v>0</v>
      </c>
    </row>
    <row r="54" spans="1:7">
      <c r="A54" s="4" t="s">
        <v>42</v>
      </c>
      <c r="B54" s="4" t="s">
        <v>66</v>
      </c>
      <c r="C54" s="4" t="s">
        <v>67</v>
      </c>
      <c r="D54" s="4" t="s">
        <v>68</v>
      </c>
      <c r="E54" s="4">
        <v>55996582</v>
      </c>
      <c r="F54" s="4">
        <f>VLOOKUP(E:E,代理人!E:AD,23,FALSE)</f>
        <v>0</v>
      </c>
      <c r="G54" s="4">
        <f>VLOOKUP(E:E,代理人!E:AD,24,FALSE)</f>
        <v>0</v>
      </c>
    </row>
    <row r="55" hidden="1" spans="1:7">
      <c r="A55" s="4" t="s">
        <v>48</v>
      </c>
      <c r="B55" s="4" t="s">
        <v>49</v>
      </c>
      <c r="C55" s="4" t="s">
        <v>50</v>
      </c>
      <c r="D55" s="4" t="s">
        <v>293</v>
      </c>
      <c r="E55" s="4">
        <v>6549661202</v>
      </c>
      <c r="F55" s="4">
        <f>VLOOKUP(E:E,代理人!E:AD,23,FALSE)</f>
        <v>0</v>
      </c>
      <c r="G55" s="4">
        <f>VLOOKUP(E:E,代理人!E:AD,24,FALSE)</f>
        <v>0</v>
      </c>
    </row>
    <row r="56" hidden="1" spans="1:7">
      <c r="A56" s="4" t="s">
        <v>27</v>
      </c>
      <c r="B56" s="4" t="s">
        <v>294</v>
      </c>
      <c r="C56" s="4" t="s">
        <v>295</v>
      </c>
      <c r="D56" s="4" t="s">
        <v>296</v>
      </c>
      <c r="E56" s="4">
        <v>6549233322</v>
      </c>
      <c r="F56" s="4">
        <f>VLOOKUP(E:E,代理人!E:AD,23,FALSE)</f>
        <v>0</v>
      </c>
      <c r="G56" s="4">
        <f>VLOOKUP(E:E,代理人!E:AD,24,FALSE)</f>
        <v>0</v>
      </c>
    </row>
    <row r="57" hidden="1" spans="1:7">
      <c r="A57" s="4" t="s">
        <v>27</v>
      </c>
      <c r="B57" s="4" t="s">
        <v>100</v>
      </c>
      <c r="C57" s="4" t="s">
        <v>101</v>
      </c>
      <c r="D57" s="4" t="s">
        <v>297</v>
      </c>
      <c r="E57" s="4">
        <v>6549227922</v>
      </c>
      <c r="F57" s="4">
        <f>VLOOKUP(E:E,代理人!E:AD,23,FALSE)</f>
        <v>0</v>
      </c>
      <c r="G57" s="4">
        <f>VLOOKUP(E:E,代理人!E:AD,24,FALSE)</f>
        <v>0</v>
      </c>
    </row>
    <row r="58" hidden="1" spans="1:7">
      <c r="A58" s="4" t="s">
        <v>42</v>
      </c>
      <c r="B58" s="4" t="s">
        <v>62</v>
      </c>
      <c r="C58" s="4" t="s">
        <v>228</v>
      </c>
      <c r="D58" s="4" t="s">
        <v>298</v>
      </c>
      <c r="E58" s="4">
        <v>6548957762</v>
      </c>
      <c r="F58" s="4">
        <f>VLOOKUP(E:E,代理人!E:AD,23,FALSE)</f>
        <v>0</v>
      </c>
      <c r="G58" s="4">
        <f>VLOOKUP(E:E,代理人!E:AD,24,FALSE)</f>
        <v>0</v>
      </c>
    </row>
    <row r="59" hidden="1" spans="1:7">
      <c r="A59" s="4" t="s">
        <v>42</v>
      </c>
      <c r="B59" s="4" t="s">
        <v>66</v>
      </c>
      <c r="C59" s="4" t="s">
        <v>67</v>
      </c>
      <c r="D59" s="4" t="s">
        <v>299</v>
      </c>
      <c r="E59" s="4">
        <v>6547564382</v>
      </c>
      <c r="F59" s="4">
        <f>VLOOKUP(E:E,代理人!E:AD,23,FALSE)</f>
        <v>0</v>
      </c>
      <c r="G59" s="4">
        <f>VLOOKUP(E:E,代理人!E:AD,24,FALSE)</f>
        <v>0</v>
      </c>
    </row>
    <row r="60" hidden="1" spans="1:7">
      <c r="A60" s="4" t="s">
        <v>42</v>
      </c>
      <c r="B60" s="4" t="s">
        <v>62</v>
      </c>
      <c r="C60" s="4" t="s">
        <v>108</v>
      </c>
      <c r="D60" s="4" t="s">
        <v>300</v>
      </c>
      <c r="E60" s="4">
        <v>6547517232</v>
      </c>
      <c r="F60" s="4">
        <f>VLOOKUP(E:E,代理人!E:AD,23,FALSE)</f>
        <v>0</v>
      </c>
      <c r="G60" s="4">
        <f>VLOOKUP(E:E,代理人!E:AD,24,FALSE)</f>
        <v>0</v>
      </c>
    </row>
    <row r="61" hidden="1" spans="1:7">
      <c r="A61" s="4" t="s">
        <v>42</v>
      </c>
      <c r="B61" s="4" t="s">
        <v>62</v>
      </c>
      <c r="C61" s="4" t="s">
        <v>108</v>
      </c>
      <c r="D61" s="4" t="s">
        <v>301</v>
      </c>
      <c r="E61" s="4">
        <v>6547493692</v>
      </c>
      <c r="F61" s="4">
        <f>VLOOKUP(E:E,代理人!E:AD,23,FALSE)</f>
        <v>0</v>
      </c>
      <c r="G61" s="4">
        <f>VLOOKUP(E:E,代理人!E:AD,24,FALSE)</f>
        <v>0</v>
      </c>
    </row>
    <row r="62" hidden="1" spans="1:7">
      <c r="A62" s="4" t="s">
        <v>42</v>
      </c>
      <c r="B62" s="4" t="s">
        <v>66</v>
      </c>
      <c r="C62" s="4" t="s">
        <v>67</v>
      </c>
      <c r="D62" s="4" t="s">
        <v>302</v>
      </c>
      <c r="E62" s="4">
        <v>6545451222</v>
      </c>
      <c r="F62" s="4">
        <f>VLOOKUP(E:E,代理人!E:AD,23,FALSE)</f>
        <v>0</v>
      </c>
      <c r="G62" s="4">
        <f>VLOOKUP(E:E,代理人!E:AD,24,FALSE)</f>
        <v>0</v>
      </c>
    </row>
    <row r="63" hidden="1" spans="1:7">
      <c r="A63" s="4" t="s">
        <v>42</v>
      </c>
      <c r="B63" s="4" t="s">
        <v>43</v>
      </c>
      <c r="C63" s="4" t="s">
        <v>70</v>
      </c>
      <c r="D63" s="4" t="s">
        <v>303</v>
      </c>
      <c r="E63" s="4">
        <v>6529280332</v>
      </c>
      <c r="F63" s="4">
        <f>VLOOKUP(E:E,代理人!E:AD,23,FALSE)</f>
        <v>0</v>
      </c>
      <c r="G63" s="4">
        <f>VLOOKUP(E:E,代理人!E:AD,24,FALSE)</f>
        <v>0</v>
      </c>
    </row>
    <row r="64" hidden="1" spans="1:7">
      <c r="A64" s="4" t="s">
        <v>42</v>
      </c>
      <c r="B64" s="4" t="s">
        <v>62</v>
      </c>
      <c r="C64" s="4" t="s">
        <v>92</v>
      </c>
      <c r="D64" s="4" t="s">
        <v>304</v>
      </c>
      <c r="E64" s="4">
        <v>6526885242</v>
      </c>
      <c r="F64" s="4">
        <f>VLOOKUP(E:E,代理人!E:AD,23,FALSE)</f>
        <v>0</v>
      </c>
      <c r="G64" s="4">
        <f>VLOOKUP(E:E,代理人!E:AD,24,FALSE)</f>
        <v>0</v>
      </c>
    </row>
    <row r="65" hidden="1" spans="1:7">
      <c r="A65" s="4" t="s">
        <v>48</v>
      </c>
      <c r="B65" s="4" t="s">
        <v>49</v>
      </c>
      <c r="C65" s="4" t="s">
        <v>50</v>
      </c>
      <c r="D65" s="4" t="s">
        <v>305</v>
      </c>
      <c r="E65" s="4">
        <v>6524201922</v>
      </c>
      <c r="F65" s="4">
        <f>VLOOKUP(E:E,代理人!E:AD,23,FALSE)</f>
        <v>0</v>
      </c>
      <c r="G65" s="4">
        <f>VLOOKUP(E:E,代理人!E:AD,24,FALSE)</f>
        <v>0</v>
      </c>
    </row>
    <row r="66" hidden="1" spans="1:7">
      <c r="A66" s="4" t="s">
        <v>42</v>
      </c>
      <c r="B66" s="4" t="s">
        <v>62</v>
      </c>
      <c r="C66" s="4" t="s">
        <v>72</v>
      </c>
      <c r="D66" s="4" t="s">
        <v>306</v>
      </c>
      <c r="E66" s="4">
        <v>6520282942</v>
      </c>
      <c r="F66" s="4">
        <f>VLOOKUP(E:E,代理人!E:AD,23,FALSE)</f>
        <v>0</v>
      </c>
      <c r="G66" s="4">
        <f>VLOOKUP(E:E,代理人!E:AD,24,FALSE)</f>
        <v>0</v>
      </c>
    </row>
    <row r="67" hidden="1" spans="1:7">
      <c r="A67" s="4" t="s">
        <v>42</v>
      </c>
      <c r="B67" s="4" t="s">
        <v>62</v>
      </c>
      <c r="C67" s="4" t="s">
        <v>72</v>
      </c>
      <c r="D67" s="4" t="s">
        <v>307</v>
      </c>
      <c r="E67" s="4">
        <v>6520274772</v>
      </c>
      <c r="F67" s="4">
        <f>VLOOKUP(E:E,代理人!E:AD,23,FALSE)</f>
        <v>0</v>
      </c>
      <c r="G67" s="4">
        <f>VLOOKUP(E:E,代理人!E:AD,24,FALSE)</f>
        <v>0</v>
      </c>
    </row>
    <row r="68" hidden="1" spans="1:7">
      <c r="A68" s="4" t="s">
        <v>42</v>
      </c>
      <c r="B68" s="4" t="s">
        <v>62</v>
      </c>
      <c r="C68" s="4" t="s">
        <v>72</v>
      </c>
      <c r="D68" s="4" t="s">
        <v>308</v>
      </c>
      <c r="E68" s="4">
        <v>6520254832</v>
      </c>
      <c r="F68" s="4">
        <f>VLOOKUP(E:E,代理人!E:AD,23,FALSE)</f>
        <v>0</v>
      </c>
      <c r="G68" s="4">
        <f>VLOOKUP(E:E,代理人!E:AD,24,FALSE)</f>
        <v>0</v>
      </c>
    </row>
    <row r="69" hidden="1" spans="1:7">
      <c r="A69" s="4" t="s">
        <v>27</v>
      </c>
      <c r="B69" s="4" t="s">
        <v>28</v>
      </c>
      <c r="C69" s="4" t="s">
        <v>29</v>
      </c>
      <c r="D69" s="4" t="s">
        <v>309</v>
      </c>
      <c r="E69" s="4">
        <v>6501704222</v>
      </c>
      <c r="F69" s="4">
        <f>VLOOKUP(E:E,代理人!E:AD,23,FALSE)</f>
        <v>0</v>
      </c>
      <c r="G69" s="4">
        <f>VLOOKUP(E:E,代理人!E:AD,24,FALSE)</f>
        <v>0</v>
      </c>
    </row>
    <row r="70" hidden="1" spans="1:7">
      <c r="A70" s="4" t="s">
        <v>42</v>
      </c>
      <c r="B70" s="4" t="s">
        <v>62</v>
      </c>
      <c r="C70" s="4" t="s">
        <v>228</v>
      </c>
      <c r="D70" s="4" t="s">
        <v>310</v>
      </c>
      <c r="E70" s="4">
        <v>6497433522</v>
      </c>
      <c r="F70" s="4">
        <f>VLOOKUP(E:E,代理人!E:AD,23,FALSE)</f>
        <v>0</v>
      </c>
      <c r="G70" s="4">
        <f>VLOOKUP(E:E,代理人!E:AD,24,FALSE)</f>
        <v>0</v>
      </c>
    </row>
    <row r="71" hidden="1" spans="1:7">
      <c r="A71" s="4" t="s">
        <v>48</v>
      </c>
      <c r="B71" s="4" t="s">
        <v>49</v>
      </c>
      <c r="C71" s="4" t="s">
        <v>98</v>
      </c>
      <c r="D71" s="4" t="s">
        <v>311</v>
      </c>
      <c r="E71" s="4">
        <v>6497424452</v>
      </c>
      <c r="F71" s="4">
        <f>VLOOKUP(E:E,代理人!E:AD,23,FALSE)</f>
        <v>0</v>
      </c>
      <c r="G71" s="4">
        <f>VLOOKUP(E:E,代理人!E:AD,24,FALSE)</f>
        <v>0</v>
      </c>
    </row>
    <row r="72" hidden="1" spans="1:7">
      <c r="A72" s="4" t="s">
        <v>42</v>
      </c>
      <c r="B72" s="4" t="s">
        <v>62</v>
      </c>
      <c r="C72" s="4" t="s">
        <v>72</v>
      </c>
      <c r="D72" s="4" t="s">
        <v>312</v>
      </c>
      <c r="E72" s="4">
        <v>6496226942</v>
      </c>
      <c r="F72" s="4">
        <f>VLOOKUP(E:E,代理人!E:AD,23,FALSE)</f>
        <v>0</v>
      </c>
      <c r="G72" s="4">
        <f>VLOOKUP(E:E,代理人!E:AD,24,FALSE)</f>
        <v>0</v>
      </c>
    </row>
    <row r="73" hidden="1" spans="1:7">
      <c r="A73" s="4" t="s">
        <v>42</v>
      </c>
      <c r="B73" s="4" t="s">
        <v>62</v>
      </c>
      <c r="C73" s="4" t="s">
        <v>72</v>
      </c>
      <c r="D73" s="4" t="s">
        <v>313</v>
      </c>
      <c r="E73" s="4">
        <v>6495945912</v>
      </c>
      <c r="F73" s="4">
        <f>VLOOKUP(E:E,代理人!E:AD,23,FALSE)</f>
        <v>0</v>
      </c>
      <c r="G73" s="4">
        <f>VLOOKUP(E:E,代理人!E:AD,24,FALSE)</f>
        <v>0</v>
      </c>
    </row>
    <row r="74" hidden="1" spans="1:7">
      <c r="A74" s="4" t="s">
        <v>42</v>
      </c>
      <c r="B74" s="4" t="s">
        <v>66</v>
      </c>
      <c r="C74" s="4" t="s">
        <v>67</v>
      </c>
      <c r="D74" s="4" t="s">
        <v>314</v>
      </c>
      <c r="E74" s="4">
        <v>6495919602</v>
      </c>
      <c r="F74" s="4">
        <f>VLOOKUP(E:E,代理人!E:AD,23,FALSE)</f>
        <v>0</v>
      </c>
      <c r="G74" s="4">
        <f>VLOOKUP(E:E,代理人!E:AD,24,FALSE)</f>
        <v>0</v>
      </c>
    </row>
    <row r="75" hidden="1" spans="1:7">
      <c r="A75" s="4" t="s">
        <v>42</v>
      </c>
      <c r="B75" s="4" t="s">
        <v>62</v>
      </c>
      <c r="C75" s="4" t="s">
        <v>72</v>
      </c>
      <c r="D75" s="4" t="s">
        <v>315</v>
      </c>
      <c r="E75" s="4">
        <v>6495478082</v>
      </c>
      <c r="F75" s="4">
        <f>VLOOKUP(E:E,代理人!E:AD,23,FALSE)</f>
        <v>0</v>
      </c>
      <c r="G75" s="4">
        <f>VLOOKUP(E:E,代理人!E:AD,24,FALSE)</f>
        <v>0</v>
      </c>
    </row>
    <row r="76" hidden="1" spans="1:7">
      <c r="A76" s="4" t="s">
        <v>42</v>
      </c>
      <c r="B76" s="4" t="s">
        <v>62</v>
      </c>
      <c r="C76" s="4" t="s">
        <v>63</v>
      </c>
      <c r="D76" s="4" t="s">
        <v>316</v>
      </c>
      <c r="E76" s="4">
        <v>6493243482</v>
      </c>
      <c r="F76" s="4">
        <f>VLOOKUP(E:E,代理人!E:AD,23,FALSE)</f>
        <v>0</v>
      </c>
      <c r="G76" s="4">
        <f>VLOOKUP(E:E,代理人!E:AD,24,FALSE)</f>
        <v>0</v>
      </c>
    </row>
    <row r="77" hidden="1" spans="1:7">
      <c r="A77" s="4" t="s">
        <v>42</v>
      </c>
      <c r="B77" s="4" t="s">
        <v>62</v>
      </c>
      <c r="C77" s="4" t="s">
        <v>72</v>
      </c>
      <c r="D77" s="4" t="s">
        <v>317</v>
      </c>
      <c r="E77" s="4">
        <v>6487627452</v>
      </c>
      <c r="F77" s="4">
        <f>VLOOKUP(E:E,代理人!E:AD,23,FALSE)</f>
        <v>0</v>
      </c>
      <c r="G77" s="4">
        <f>VLOOKUP(E:E,代理人!E:AD,24,FALSE)</f>
        <v>0</v>
      </c>
    </row>
    <row r="78" hidden="1" spans="1:7">
      <c r="A78" s="4" t="s">
        <v>42</v>
      </c>
      <c r="B78" s="4" t="s">
        <v>62</v>
      </c>
      <c r="C78" s="4" t="s">
        <v>72</v>
      </c>
      <c r="D78" s="4" t="s">
        <v>318</v>
      </c>
      <c r="E78" s="4">
        <v>6486797032</v>
      </c>
      <c r="F78" s="4">
        <f>VLOOKUP(E:E,代理人!E:AD,23,FALSE)</f>
        <v>0</v>
      </c>
      <c r="G78" s="4">
        <f>VLOOKUP(E:E,代理人!E:AD,24,FALSE)</f>
        <v>0</v>
      </c>
    </row>
    <row r="79" hidden="1" spans="1:7">
      <c r="A79" s="4" t="s">
        <v>27</v>
      </c>
      <c r="B79" s="4" t="s">
        <v>28</v>
      </c>
      <c r="C79" s="4" t="s">
        <v>29</v>
      </c>
      <c r="D79" s="4" t="s">
        <v>319</v>
      </c>
      <c r="E79" s="4">
        <v>6483119202</v>
      </c>
      <c r="F79" s="4">
        <f>VLOOKUP(E:E,代理人!E:AD,23,FALSE)</f>
        <v>0</v>
      </c>
      <c r="G79" s="4">
        <f>VLOOKUP(E:E,代理人!E:AD,24,FALSE)</f>
        <v>0</v>
      </c>
    </row>
    <row r="80" hidden="1" spans="1:7">
      <c r="A80" s="4" t="s">
        <v>27</v>
      </c>
      <c r="B80" s="4" t="s">
        <v>37</v>
      </c>
      <c r="C80" s="4" t="s">
        <v>226</v>
      </c>
      <c r="D80" s="4" t="s">
        <v>320</v>
      </c>
      <c r="E80" s="4">
        <v>6482965082</v>
      </c>
      <c r="F80" s="4">
        <f>VLOOKUP(E:E,代理人!E:AD,23,FALSE)</f>
        <v>0</v>
      </c>
      <c r="G80" s="4">
        <f>VLOOKUP(E:E,代理人!E:AD,24,FALSE)</f>
        <v>0</v>
      </c>
    </row>
    <row r="81" hidden="1" spans="1:7">
      <c r="A81" s="4" t="s">
        <v>27</v>
      </c>
      <c r="B81" s="4" t="s">
        <v>28</v>
      </c>
      <c r="C81" s="4" t="s">
        <v>29</v>
      </c>
      <c r="D81" s="4" t="s">
        <v>321</v>
      </c>
      <c r="E81" s="4">
        <v>6481562702</v>
      </c>
      <c r="F81" s="4">
        <f>VLOOKUP(E:E,代理人!E:AD,23,FALSE)</f>
        <v>0</v>
      </c>
      <c r="G81" s="4">
        <f>VLOOKUP(E:E,代理人!E:AD,24,FALSE)</f>
        <v>0</v>
      </c>
    </row>
    <row r="82" hidden="1" spans="1:7">
      <c r="A82" s="4" t="s">
        <v>42</v>
      </c>
      <c r="B82" s="4" t="s">
        <v>62</v>
      </c>
      <c r="C82" s="4" t="s">
        <v>92</v>
      </c>
      <c r="D82" s="4" t="s">
        <v>322</v>
      </c>
      <c r="E82" s="4">
        <v>6481010612</v>
      </c>
      <c r="F82" s="4">
        <f>VLOOKUP(E:E,代理人!E:AD,23,FALSE)</f>
        <v>0</v>
      </c>
      <c r="G82" s="4">
        <f>VLOOKUP(E:E,代理人!E:AD,24,FALSE)</f>
        <v>0</v>
      </c>
    </row>
    <row r="83" hidden="1" spans="1:7">
      <c r="A83" s="4" t="s">
        <v>27</v>
      </c>
      <c r="B83" s="4" t="s">
        <v>28</v>
      </c>
      <c r="C83" s="4" t="s">
        <v>29</v>
      </c>
      <c r="D83" s="4" t="s">
        <v>323</v>
      </c>
      <c r="E83" s="4">
        <v>6478470472</v>
      </c>
      <c r="F83" s="4">
        <f>VLOOKUP(E:E,代理人!E:AD,23,FALSE)</f>
        <v>0</v>
      </c>
      <c r="G83" s="4">
        <f>VLOOKUP(E:E,代理人!E:AD,24,FALSE)</f>
        <v>0</v>
      </c>
    </row>
    <row r="84" hidden="1" spans="1:7">
      <c r="A84" s="4" t="s">
        <v>27</v>
      </c>
      <c r="B84" s="4" t="s">
        <v>28</v>
      </c>
      <c r="C84" s="4" t="s">
        <v>29</v>
      </c>
      <c r="D84" s="4" t="s">
        <v>324</v>
      </c>
      <c r="E84" s="4">
        <v>6478511252</v>
      </c>
      <c r="F84" s="4">
        <f>VLOOKUP(E:E,代理人!E:AD,23,FALSE)</f>
        <v>0</v>
      </c>
      <c r="G84" s="4">
        <f>VLOOKUP(E:E,代理人!E:AD,24,FALSE)</f>
        <v>0</v>
      </c>
    </row>
    <row r="85" hidden="1" spans="1:7">
      <c r="A85" s="4" t="s">
        <v>42</v>
      </c>
      <c r="B85" s="4" t="s">
        <v>43</v>
      </c>
      <c r="C85" s="4" t="s">
        <v>44</v>
      </c>
      <c r="D85" s="4" t="s">
        <v>325</v>
      </c>
      <c r="E85" s="4">
        <v>6477994542</v>
      </c>
      <c r="F85" s="4">
        <f>VLOOKUP(E:E,代理人!E:AD,23,FALSE)</f>
        <v>0</v>
      </c>
      <c r="G85" s="4">
        <f>VLOOKUP(E:E,代理人!E:AD,24,FALSE)</f>
        <v>0</v>
      </c>
    </row>
    <row r="86" hidden="1" spans="1:7">
      <c r="A86" s="4" t="s">
        <v>48</v>
      </c>
      <c r="B86" s="4" t="s">
        <v>49</v>
      </c>
      <c r="C86" s="4" t="s">
        <v>50</v>
      </c>
      <c r="D86" s="4" t="s">
        <v>326</v>
      </c>
      <c r="E86" s="4">
        <v>6476533172</v>
      </c>
      <c r="F86" s="4">
        <f>VLOOKUP(E:E,代理人!E:AD,23,FALSE)</f>
        <v>0</v>
      </c>
      <c r="G86" s="4">
        <f>VLOOKUP(E:E,代理人!E:AD,24,FALSE)</f>
        <v>0</v>
      </c>
    </row>
    <row r="87" hidden="1" spans="1:7">
      <c r="A87" s="4" t="s">
        <v>42</v>
      </c>
      <c r="B87" s="4" t="s">
        <v>43</v>
      </c>
      <c r="C87" s="4" t="s">
        <v>44</v>
      </c>
      <c r="D87" s="4" t="s">
        <v>327</v>
      </c>
      <c r="E87" s="4">
        <v>6476530472</v>
      </c>
      <c r="F87" s="4">
        <f>VLOOKUP(E:E,代理人!E:AD,23,FALSE)</f>
        <v>0</v>
      </c>
      <c r="G87" s="4">
        <f>VLOOKUP(E:E,代理人!E:AD,24,FALSE)</f>
        <v>0</v>
      </c>
    </row>
    <row r="88" hidden="1" spans="1:7">
      <c r="A88" s="4" t="s">
        <v>42</v>
      </c>
      <c r="B88" s="4" t="s">
        <v>62</v>
      </c>
      <c r="C88" s="4" t="s">
        <v>108</v>
      </c>
      <c r="D88" s="4" t="s">
        <v>328</v>
      </c>
      <c r="E88" s="4">
        <v>6474412812</v>
      </c>
      <c r="F88" s="4">
        <f>VLOOKUP(E:E,代理人!E:AD,23,FALSE)</f>
        <v>0</v>
      </c>
      <c r="G88" s="4">
        <f>VLOOKUP(E:E,代理人!E:AD,24,FALSE)</f>
        <v>0</v>
      </c>
    </row>
    <row r="89" hidden="1" spans="1:7">
      <c r="A89" s="4" t="s">
        <v>42</v>
      </c>
      <c r="B89" s="4" t="s">
        <v>62</v>
      </c>
      <c r="C89" s="4" t="s">
        <v>63</v>
      </c>
      <c r="D89" s="4" t="s">
        <v>329</v>
      </c>
      <c r="E89" s="4">
        <v>6472388482</v>
      </c>
      <c r="F89" s="4">
        <f>VLOOKUP(E:E,代理人!E:AD,23,FALSE)</f>
        <v>0</v>
      </c>
      <c r="G89" s="4">
        <f>VLOOKUP(E:E,代理人!E:AD,24,FALSE)</f>
        <v>0</v>
      </c>
    </row>
    <row r="90" hidden="1" spans="1:7">
      <c r="A90" s="4" t="s">
        <v>48</v>
      </c>
      <c r="B90" s="4" t="s">
        <v>49</v>
      </c>
      <c r="C90" s="4" t="s">
        <v>98</v>
      </c>
      <c r="D90" s="4" t="s">
        <v>330</v>
      </c>
      <c r="E90" s="4">
        <v>6458436822</v>
      </c>
      <c r="F90" s="4">
        <f>VLOOKUP(E:E,代理人!E:AD,23,FALSE)</f>
        <v>0</v>
      </c>
      <c r="G90" s="4">
        <f>VLOOKUP(E:E,代理人!E:AD,24,FALSE)</f>
        <v>0</v>
      </c>
    </row>
    <row r="91" hidden="1" spans="1:7">
      <c r="A91" s="4" t="s">
        <v>27</v>
      </c>
      <c r="B91" s="4" t="s">
        <v>28</v>
      </c>
      <c r="C91" s="4" t="s">
        <v>29</v>
      </c>
      <c r="D91" s="4" t="s">
        <v>331</v>
      </c>
      <c r="E91" s="4">
        <v>6458315312</v>
      </c>
      <c r="F91" s="4">
        <f>VLOOKUP(E:E,代理人!E:AD,23,FALSE)</f>
        <v>0</v>
      </c>
      <c r="G91" s="4">
        <f>VLOOKUP(E:E,代理人!E:AD,24,FALSE)</f>
        <v>0</v>
      </c>
    </row>
    <row r="92" hidden="1" spans="1:7">
      <c r="A92" s="4" t="s">
        <v>42</v>
      </c>
      <c r="B92" s="4" t="s">
        <v>62</v>
      </c>
      <c r="C92" s="4" t="s">
        <v>86</v>
      </c>
      <c r="D92" s="4" t="s">
        <v>332</v>
      </c>
      <c r="E92" s="4">
        <v>6457945452</v>
      </c>
      <c r="F92" s="4">
        <f>VLOOKUP(E:E,代理人!E:AD,23,FALSE)</f>
        <v>0</v>
      </c>
      <c r="G92" s="4">
        <f>VLOOKUP(E:E,代理人!E:AD,24,FALSE)</f>
        <v>0</v>
      </c>
    </row>
    <row r="93" hidden="1" spans="1:7">
      <c r="A93" s="4" t="s">
        <v>48</v>
      </c>
      <c r="B93" s="4" t="s">
        <v>49</v>
      </c>
      <c r="C93" s="4" t="s">
        <v>98</v>
      </c>
      <c r="D93" s="4" t="s">
        <v>333</v>
      </c>
      <c r="E93" s="4">
        <v>6454146112</v>
      </c>
      <c r="F93" s="4">
        <f>VLOOKUP(E:E,代理人!E:AD,23,FALSE)</f>
        <v>0</v>
      </c>
      <c r="G93" s="4">
        <f>VLOOKUP(E:E,代理人!E:AD,24,FALSE)</f>
        <v>0</v>
      </c>
    </row>
    <row r="94" hidden="1" spans="1:7">
      <c r="A94" s="4" t="s">
        <v>42</v>
      </c>
      <c r="B94" s="4" t="s">
        <v>62</v>
      </c>
      <c r="C94" s="4" t="s">
        <v>63</v>
      </c>
      <c r="D94" s="4" t="s">
        <v>334</v>
      </c>
      <c r="E94" s="4">
        <v>6448088632</v>
      </c>
      <c r="F94" s="4">
        <f>VLOOKUP(E:E,代理人!E:AD,23,FALSE)</f>
        <v>0</v>
      </c>
      <c r="G94" s="4">
        <f>VLOOKUP(E:E,代理人!E:AD,24,FALSE)</f>
        <v>0</v>
      </c>
    </row>
    <row r="95" hidden="1" spans="1:7">
      <c r="A95" s="4" t="s">
        <v>27</v>
      </c>
      <c r="B95" s="4" t="s">
        <v>28</v>
      </c>
      <c r="C95" s="4" t="s">
        <v>29</v>
      </c>
      <c r="D95" s="4" t="s">
        <v>335</v>
      </c>
      <c r="E95" s="4">
        <v>6448056922</v>
      </c>
      <c r="F95" s="4">
        <f>VLOOKUP(E:E,代理人!E:AD,23,FALSE)</f>
        <v>0</v>
      </c>
      <c r="G95" s="4">
        <f>VLOOKUP(E:E,代理人!E:AD,24,FALSE)</f>
        <v>0</v>
      </c>
    </row>
    <row r="96" hidden="1" spans="1:7">
      <c r="A96" s="4" t="s">
        <v>27</v>
      </c>
      <c r="B96" s="4" t="s">
        <v>28</v>
      </c>
      <c r="C96" s="4" t="s">
        <v>29</v>
      </c>
      <c r="D96" s="4" t="s">
        <v>336</v>
      </c>
      <c r="E96" s="4">
        <v>6448005202</v>
      </c>
      <c r="F96" s="4">
        <f>VLOOKUP(E:E,代理人!E:AD,23,FALSE)</f>
        <v>0</v>
      </c>
      <c r="G96" s="4">
        <f>VLOOKUP(E:E,代理人!E:AD,24,FALSE)</f>
        <v>0</v>
      </c>
    </row>
    <row r="97" hidden="1" spans="1:7">
      <c r="A97" s="4" t="s">
        <v>27</v>
      </c>
      <c r="B97" s="4" t="s">
        <v>28</v>
      </c>
      <c r="C97" s="4" t="s">
        <v>29</v>
      </c>
      <c r="D97" s="4" t="s">
        <v>337</v>
      </c>
      <c r="E97" s="4">
        <v>6447214732</v>
      </c>
      <c r="F97" s="4">
        <f>VLOOKUP(E:E,代理人!E:AD,23,FALSE)</f>
        <v>0</v>
      </c>
      <c r="G97" s="4">
        <f>VLOOKUP(E:E,代理人!E:AD,24,FALSE)</f>
        <v>0</v>
      </c>
    </row>
    <row r="98" hidden="1" spans="1:7">
      <c r="A98" s="4" t="s">
        <v>42</v>
      </c>
      <c r="B98" s="4" t="s">
        <v>62</v>
      </c>
      <c r="C98" s="4" t="s">
        <v>108</v>
      </c>
      <c r="D98" s="4" t="s">
        <v>338</v>
      </c>
      <c r="E98" s="4">
        <v>6442894112</v>
      </c>
      <c r="F98" s="4">
        <f>VLOOKUP(E:E,代理人!E:AD,23,FALSE)</f>
        <v>0</v>
      </c>
      <c r="G98" s="4">
        <f>VLOOKUP(E:E,代理人!E:AD,24,FALSE)</f>
        <v>0</v>
      </c>
    </row>
    <row r="99" hidden="1" spans="1:7">
      <c r="A99" s="4" t="s">
        <v>42</v>
      </c>
      <c r="B99" s="4" t="s">
        <v>66</v>
      </c>
      <c r="C99" s="4" t="s">
        <v>67</v>
      </c>
      <c r="D99" s="4" t="s">
        <v>339</v>
      </c>
      <c r="E99" s="4">
        <v>6441354852</v>
      </c>
      <c r="F99" s="4">
        <f>VLOOKUP(E:E,代理人!E:AD,23,FALSE)</f>
        <v>0</v>
      </c>
      <c r="G99" s="4">
        <f>VLOOKUP(E:E,代理人!E:AD,24,FALSE)</f>
        <v>0</v>
      </c>
    </row>
    <row r="100" hidden="1" spans="1:7">
      <c r="A100" s="4" t="s">
        <v>42</v>
      </c>
      <c r="B100" s="4" t="s">
        <v>62</v>
      </c>
      <c r="C100" s="4" t="s">
        <v>63</v>
      </c>
      <c r="D100" s="4" t="s">
        <v>340</v>
      </c>
      <c r="E100" s="4">
        <v>6441321272</v>
      </c>
      <c r="F100" s="4">
        <f>VLOOKUP(E:E,代理人!E:AD,23,FALSE)</f>
        <v>0</v>
      </c>
      <c r="G100" s="4">
        <f>VLOOKUP(E:E,代理人!E:AD,24,FALSE)</f>
        <v>0</v>
      </c>
    </row>
    <row r="101" hidden="1" spans="1:7">
      <c r="A101" s="4" t="s">
        <v>27</v>
      </c>
      <c r="B101" s="4" t="s">
        <v>28</v>
      </c>
      <c r="C101" s="4" t="s">
        <v>29</v>
      </c>
      <c r="D101" s="4" t="s">
        <v>341</v>
      </c>
      <c r="E101" s="4">
        <v>6438319742</v>
      </c>
      <c r="F101" s="4">
        <f>VLOOKUP(E:E,代理人!E:AD,23,FALSE)</f>
        <v>0</v>
      </c>
      <c r="G101" s="4">
        <f>VLOOKUP(E:E,代理人!E:AD,24,FALSE)</f>
        <v>0</v>
      </c>
    </row>
    <row r="102" hidden="1" spans="1:7">
      <c r="A102" s="4" t="s">
        <v>27</v>
      </c>
      <c r="B102" s="4" t="s">
        <v>28</v>
      </c>
      <c r="C102" s="4" t="s">
        <v>29</v>
      </c>
      <c r="D102" s="4" t="s">
        <v>342</v>
      </c>
      <c r="E102" s="4">
        <v>6439051292</v>
      </c>
      <c r="F102" s="4">
        <f>VLOOKUP(E:E,代理人!E:AD,23,FALSE)</f>
        <v>0</v>
      </c>
      <c r="G102" s="4">
        <f>VLOOKUP(E:E,代理人!E:AD,24,FALSE)</f>
        <v>0</v>
      </c>
    </row>
    <row r="103" hidden="1" spans="1:7">
      <c r="A103" s="4" t="s">
        <v>42</v>
      </c>
      <c r="B103" s="4" t="s">
        <v>66</v>
      </c>
      <c r="C103" s="4" t="s">
        <v>343</v>
      </c>
      <c r="D103" s="4" t="s">
        <v>344</v>
      </c>
      <c r="E103" s="4">
        <v>6438293432</v>
      </c>
      <c r="F103" s="4">
        <f>VLOOKUP(E:E,代理人!E:AD,23,FALSE)</f>
        <v>0</v>
      </c>
      <c r="G103" s="4">
        <f>VLOOKUP(E:E,代理人!E:AD,24,FALSE)</f>
        <v>0</v>
      </c>
    </row>
    <row r="104" hidden="1" spans="1:7">
      <c r="A104" s="4" t="s">
        <v>42</v>
      </c>
      <c r="B104" s="4" t="s">
        <v>62</v>
      </c>
      <c r="C104" s="4" t="s">
        <v>108</v>
      </c>
      <c r="D104" s="4" t="s">
        <v>345</v>
      </c>
      <c r="E104" s="4">
        <v>6438929852</v>
      </c>
      <c r="F104" s="4">
        <f>VLOOKUP(E:E,代理人!E:AD,23,FALSE)</f>
        <v>0</v>
      </c>
      <c r="G104" s="4">
        <f>VLOOKUP(E:E,代理人!E:AD,24,FALSE)</f>
        <v>0</v>
      </c>
    </row>
    <row r="105" hidden="1" spans="1:7">
      <c r="A105" s="4" t="s">
        <v>27</v>
      </c>
      <c r="B105" s="4" t="s">
        <v>28</v>
      </c>
      <c r="C105" s="4" t="s">
        <v>29</v>
      </c>
      <c r="D105" s="4" t="s">
        <v>346</v>
      </c>
      <c r="E105" s="4">
        <v>6438661492</v>
      </c>
      <c r="F105" s="4">
        <f>VLOOKUP(E:E,代理人!E:AD,23,FALSE)</f>
        <v>0</v>
      </c>
      <c r="G105" s="4">
        <f>VLOOKUP(E:E,代理人!E:AD,24,FALSE)</f>
        <v>0</v>
      </c>
    </row>
    <row r="106" hidden="1" spans="1:7">
      <c r="A106" s="4" t="s">
        <v>27</v>
      </c>
      <c r="B106" s="4" t="s">
        <v>37</v>
      </c>
      <c r="C106" s="4" t="s">
        <v>226</v>
      </c>
      <c r="D106" s="4" t="s">
        <v>347</v>
      </c>
      <c r="E106" s="4">
        <v>6438544552</v>
      </c>
      <c r="F106" s="4">
        <f>VLOOKUP(E:E,代理人!E:AD,23,FALSE)</f>
        <v>0</v>
      </c>
      <c r="G106" s="4">
        <f>VLOOKUP(E:E,代理人!E:AD,24,FALSE)</f>
        <v>0</v>
      </c>
    </row>
    <row r="107" hidden="1" spans="1:7">
      <c r="A107" s="4" t="s">
        <v>27</v>
      </c>
      <c r="B107" s="4" t="s">
        <v>28</v>
      </c>
      <c r="C107" s="4" t="s">
        <v>29</v>
      </c>
      <c r="D107" s="4" t="s">
        <v>348</v>
      </c>
      <c r="E107" s="4">
        <v>6437396892</v>
      </c>
      <c r="F107" s="4">
        <f>VLOOKUP(E:E,代理人!E:AD,23,FALSE)</f>
        <v>0</v>
      </c>
      <c r="G107" s="4">
        <f>VLOOKUP(E:E,代理人!E:AD,24,FALSE)</f>
        <v>0</v>
      </c>
    </row>
    <row r="108" hidden="1" spans="1:7">
      <c r="A108" s="4" t="s">
        <v>27</v>
      </c>
      <c r="B108" s="4" t="s">
        <v>28</v>
      </c>
      <c r="C108" s="4" t="s">
        <v>29</v>
      </c>
      <c r="D108" s="4" t="s">
        <v>349</v>
      </c>
      <c r="E108" s="4">
        <v>6434539442</v>
      </c>
      <c r="F108" s="4">
        <f>VLOOKUP(E:E,代理人!E:AD,23,FALSE)</f>
        <v>0</v>
      </c>
      <c r="G108" s="4">
        <f>VLOOKUP(E:E,代理人!E:AD,24,FALSE)</f>
        <v>0</v>
      </c>
    </row>
    <row r="109" hidden="1" spans="1:7">
      <c r="A109" s="4" t="s">
        <v>27</v>
      </c>
      <c r="B109" s="4" t="s">
        <v>28</v>
      </c>
      <c r="C109" s="4" t="s">
        <v>29</v>
      </c>
      <c r="D109" s="4" t="s">
        <v>350</v>
      </c>
      <c r="E109" s="4">
        <v>6434509532</v>
      </c>
      <c r="F109" s="4">
        <f>VLOOKUP(E:E,代理人!E:AD,23,FALSE)</f>
        <v>0</v>
      </c>
      <c r="G109" s="4">
        <f>VLOOKUP(E:E,代理人!E:AD,24,FALSE)</f>
        <v>0</v>
      </c>
    </row>
    <row r="110" hidden="1" spans="1:7">
      <c r="A110" s="4" t="s">
        <v>42</v>
      </c>
      <c r="B110" s="4" t="s">
        <v>62</v>
      </c>
      <c r="C110" s="4" t="s">
        <v>228</v>
      </c>
      <c r="D110" s="4" t="s">
        <v>351</v>
      </c>
      <c r="E110" s="4">
        <v>6433744402</v>
      </c>
      <c r="F110" s="4">
        <f>VLOOKUP(E:E,代理人!E:AD,23,FALSE)</f>
        <v>0</v>
      </c>
      <c r="G110" s="4">
        <f>VLOOKUP(E:E,代理人!E:AD,24,FALSE)</f>
        <v>0</v>
      </c>
    </row>
    <row r="111" hidden="1" spans="1:7">
      <c r="A111" s="4" t="s">
        <v>27</v>
      </c>
      <c r="B111" s="4" t="s">
        <v>28</v>
      </c>
      <c r="C111" s="4" t="s">
        <v>29</v>
      </c>
      <c r="D111" s="4" t="s">
        <v>352</v>
      </c>
      <c r="E111" s="4">
        <v>6426650732</v>
      </c>
      <c r="F111" s="4">
        <f>VLOOKUP(E:E,代理人!E:AD,23,FALSE)</f>
        <v>0</v>
      </c>
      <c r="G111" s="4">
        <f>VLOOKUP(E:E,代理人!E:AD,24,FALSE)</f>
        <v>0</v>
      </c>
    </row>
    <row r="112" hidden="1" spans="1:7">
      <c r="A112" s="4" t="s">
        <v>27</v>
      </c>
      <c r="B112" s="4" t="s">
        <v>28</v>
      </c>
      <c r="C112" s="4" t="s">
        <v>29</v>
      </c>
      <c r="D112" s="4" t="s">
        <v>353</v>
      </c>
      <c r="E112" s="4">
        <v>6426594512</v>
      </c>
      <c r="F112" s="4">
        <f>VLOOKUP(E:E,代理人!E:AD,23,FALSE)</f>
        <v>0</v>
      </c>
      <c r="G112" s="4">
        <f>VLOOKUP(E:E,代理人!E:AD,24,FALSE)</f>
        <v>0</v>
      </c>
    </row>
    <row r="113" hidden="1" spans="1:7">
      <c r="A113" s="4" t="s">
        <v>27</v>
      </c>
      <c r="B113" s="4" t="s">
        <v>28</v>
      </c>
      <c r="C113" s="4" t="s">
        <v>29</v>
      </c>
      <c r="D113" s="4" t="s">
        <v>354</v>
      </c>
      <c r="E113" s="4">
        <v>6426549162</v>
      </c>
      <c r="F113" s="4">
        <f>VLOOKUP(E:E,代理人!E:AD,23,FALSE)</f>
        <v>0</v>
      </c>
      <c r="G113" s="4">
        <f>VLOOKUP(E:E,代理人!E:AD,24,FALSE)</f>
        <v>0</v>
      </c>
    </row>
    <row r="114" hidden="1" spans="1:7">
      <c r="A114" s="4" t="s">
        <v>27</v>
      </c>
      <c r="B114" s="4" t="s">
        <v>28</v>
      </c>
      <c r="C114" s="4" t="s">
        <v>29</v>
      </c>
      <c r="D114" s="4" t="s">
        <v>355</v>
      </c>
      <c r="E114" s="4">
        <v>6426493912</v>
      </c>
      <c r="F114" s="4">
        <f>VLOOKUP(E:E,代理人!E:AD,23,FALSE)</f>
        <v>0</v>
      </c>
      <c r="G114" s="4">
        <f>VLOOKUP(E:E,代理人!E:AD,24,FALSE)</f>
        <v>0</v>
      </c>
    </row>
    <row r="115" hidden="1" spans="1:7">
      <c r="A115" s="4" t="s">
        <v>27</v>
      </c>
      <c r="B115" s="4" t="s">
        <v>100</v>
      </c>
      <c r="C115" s="4" t="s">
        <v>101</v>
      </c>
      <c r="D115" s="4" t="s">
        <v>356</v>
      </c>
      <c r="E115" s="4">
        <v>6426457632</v>
      </c>
      <c r="F115" s="4">
        <f>VLOOKUP(E:E,代理人!E:AD,23,FALSE)</f>
        <v>0</v>
      </c>
      <c r="G115" s="4">
        <f>VLOOKUP(E:E,代理人!E:AD,24,FALSE)</f>
        <v>0</v>
      </c>
    </row>
    <row r="116" hidden="1" spans="1:7">
      <c r="A116" s="4" t="s">
        <v>27</v>
      </c>
      <c r="B116" s="4" t="s">
        <v>28</v>
      </c>
      <c r="C116" s="4" t="s">
        <v>29</v>
      </c>
      <c r="D116" s="4" t="s">
        <v>357</v>
      </c>
      <c r="E116" s="4">
        <v>6426273602</v>
      </c>
      <c r="F116" s="4">
        <f>VLOOKUP(E:E,代理人!E:AD,23,FALSE)</f>
        <v>0</v>
      </c>
      <c r="G116" s="4">
        <f>VLOOKUP(E:E,代理人!E:AD,24,FALSE)</f>
        <v>0</v>
      </c>
    </row>
    <row r="117" hidden="1" spans="1:7">
      <c r="A117" s="4" t="s">
        <v>27</v>
      </c>
      <c r="B117" s="4" t="s">
        <v>100</v>
      </c>
      <c r="C117" s="4" t="s">
        <v>101</v>
      </c>
      <c r="D117" s="4" t="s">
        <v>358</v>
      </c>
      <c r="E117" s="4">
        <v>6426223752</v>
      </c>
      <c r="F117" s="4">
        <f>VLOOKUP(E:E,代理人!E:AD,23,FALSE)</f>
        <v>0</v>
      </c>
      <c r="G117" s="4">
        <f>VLOOKUP(E:E,代理人!E:AD,24,FALSE)</f>
        <v>0</v>
      </c>
    </row>
    <row r="118" hidden="1" spans="1:7">
      <c r="A118" s="4" t="s">
        <v>27</v>
      </c>
      <c r="B118" s="4" t="s">
        <v>28</v>
      </c>
      <c r="C118" s="4" t="s">
        <v>29</v>
      </c>
      <c r="D118" s="4" t="s">
        <v>359</v>
      </c>
      <c r="E118" s="4">
        <v>6426198342</v>
      </c>
      <c r="F118" s="4">
        <f>VLOOKUP(E:E,代理人!E:AD,23,FALSE)</f>
        <v>0</v>
      </c>
      <c r="G118" s="4">
        <f>VLOOKUP(E:E,代理人!E:AD,24,FALSE)</f>
        <v>0</v>
      </c>
    </row>
    <row r="119" hidden="1" spans="1:7">
      <c r="A119" s="4" t="s">
        <v>42</v>
      </c>
      <c r="B119" s="4" t="s">
        <v>66</v>
      </c>
      <c r="C119" s="4" t="s">
        <v>343</v>
      </c>
      <c r="D119" s="4" t="s">
        <v>360</v>
      </c>
      <c r="E119" s="4">
        <v>6425978032</v>
      </c>
      <c r="F119" s="4">
        <f>VLOOKUP(E:E,代理人!E:AD,23,FALSE)</f>
        <v>0</v>
      </c>
      <c r="G119" s="4">
        <f>VLOOKUP(E:E,代理人!E:AD,24,FALSE)</f>
        <v>0</v>
      </c>
    </row>
    <row r="120" hidden="1" spans="1:7">
      <c r="A120" s="4" t="s">
        <v>42</v>
      </c>
      <c r="B120" s="4" t="s">
        <v>62</v>
      </c>
      <c r="C120" s="4" t="s">
        <v>108</v>
      </c>
      <c r="D120" s="4" t="s">
        <v>361</v>
      </c>
      <c r="E120" s="4">
        <v>6425913712</v>
      </c>
      <c r="F120" s="4">
        <f>VLOOKUP(E:E,代理人!E:AD,23,FALSE)</f>
        <v>0</v>
      </c>
      <c r="G120" s="4">
        <f>VLOOKUP(E:E,代理人!E:AD,24,FALSE)</f>
        <v>0</v>
      </c>
    </row>
    <row r="121" hidden="1" spans="1:7">
      <c r="A121" s="4" t="s">
        <v>42</v>
      </c>
      <c r="B121" s="4" t="s">
        <v>62</v>
      </c>
      <c r="C121" s="4" t="s">
        <v>63</v>
      </c>
      <c r="D121" s="4" t="s">
        <v>362</v>
      </c>
      <c r="E121" s="4">
        <v>6425876532</v>
      </c>
      <c r="F121" s="4">
        <f>VLOOKUP(E:E,代理人!E:AD,23,FALSE)</f>
        <v>0</v>
      </c>
      <c r="G121" s="4">
        <f>VLOOKUP(E:E,代理人!E:AD,24,FALSE)</f>
        <v>0</v>
      </c>
    </row>
    <row r="122" hidden="1" spans="1:7">
      <c r="A122" s="4" t="s">
        <v>48</v>
      </c>
      <c r="B122" s="4" t="s">
        <v>49</v>
      </c>
      <c r="C122" s="4" t="s">
        <v>82</v>
      </c>
      <c r="D122" s="4" t="s">
        <v>363</v>
      </c>
      <c r="E122" s="4">
        <v>6425827582</v>
      </c>
      <c r="F122" s="4">
        <f>VLOOKUP(E:E,代理人!E:AD,23,FALSE)</f>
        <v>0</v>
      </c>
      <c r="G122" s="4">
        <f>VLOOKUP(E:E,代理人!E:AD,24,FALSE)</f>
        <v>0</v>
      </c>
    </row>
    <row r="123" hidden="1" spans="1:7">
      <c r="A123" s="4" t="s">
        <v>27</v>
      </c>
      <c r="B123" s="4" t="s">
        <v>94</v>
      </c>
      <c r="C123" s="4" t="s">
        <v>95</v>
      </c>
      <c r="D123" s="4" t="s">
        <v>364</v>
      </c>
      <c r="E123" s="4">
        <v>6425757792</v>
      </c>
      <c r="F123" s="4">
        <f>VLOOKUP(E:E,代理人!E:AD,23,FALSE)</f>
        <v>0</v>
      </c>
      <c r="G123" s="4">
        <f>VLOOKUP(E:E,代理人!E:AD,24,FALSE)</f>
        <v>0</v>
      </c>
    </row>
    <row r="124" hidden="1" spans="1:7">
      <c r="A124" s="4" t="s">
        <v>27</v>
      </c>
      <c r="B124" s="4" t="s">
        <v>94</v>
      </c>
      <c r="C124" s="4" t="s">
        <v>95</v>
      </c>
      <c r="D124" s="4" t="s">
        <v>365</v>
      </c>
      <c r="E124" s="4">
        <v>6425575562</v>
      </c>
      <c r="F124" s="4">
        <f>VLOOKUP(E:E,代理人!E:AD,23,FALSE)</f>
        <v>0</v>
      </c>
      <c r="G124" s="4">
        <f>VLOOKUP(E:E,代理人!E:AD,24,FALSE)</f>
        <v>0</v>
      </c>
    </row>
    <row r="125" hidden="1" spans="1:7">
      <c r="A125" s="4" t="s">
        <v>27</v>
      </c>
      <c r="B125" s="4" t="s">
        <v>37</v>
      </c>
      <c r="C125" s="4" t="s">
        <v>226</v>
      </c>
      <c r="D125" s="4" t="s">
        <v>366</v>
      </c>
      <c r="E125" s="4">
        <v>6425025272</v>
      </c>
      <c r="F125" s="4">
        <f>VLOOKUP(E:E,代理人!E:AD,23,FALSE)</f>
        <v>0</v>
      </c>
      <c r="G125" s="4">
        <f>VLOOKUP(E:E,代理人!E:AD,24,FALSE)</f>
        <v>0</v>
      </c>
    </row>
    <row r="126" hidden="1" spans="1:7">
      <c r="A126" s="4" t="s">
        <v>42</v>
      </c>
      <c r="B126" s="4" t="s">
        <v>43</v>
      </c>
      <c r="C126" s="4" t="s">
        <v>75</v>
      </c>
      <c r="D126" s="4" t="s">
        <v>367</v>
      </c>
      <c r="E126" s="4">
        <v>6424811332</v>
      </c>
      <c r="F126" s="4">
        <f>VLOOKUP(E:E,代理人!E:AD,23,FALSE)</f>
        <v>0</v>
      </c>
      <c r="G126" s="4">
        <f>VLOOKUP(E:E,代理人!E:AD,24,FALSE)</f>
        <v>0</v>
      </c>
    </row>
    <row r="127" hidden="1" spans="1:7">
      <c r="A127" s="4" t="s">
        <v>27</v>
      </c>
      <c r="B127" s="4" t="s">
        <v>37</v>
      </c>
      <c r="C127" s="4" t="s">
        <v>226</v>
      </c>
      <c r="D127" s="4" t="s">
        <v>368</v>
      </c>
      <c r="E127" s="4">
        <v>6424700762</v>
      </c>
      <c r="F127" s="4">
        <f>VLOOKUP(E:E,代理人!E:AD,23,FALSE)</f>
        <v>0</v>
      </c>
      <c r="G127" s="4">
        <f>VLOOKUP(E:E,代理人!E:AD,24,FALSE)</f>
        <v>0</v>
      </c>
    </row>
    <row r="128" hidden="1" spans="1:7">
      <c r="A128" s="4" t="s">
        <v>42</v>
      </c>
      <c r="B128" s="4" t="s">
        <v>62</v>
      </c>
      <c r="C128" s="4" t="s">
        <v>108</v>
      </c>
      <c r="D128" s="4" t="s">
        <v>369</v>
      </c>
      <c r="E128" s="4">
        <v>6417900792</v>
      </c>
      <c r="F128" s="4">
        <f>VLOOKUP(E:E,代理人!E:AD,23,FALSE)</f>
        <v>0</v>
      </c>
      <c r="G128" s="4">
        <f>VLOOKUP(E:E,代理人!E:AD,24,FALSE)</f>
        <v>0</v>
      </c>
    </row>
    <row r="129" hidden="1" spans="1:7">
      <c r="A129" s="4" t="s">
        <v>42</v>
      </c>
      <c r="B129" s="4" t="s">
        <v>62</v>
      </c>
      <c r="C129" s="4" t="s">
        <v>72</v>
      </c>
      <c r="D129" s="4" t="s">
        <v>370</v>
      </c>
      <c r="E129" s="4">
        <v>6411039132</v>
      </c>
      <c r="F129" s="4">
        <f>VLOOKUP(E:E,代理人!E:AD,23,FALSE)</f>
        <v>0</v>
      </c>
      <c r="G129" s="4">
        <f>VLOOKUP(E:E,代理人!E:AD,24,FALSE)</f>
        <v>0</v>
      </c>
    </row>
    <row r="130" hidden="1" spans="1:7">
      <c r="A130" s="4" t="s">
        <v>42</v>
      </c>
      <c r="B130" s="4" t="s">
        <v>62</v>
      </c>
      <c r="C130" s="4" t="s">
        <v>72</v>
      </c>
      <c r="D130" s="4" t="s">
        <v>218</v>
      </c>
      <c r="E130" s="4">
        <v>6409592302</v>
      </c>
      <c r="F130" s="4">
        <f>VLOOKUP(E:E,代理人!E:AD,23,FALSE)</f>
        <v>0</v>
      </c>
      <c r="G130" s="4">
        <f>VLOOKUP(E:E,代理人!E:AD,24,FALSE)</f>
        <v>0</v>
      </c>
    </row>
    <row r="131" hidden="1" spans="1:7">
      <c r="A131" s="4" t="s">
        <v>42</v>
      </c>
      <c r="B131" s="4" t="s">
        <v>62</v>
      </c>
      <c r="C131" s="4" t="s">
        <v>108</v>
      </c>
      <c r="D131" s="4" t="s">
        <v>371</v>
      </c>
      <c r="E131" s="4">
        <v>6409585032</v>
      </c>
      <c r="F131" s="4">
        <f>VLOOKUP(E:E,代理人!E:AD,23,FALSE)</f>
        <v>0</v>
      </c>
      <c r="G131" s="4">
        <f>VLOOKUP(E:E,代理人!E:AD,24,FALSE)</f>
        <v>0</v>
      </c>
    </row>
    <row r="132" hidden="1" spans="1:7">
      <c r="A132" s="4" t="s">
        <v>48</v>
      </c>
      <c r="B132" s="4" t="s">
        <v>49</v>
      </c>
      <c r="C132" s="4" t="s">
        <v>82</v>
      </c>
      <c r="D132" s="4" t="s">
        <v>372</v>
      </c>
      <c r="E132" s="4">
        <v>6407283342</v>
      </c>
      <c r="F132" s="4">
        <f>VLOOKUP(E:E,代理人!E:AD,23,FALSE)</f>
        <v>0</v>
      </c>
      <c r="G132" s="4">
        <f>VLOOKUP(E:E,代理人!E:AD,24,FALSE)</f>
        <v>0</v>
      </c>
    </row>
    <row r="133" hidden="1" spans="1:7">
      <c r="A133" s="4" t="s">
        <v>42</v>
      </c>
      <c r="B133" s="4" t="s">
        <v>66</v>
      </c>
      <c r="C133" s="4" t="s">
        <v>343</v>
      </c>
      <c r="D133" s="4" t="s">
        <v>373</v>
      </c>
      <c r="E133" s="4">
        <v>6405516502</v>
      </c>
      <c r="F133" s="4">
        <f>VLOOKUP(E:E,代理人!E:AD,23,FALSE)</f>
        <v>0</v>
      </c>
      <c r="G133" s="4">
        <f>VLOOKUP(E:E,代理人!E:AD,24,FALSE)</f>
        <v>0</v>
      </c>
    </row>
    <row r="134" hidden="1" spans="1:7">
      <c r="A134" s="4" t="s">
        <v>48</v>
      </c>
      <c r="B134" s="4" t="s">
        <v>49</v>
      </c>
      <c r="C134" s="4" t="s">
        <v>50</v>
      </c>
      <c r="D134" s="4" t="s">
        <v>374</v>
      </c>
      <c r="E134" s="4">
        <v>6401858612</v>
      </c>
      <c r="F134" s="4">
        <f>VLOOKUP(E:E,代理人!E:AD,23,FALSE)</f>
        <v>0</v>
      </c>
      <c r="G134" s="4">
        <f>VLOOKUP(E:E,代理人!E:AD,24,FALSE)</f>
        <v>0</v>
      </c>
    </row>
    <row r="135" hidden="1" spans="1:7">
      <c r="A135" s="4" t="s">
        <v>27</v>
      </c>
      <c r="B135" s="4" t="s">
        <v>28</v>
      </c>
      <c r="C135" s="4" t="s">
        <v>29</v>
      </c>
      <c r="D135" s="4" t="s">
        <v>375</v>
      </c>
      <c r="E135" s="4">
        <v>6396799172</v>
      </c>
      <c r="F135" s="4">
        <f>VLOOKUP(E:E,代理人!E:AD,23,FALSE)</f>
        <v>0</v>
      </c>
      <c r="G135" s="4">
        <f>VLOOKUP(E:E,代理人!E:AD,24,FALSE)</f>
        <v>0</v>
      </c>
    </row>
    <row r="136" hidden="1" spans="1:7">
      <c r="A136" s="4" t="s">
        <v>42</v>
      </c>
      <c r="B136" s="4" t="s">
        <v>66</v>
      </c>
      <c r="C136" s="4" t="s">
        <v>67</v>
      </c>
      <c r="D136" s="4" t="s">
        <v>376</v>
      </c>
      <c r="E136" s="4">
        <v>6396794672</v>
      </c>
      <c r="F136" s="4">
        <f>VLOOKUP(E:E,代理人!E:AD,23,FALSE)</f>
        <v>0</v>
      </c>
      <c r="G136" s="4">
        <f>VLOOKUP(E:E,代理人!E:AD,24,FALSE)</f>
        <v>0</v>
      </c>
    </row>
    <row r="137" hidden="1" spans="1:7">
      <c r="A137" s="4" t="s">
        <v>42</v>
      </c>
      <c r="B137" s="4" t="s">
        <v>62</v>
      </c>
      <c r="C137" s="4" t="s">
        <v>63</v>
      </c>
      <c r="D137" s="4" t="s">
        <v>216</v>
      </c>
      <c r="E137" s="4">
        <v>6396788302</v>
      </c>
      <c r="F137" s="4">
        <f>VLOOKUP(E:E,代理人!E:AD,23,FALSE)</f>
        <v>0</v>
      </c>
      <c r="G137" s="4">
        <f>VLOOKUP(E:E,代理人!E:AD,24,FALSE)</f>
        <v>0</v>
      </c>
    </row>
    <row r="138" hidden="1" spans="1:7">
      <c r="A138" s="4" t="s">
        <v>27</v>
      </c>
      <c r="B138" s="4" t="s">
        <v>28</v>
      </c>
      <c r="C138" s="4" t="s">
        <v>29</v>
      </c>
      <c r="D138" s="4" t="s">
        <v>377</v>
      </c>
      <c r="E138" s="4">
        <v>6392046172</v>
      </c>
      <c r="F138" s="4">
        <f>VLOOKUP(E:E,代理人!E:AD,23,FALSE)</f>
        <v>0</v>
      </c>
      <c r="G138" s="4">
        <f>VLOOKUP(E:E,代理人!E:AD,24,FALSE)</f>
        <v>0</v>
      </c>
    </row>
    <row r="139" hidden="1" spans="1:7">
      <c r="A139" s="4" t="s">
        <v>27</v>
      </c>
      <c r="B139" s="4" t="s">
        <v>100</v>
      </c>
      <c r="C139" s="4" t="s">
        <v>101</v>
      </c>
      <c r="D139" s="4" t="s">
        <v>378</v>
      </c>
      <c r="E139" s="4">
        <v>6390989142</v>
      </c>
      <c r="F139" s="4">
        <f>VLOOKUP(E:E,代理人!E:AD,23,FALSE)</f>
        <v>0</v>
      </c>
      <c r="G139" s="4">
        <f>VLOOKUP(E:E,代理人!E:AD,24,FALSE)</f>
        <v>0</v>
      </c>
    </row>
    <row r="140" hidden="1" spans="1:7">
      <c r="A140" s="4" t="s">
        <v>42</v>
      </c>
      <c r="B140" s="4" t="s">
        <v>43</v>
      </c>
      <c r="C140" s="4" t="s">
        <v>70</v>
      </c>
      <c r="D140" s="4" t="s">
        <v>379</v>
      </c>
      <c r="E140" s="4">
        <v>6390442522</v>
      </c>
      <c r="F140" s="4">
        <f>VLOOKUP(E:E,代理人!E:AD,23,FALSE)</f>
        <v>0</v>
      </c>
      <c r="G140" s="4">
        <f>VLOOKUP(E:E,代理人!E:AD,24,FALSE)</f>
        <v>0</v>
      </c>
    </row>
    <row r="141" hidden="1" spans="1:7">
      <c r="A141" s="4" t="s">
        <v>42</v>
      </c>
      <c r="B141" s="4" t="s">
        <v>43</v>
      </c>
      <c r="C141" s="4" t="s">
        <v>44</v>
      </c>
      <c r="D141" s="4" t="s">
        <v>380</v>
      </c>
      <c r="E141" s="4">
        <v>6390424382</v>
      </c>
      <c r="F141" s="4">
        <f>VLOOKUP(E:E,代理人!E:AD,23,FALSE)</f>
        <v>0</v>
      </c>
      <c r="G141" s="4">
        <f>VLOOKUP(E:E,代理人!E:AD,24,FALSE)</f>
        <v>0</v>
      </c>
    </row>
    <row r="142" hidden="1" spans="1:7">
      <c r="A142" s="4" t="s">
        <v>27</v>
      </c>
      <c r="B142" s="4" t="s">
        <v>28</v>
      </c>
      <c r="C142" s="4" t="s">
        <v>29</v>
      </c>
      <c r="D142" s="4" t="s">
        <v>381</v>
      </c>
      <c r="E142" s="4">
        <v>6389324772</v>
      </c>
      <c r="F142" s="4">
        <f>VLOOKUP(E:E,代理人!E:AD,23,FALSE)</f>
        <v>0</v>
      </c>
      <c r="G142" s="4">
        <f>VLOOKUP(E:E,代理人!E:AD,24,FALSE)</f>
        <v>0</v>
      </c>
    </row>
    <row r="143" hidden="1" spans="1:7">
      <c r="A143" s="4" t="s">
        <v>27</v>
      </c>
      <c r="B143" s="4" t="s">
        <v>94</v>
      </c>
      <c r="C143" s="4" t="s">
        <v>95</v>
      </c>
      <c r="D143" s="4" t="s">
        <v>382</v>
      </c>
      <c r="E143" s="4">
        <v>6389254982</v>
      </c>
      <c r="F143" s="4">
        <f>VLOOKUP(E:E,代理人!E:AD,23,FALSE)</f>
        <v>0</v>
      </c>
      <c r="G143" s="4">
        <f>VLOOKUP(E:E,代理人!E:AD,24,FALSE)</f>
        <v>0</v>
      </c>
    </row>
    <row r="144" hidden="1" spans="1:7">
      <c r="A144" s="4" t="s">
        <v>42</v>
      </c>
      <c r="B144" s="4" t="s">
        <v>66</v>
      </c>
      <c r="C144" s="4" t="s">
        <v>67</v>
      </c>
      <c r="D144" s="4" t="s">
        <v>383</v>
      </c>
      <c r="E144" s="4">
        <v>6385405792</v>
      </c>
      <c r="F144" s="4">
        <f>VLOOKUP(E:E,代理人!E:AD,23,FALSE)</f>
        <v>0</v>
      </c>
      <c r="G144" s="4">
        <f>VLOOKUP(E:E,代理人!E:AD,24,FALSE)</f>
        <v>0</v>
      </c>
    </row>
    <row r="145" hidden="1" spans="1:7">
      <c r="A145" s="4" t="s">
        <v>42</v>
      </c>
      <c r="B145" s="4" t="s">
        <v>62</v>
      </c>
      <c r="C145" s="4" t="s">
        <v>108</v>
      </c>
      <c r="D145" s="4" t="s">
        <v>384</v>
      </c>
      <c r="E145" s="4">
        <v>6385849042</v>
      </c>
      <c r="F145" s="4">
        <f>VLOOKUP(E:E,代理人!E:AD,23,FALSE)</f>
        <v>0</v>
      </c>
      <c r="G145" s="4">
        <f>VLOOKUP(E:E,代理人!E:AD,24,FALSE)</f>
        <v>0</v>
      </c>
    </row>
    <row r="146" hidden="1" spans="1:7">
      <c r="A146" s="4" t="s">
        <v>27</v>
      </c>
      <c r="B146" s="4" t="s">
        <v>28</v>
      </c>
      <c r="C146" s="4" t="s">
        <v>224</v>
      </c>
      <c r="D146" s="4" t="s">
        <v>385</v>
      </c>
      <c r="E146" s="4">
        <v>6376123702</v>
      </c>
      <c r="F146" s="4">
        <f>VLOOKUP(E:E,代理人!E:AD,23,FALSE)</f>
        <v>0</v>
      </c>
      <c r="G146" s="4">
        <f>VLOOKUP(E:E,代理人!E:AD,24,FALSE)</f>
        <v>0</v>
      </c>
    </row>
    <row r="147" hidden="1" spans="1:7">
      <c r="A147" s="4" t="s">
        <v>27</v>
      </c>
      <c r="B147" s="4" t="s">
        <v>94</v>
      </c>
      <c r="C147" s="4" t="s">
        <v>95</v>
      </c>
      <c r="D147" s="4" t="s">
        <v>386</v>
      </c>
      <c r="E147" s="4">
        <v>6369820502</v>
      </c>
      <c r="F147" s="4">
        <f>VLOOKUP(E:E,代理人!E:AD,23,FALSE)</f>
        <v>0</v>
      </c>
      <c r="G147" s="4">
        <f>VLOOKUP(E:E,代理人!E:AD,24,FALSE)</f>
        <v>0</v>
      </c>
    </row>
    <row r="148" hidden="1" spans="1:7">
      <c r="A148" s="4" t="s">
        <v>48</v>
      </c>
      <c r="B148" s="4" t="s">
        <v>49</v>
      </c>
      <c r="C148" s="4" t="s">
        <v>82</v>
      </c>
      <c r="D148" s="4" t="s">
        <v>387</v>
      </c>
      <c r="E148" s="4">
        <v>6360574692</v>
      </c>
      <c r="F148" s="4">
        <f>VLOOKUP(E:E,代理人!E:AD,23,FALSE)</f>
        <v>0</v>
      </c>
      <c r="G148" s="4">
        <f>VLOOKUP(E:E,代理人!E:AD,24,FALSE)</f>
        <v>0</v>
      </c>
    </row>
    <row r="149" hidden="1" spans="1:7">
      <c r="A149" s="4" t="s">
        <v>48</v>
      </c>
      <c r="B149" s="4" t="s">
        <v>49</v>
      </c>
      <c r="C149" s="4" t="s">
        <v>50</v>
      </c>
      <c r="D149" s="4" t="s">
        <v>388</v>
      </c>
      <c r="E149" s="4">
        <v>6360454082</v>
      </c>
      <c r="F149" s="4">
        <f>VLOOKUP(E:E,代理人!E:AD,23,FALSE)</f>
        <v>0</v>
      </c>
      <c r="G149" s="4">
        <f>VLOOKUP(E:E,代理人!E:AD,24,FALSE)</f>
        <v>0</v>
      </c>
    </row>
    <row r="150" hidden="1" spans="1:7">
      <c r="A150" s="4" t="s">
        <v>42</v>
      </c>
      <c r="B150" s="4" t="s">
        <v>43</v>
      </c>
      <c r="C150" s="4" t="s">
        <v>75</v>
      </c>
      <c r="D150" s="4" t="s">
        <v>389</v>
      </c>
      <c r="E150" s="4">
        <v>6360270052</v>
      </c>
      <c r="F150" s="4">
        <f>VLOOKUP(E:E,代理人!E:AD,23,FALSE)</f>
        <v>0</v>
      </c>
      <c r="G150" s="4">
        <f>VLOOKUP(E:E,代理人!E:AD,24,FALSE)</f>
        <v>0</v>
      </c>
    </row>
    <row r="151" hidden="1" spans="1:7">
      <c r="A151" s="4" t="s">
        <v>48</v>
      </c>
      <c r="B151" s="4" t="s">
        <v>49</v>
      </c>
      <c r="C151" s="4" t="s">
        <v>50</v>
      </c>
      <c r="D151" s="4" t="s">
        <v>390</v>
      </c>
      <c r="E151" s="4">
        <v>6359975452</v>
      </c>
      <c r="F151" s="4">
        <f>VLOOKUP(E:E,代理人!E:AD,23,FALSE)</f>
        <v>0</v>
      </c>
      <c r="G151" s="4">
        <f>VLOOKUP(E:E,代理人!E:AD,24,FALSE)</f>
        <v>0</v>
      </c>
    </row>
    <row r="152" hidden="1" spans="1:7">
      <c r="A152" s="4" t="s">
        <v>42</v>
      </c>
      <c r="B152" s="4" t="s">
        <v>62</v>
      </c>
      <c r="C152" s="4" t="s">
        <v>108</v>
      </c>
      <c r="D152" s="4" t="s">
        <v>391</v>
      </c>
      <c r="E152" s="4">
        <v>6359432432</v>
      </c>
      <c r="F152" s="4">
        <f>VLOOKUP(E:E,代理人!E:AD,23,FALSE)</f>
        <v>0</v>
      </c>
      <c r="G152" s="4">
        <f>VLOOKUP(E:E,代理人!E:AD,24,FALSE)</f>
        <v>0</v>
      </c>
    </row>
    <row r="153" hidden="1" spans="1:7">
      <c r="A153" s="4" t="s">
        <v>27</v>
      </c>
      <c r="B153" s="4" t="s">
        <v>28</v>
      </c>
      <c r="C153" s="4" t="s">
        <v>29</v>
      </c>
      <c r="D153" s="4" t="s">
        <v>392</v>
      </c>
      <c r="E153" s="4">
        <v>6359420662</v>
      </c>
      <c r="F153" s="4">
        <f>VLOOKUP(E:E,代理人!E:AD,23,FALSE)</f>
        <v>0</v>
      </c>
      <c r="G153" s="4">
        <f>VLOOKUP(E:E,代理人!E:AD,24,FALSE)</f>
        <v>0</v>
      </c>
    </row>
    <row r="154" hidden="1" spans="1:7">
      <c r="A154" s="4" t="s">
        <v>42</v>
      </c>
      <c r="B154" s="4" t="s">
        <v>66</v>
      </c>
      <c r="C154" s="4" t="s">
        <v>67</v>
      </c>
      <c r="D154" s="4" t="s">
        <v>393</v>
      </c>
      <c r="E154" s="4">
        <v>6358462432</v>
      </c>
      <c r="F154" s="4">
        <f>VLOOKUP(E:E,代理人!E:AD,23,FALSE)</f>
        <v>0</v>
      </c>
      <c r="G154" s="4">
        <f>VLOOKUP(E:E,代理人!E:AD,24,FALSE)</f>
        <v>0</v>
      </c>
    </row>
    <row r="155" hidden="1" spans="1:7">
      <c r="A155" s="4" t="s">
        <v>48</v>
      </c>
      <c r="B155" s="4" t="s">
        <v>49</v>
      </c>
      <c r="C155" s="4" t="s">
        <v>98</v>
      </c>
      <c r="D155" s="4" t="s">
        <v>394</v>
      </c>
      <c r="E155" s="4">
        <v>6354094732</v>
      </c>
      <c r="F155" s="4">
        <f>VLOOKUP(E:E,代理人!E:AD,23,FALSE)</f>
        <v>0</v>
      </c>
      <c r="G155" s="4">
        <f>VLOOKUP(E:E,代理人!E:AD,24,FALSE)</f>
        <v>0</v>
      </c>
    </row>
    <row r="156" hidden="1" spans="1:7">
      <c r="A156" s="4" t="s">
        <v>27</v>
      </c>
      <c r="B156" s="4" t="s">
        <v>28</v>
      </c>
      <c r="C156" s="4" t="s">
        <v>29</v>
      </c>
      <c r="D156" s="4" t="s">
        <v>374</v>
      </c>
      <c r="E156" s="4">
        <v>6334160782</v>
      </c>
      <c r="F156" s="4">
        <f>VLOOKUP(E:E,代理人!E:AD,23,FALSE)</f>
        <v>0</v>
      </c>
      <c r="G156" s="4">
        <f>VLOOKUP(E:E,代理人!E:AD,24,FALSE)</f>
        <v>0</v>
      </c>
    </row>
    <row r="157" hidden="1" spans="1:7">
      <c r="A157" s="4" t="s">
        <v>42</v>
      </c>
      <c r="B157" s="4" t="s">
        <v>62</v>
      </c>
      <c r="C157" s="4" t="s">
        <v>228</v>
      </c>
      <c r="D157" s="4" t="s">
        <v>395</v>
      </c>
      <c r="E157" s="4">
        <v>6328826682</v>
      </c>
      <c r="F157" s="4">
        <f>VLOOKUP(E:E,代理人!E:AD,23,FALSE)</f>
        <v>0</v>
      </c>
      <c r="G157" s="4">
        <f>VLOOKUP(E:E,代理人!E:AD,24,FALSE)</f>
        <v>0</v>
      </c>
    </row>
    <row r="158" hidden="1" spans="1:7">
      <c r="A158" s="4" t="s">
        <v>42</v>
      </c>
      <c r="B158" s="4" t="s">
        <v>62</v>
      </c>
      <c r="C158" s="4" t="s">
        <v>86</v>
      </c>
      <c r="D158" s="4" t="s">
        <v>396</v>
      </c>
      <c r="E158" s="4">
        <v>6328822112</v>
      </c>
      <c r="F158" s="4">
        <f>VLOOKUP(E:E,代理人!E:AD,23,FALSE)</f>
        <v>0</v>
      </c>
      <c r="G158" s="4">
        <f>VLOOKUP(E:E,代理人!E:AD,24,FALSE)</f>
        <v>0</v>
      </c>
    </row>
    <row r="159" hidden="1" spans="1:7">
      <c r="A159" s="4" t="s">
        <v>27</v>
      </c>
      <c r="B159" s="4" t="s">
        <v>94</v>
      </c>
      <c r="C159" s="4" t="s">
        <v>95</v>
      </c>
      <c r="D159" s="4" t="s">
        <v>397</v>
      </c>
      <c r="E159" s="4">
        <v>6328454052</v>
      </c>
      <c r="F159" s="4">
        <f>VLOOKUP(E:E,代理人!E:AD,23,FALSE)</f>
        <v>0</v>
      </c>
      <c r="G159" s="4">
        <f>VLOOKUP(E:E,代理人!E:AD,24,FALSE)</f>
        <v>0</v>
      </c>
    </row>
    <row r="160" hidden="1" spans="1:7">
      <c r="A160" s="4" t="s">
        <v>48</v>
      </c>
      <c r="B160" s="4" t="s">
        <v>49</v>
      </c>
      <c r="C160" s="4" t="s">
        <v>50</v>
      </c>
      <c r="D160" s="4" t="s">
        <v>398</v>
      </c>
      <c r="E160" s="4">
        <v>6328447752</v>
      </c>
      <c r="F160" s="4">
        <f>VLOOKUP(E:E,代理人!E:AD,23,FALSE)</f>
        <v>0</v>
      </c>
      <c r="G160" s="4">
        <f>VLOOKUP(E:E,代理人!E:AD,24,FALSE)</f>
        <v>0</v>
      </c>
    </row>
    <row r="161" hidden="1" spans="1:7">
      <c r="A161" s="4" t="s">
        <v>42</v>
      </c>
      <c r="B161" s="4" t="s">
        <v>62</v>
      </c>
      <c r="C161" s="4" t="s">
        <v>86</v>
      </c>
      <c r="D161" s="4" t="s">
        <v>399</v>
      </c>
      <c r="E161" s="4">
        <v>6328797672</v>
      </c>
      <c r="F161" s="4">
        <f>VLOOKUP(E:E,代理人!E:AD,23,FALSE)</f>
        <v>0</v>
      </c>
      <c r="G161" s="4">
        <f>VLOOKUP(E:E,代理人!E:AD,24,FALSE)</f>
        <v>0</v>
      </c>
    </row>
    <row r="162" hidden="1" spans="1:7">
      <c r="A162" s="4" t="s">
        <v>48</v>
      </c>
      <c r="B162" s="4" t="s">
        <v>49</v>
      </c>
      <c r="C162" s="4" t="s">
        <v>98</v>
      </c>
      <c r="D162" s="4" t="s">
        <v>400</v>
      </c>
      <c r="E162" s="4">
        <v>6328391532</v>
      </c>
      <c r="F162" s="4">
        <f>VLOOKUP(E:E,代理人!E:AD,23,FALSE)</f>
        <v>0</v>
      </c>
      <c r="G162" s="4">
        <f>VLOOKUP(E:E,代理人!E:AD,24,FALSE)</f>
        <v>0</v>
      </c>
    </row>
    <row r="163" hidden="1" spans="1:7">
      <c r="A163" s="4" t="s">
        <v>48</v>
      </c>
      <c r="B163" s="4" t="s">
        <v>49</v>
      </c>
      <c r="C163" s="4" t="s">
        <v>82</v>
      </c>
      <c r="D163" s="4" t="s">
        <v>401</v>
      </c>
      <c r="E163" s="4">
        <v>6326344562</v>
      </c>
      <c r="F163" s="4">
        <f>VLOOKUP(E:E,代理人!E:AD,23,FALSE)</f>
        <v>0</v>
      </c>
      <c r="G163" s="4">
        <f>VLOOKUP(E:E,代理人!E:AD,24,FALSE)</f>
        <v>0</v>
      </c>
    </row>
    <row r="164" hidden="1" spans="1:7">
      <c r="A164" s="4" t="s">
        <v>27</v>
      </c>
      <c r="B164" s="4" t="s">
        <v>28</v>
      </c>
      <c r="C164" s="4" t="s">
        <v>29</v>
      </c>
      <c r="D164" s="4" t="s">
        <v>402</v>
      </c>
      <c r="E164" s="4">
        <v>6324163412</v>
      </c>
      <c r="F164" s="4">
        <f>VLOOKUP(E:E,代理人!E:AD,23,FALSE)</f>
        <v>0</v>
      </c>
      <c r="G164" s="4">
        <f>VLOOKUP(E:E,代理人!E:AD,24,FALSE)</f>
        <v>0</v>
      </c>
    </row>
    <row r="165" hidden="1" spans="1:7">
      <c r="A165" s="4" t="s">
        <v>42</v>
      </c>
      <c r="B165" s="4" t="s">
        <v>62</v>
      </c>
      <c r="C165" s="4" t="s">
        <v>228</v>
      </c>
      <c r="D165" s="4" t="s">
        <v>403</v>
      </c>
      <c r="E165" s="4">
        <v>6324067312</v>
      </c>
      <c r="F165" s="4">
        <f>VLOOKUP(E:E,代理人!E:AD,23,FALSE)</f>
        <v>0</v>
      </c>
      <c r="G165" s="4">
        <f>VLOOKUP(E:E,代理人!E:AD,24,FALSE)</f>
        <v>0</v>
      </c>
    </row>
    <row r="166" hidden="1" spans="1:7">
      <c r="A166" s="4" t="s">
        <v>42</v>
      </c>
      <c r="B166" s="4" t="s">
        <v>43</v>
      </c>
      <c r="C166" s="4" t="s">
        <v>44</v>
      </c>
      <c r="D166" s="4" t="s">
        <v>404</v>
      </c>
      <c r="E166" s="4">
        <v>6323934032</v>
      </c>
      <c r="F166" s="4">
        <f>VLOOKUP(E:E,代理人!E:AD,23,FALSE)</f>
        <v>0</v>
      </c>
      <c r="G166" s="4">
        <f>VLOOKUP(E:E,代理人!E:AD,24,FALSE)</f>
        <v>0</v>
      </c>
    </row>
    <row r="167" hidden="1" spans="1:7">
      <c r="A167" s="4" t="s">
        <v>42</v>
      </c>
      <c r="B167" s="4" t="s">
        <v>62</v>
      </c>
      <c r="C167" s="4" t="s">
        <v>228</v>
      </c>
      <c r="D167" s="4" t="s">
        <v>405</v>
      </c>
      <c r="E167" s="4">
        <v>6323920462</v>
      </c>
      <c r="F167" s="4">
        <f>VLOOKUP(E:E,代理人!E:AD,23,FALSE)</f>
        <v>0</v>
      </c>
      <c r="G167" s="4">
        <f>VLOOKUP(E:E,代理人!E:AD,24,FALSE)</f>
        <v>0</v>
      </c>
    </row>
    <row r="168" hidden="1" spans="1:7">
      <c r="A168" s="4" t="s">
        <v>27</v>
      </c>
      <c r="B168" s="4" t="s">
        <v>94</v>
      </c>
      <c r="C168" s="4" t="s">
        <v>95</v>
      </c>
      <c r="D168" s="4" t="s">
        <v>406</v>
      </c>
      <c r="E168" s="4">
        <v>6322624082</v>
      </c>
      <c r="F168" s="4">
        <f>VLOOKUP(E:E,代理人!E:AD,23,FALSE)</f>
        <v>0</v>
      </c>
      <c r="G168" s="4">
        <f>VLOOKUP(E:E,代理人!E:AD,24,FALSE)</f>
        <v>0</v>
      </c>
    </row>
    <row r="169" hidden="1" spans="1:7">
      <c r="A169" s="4" t="s">
        <v>27</v>
      </c>
      <c r="B169" s="4" t="s">
        <v>28</v>
      </c>
      <c r="C169" s="4" t="s">
        <v>29</v>
      </c>
      <c r="D169" s="4" t="s">
        <v>407</v>
      </c>
      <c r="E169" s="4">
        <v>6323154432</v>
      </c>
      <c r="F169" s="4">
        <f>VLOOKUP(E:E,代理人!E:AD,23,FALSE)</f>
        <v>0</v>
      </c>
      <c r="G169" s="4">
        <f>VLOOKUP(E:E,代理人!E:AD,24,FALSE)</f>
        <v>0</v>
      </c>
    </row>
    <row r="170" hidden="1" spans="1:7">
      <c r="A170" s="4" t="s">
        <v>42</v>
      </c>
      <c r="B170" s="4" t="s">
        <v>66</v>
      </c>
      <c r="C170" s="4" t="s">
        <v>67</v>
      </c>
      <c r="D170" s="4" t="s">
        <v>408</v>
      </c>
      <c r="E170" s="4">
        <v>6321905202</v>
      </c>
      <c r="F170" s="4">
        <f>VLOOKUP(E:E,代理人!E:AD,23,FALSE)</f>
        <v>0</v>
      </c>
      <c r="G170" s="4">
        <f>VLOOKUP(E:E,代理人!E:AD,24,FALSE)</f>
        <v>0</v>
      </c>
    </row>
    <row r="171" hidden="1" spans="1:7">
      <c r="A171" s="4" t="s">
        <v>48</v>
      </c>
      <c r="B171" s="4" t="s">
        <v>49</v>
      </c>
      <c r="C171" s="4" t="s">
        <v>82</v>
      </c>
      <c r="D171" s="4" t="s">
        <v>409</v>
      </c>
      <c r="E171" s="4">
        <v>6293781572</v>
      </c>
      <c r="F171" s="4">
        <f>VLOOKUP(E:E,代理人!E:AD,23,FALSE)</f>
        <v>0</v>
      </c>
      <c r="G171" s="4">
        <f>VLOOKUP(E:E,代理人!E:AD,24,FALSE)</f>
        <v>0</v>
      </c>
    </row>
    <row r="172" hidden="1" spans="1:7">
      <c r="A172" s="4" t="s">
        <v>27</v>
      </c>
      <c r="B172" s="4" t="s">
        <v>28</v>
      </c>
      <c r="C172" s="4" t="s">
        <v>29</v>
      </c>
      <c r="D172" s="4" t="s">
        <v>410</v>
      </c>
      <c r="E172" s="4">
        <v>6278827232</v>
      </c>
      <c r="F172" s="4">
        <f>VLOOKUP(E:E,代理人!E:AD,23,FALSE)</f>
        <v>0</v>
      </c>
      <c r="G172" s="4">
        <f>VLOOKUP(E:E,代理人!E:AD,24,FALSE)</f>
        <v>0</v>
      </c>
    </row>
    <row r="173" hidden="1" spans="1:7">
      <c r="A173" s="4" t="s">
        <v>27</v>
      </c>
      <c r="B173" s="4" t="s">
        <v>28</v>
      </c>
      <c r="C173" s="4" t="s">
        <v>29</v>
      </c>
      <c r="D173" s="4" t="s">
        <v>411</v>
      </c>
      <c r="E173" s="4">
        <v>6273949122</v>
      </c>
      <c r="F173" s="4">
        <f>VLOOKUP(E:E,代理人!E:AD,23,FALSE)</f>
        <v>0</v>
      </c>
      <c r="G173" s="4">
        <f>VLOOKUP(E:E,代理人!E:AD,24,FALSE)</f>
        <v>0</v>
      </c>
    </row>
    <row r="174" hidden="1" spans="1:7">
      <c r="A174" s="4" t="s">
        <v>48</v>
      </c>
      <c r="B174" s="4" t="s">
        <v>49</v>
      </c>
      <c r="C174" s="4" t="s">
        <v>82</v>
      </c>
      <c r="D174" s="4" t="s">
        <v>412</v>
      </c>
      <c r="E174" s="4">
        <v>6274418752</v>
      </c>
      <c r="F174" s="4">
        <f>VLOOKUP(E:E,代理人!E:AD,23,FALSE)</f>
        <v>0</v>
      </c>
      <c r="G174" s="4">
        <f>VLOOKUP(E:E,代理人!E:AD,24,FALSE)</f>
        <v>0</v>
      </c>
    </row>
    <row r="175" hidden="1" spans="1:7">
      <c r="A175" s="4" t="s">
        <v>48</v>
      </c>
      <c r="B175" s="4" t="s">
        <v>49</v>
      </c>
      <c r="C175" s="4" t="s">
        <v>50</v>
      </c>
      <c r="D175" s="4" t="s">
        <v>413</v>
      </c>
      <c r="E175" s="4">
        <v>6272495022</v>
      </c>
      <c r="F175" s="4">
        <f>VLOOKUP(E:E,代理人!E:AD,23,FALSE)</f>
        <v>0</v>
      </c>
      <c r="G175" s="4">
        <f>VLOOKUP(E:E,代理人!E:AD,24,FALSE)</f>
        <v>0</v>
      </c>
    </row>
    <row r="176" hidden="1" spans="1:7">
      <c r="A176" s="4" t="s">
        <v>27</v>
      </c>
      <c r="B176" s="4" t="s">
        <v>28</v>
      </c>
      <c r="C176" s="4" t="s">
        <v>29</v>
      </c>
      <c r="D176" s="4" t="s">
        <v>414</v>
      </c>
      <c r="E176" s="4">
        <v>6271123452</v>
      </c>
      <c r="F176" s="4">
        <f>VLOOKUP(E:E,代理人!E:AD,23,FALSE)</f>
        <v>0</v>
      </c>
      <c r="G176" s="4">
        <f>VLOOKUP(E:E,代理人!E:AD,24,FALSE)</f>
        <v>0</v>
      </c>
    </row>
    <row r="177" hidden="1" spans="1:7">
      <c r="A177" s="4" t="s">
        <v>42</v>
      </c>
      <c r="B177" s="4" t="s">
        <v>43</v>
      </c>
      <c r="C177" s="4" t="s">
        <v>75</v>
      </c>
      <c r="D177" s="4" t="s">
        <v>415</v>
      </c>
      <c r="E177" s="4">
        <v>6270653892</v>
      </c>
      <c r="F177" s="4">
        <f>VLOOKUP(E:E,代理人!E:AD,23,FALSE)</f>
        <v>0</v>
      </c>
      <c r="G177" s="4">
        <f>VLOOKUP(E:E,代理人!E:AD,24,FALSE)</f>
        <v>0</v>
      </c>
    </row>
    <row r="178" hidden="1" spans="1:7">
      <c r="A178" s="4" t="s">
        <v>48</v>
      </c>
      <c r="B178" s="4" t="s">
        <v>49</v>
      </c>
      <c r="C178" s="4" t="s">
        <v>50</v>
      </c>
      <c r="D178" s="4" t="s">
        <v>416</v>
      </c>
      <c r="E178" s="4">
        <v>6251499542</v>
      </c>
      <c r="F178" s="4">
        <f>VLOOKUP(E:E,代理人!E:AD,23,FALSE)</f>
        <v>0</v>
      </c>
      <c r="G178" s="4">
        <f>VLOOKUP(E:E,代理人!E:AD,24,FALSE)</f>
        <v>0</v>
      </c>
    </row>
    <row r="179" hidden="1" spans="1:7">
      <c r="A179" s="4" t="s">
        <v>27</v>
      </c>
      <c r="B179" s="4" t="s">
        <v>100</v>
      </c>
      <c r="C179" s="4" t="s">
        <v>101</v>
      </c>
      <c r="D179" s="4" t="s">
        <v>417</v>
      </c>
      <c r="E179" s="4">
        <v>6240561182</v>
      </c>
      <c r="F179" s="4">
        <f>VLOOKUP(E:E,代理人!E:AD,23,FALSE)</f>
        <v>0</v>
      </c>
      <c r="G179" s="4">
        <f>VLOOKUP(E:E,代理人!E:AD,24,FALSE)</f>
        <v>0</v>
      </c>
    </row>
    <row r="180" hidden="1" spans="1:7">
      <c r="A180" s="4" t="s">
        <v>27</v>
      </c>
      <c r="B180" s="4" t="s">
        <v>94</v>
      </c>
      <c r="C180" s="4" t="s">
        <v>95</v>
      </c>
      <c r="D180" s="4" t="s">
        <v>418</v>
      </c>
      <c r="E180" s="4">
        <v>6233846442</v>
      </c>
      <c r="F180" s="4">
        <f>VLOOKUP(E:E,代理人!E:AD,23,FALSE)</f>
        <v>0</v>
      </c>
      <c r="G180" s="4">
        <f>VLOOKUP(E:E,代理人!E:AD,24,FALSE)</f>
        <v>0</v>
      </c>
    </row>
    <row r="181" hidden="1" spans="1:7">
      <c r="A181" s="4" t="s">
        <v>42</v>
      </c>
      <c r="B181" s="4" t="s">
        <v>66</v>
      </c>
      <c r="C181" s="4" t="s">
        <v>343</v>
      </c>
      <c r="D181" s="4" t="s">
        <v>419</v>
      </c>
      <c r="E181" s="4">
        <v>6230817702</v>
      </c>
      <c r="F181" s="4">
        <f>VLOOKUP(E:E,代理人!E:AD,23,FALSE)</f>
        <v>0</v>
      </c>
      <c r="G181" s="4">
        <f>VLOOKUP(E:E,代理人!E:AD,24,FALSE)</f>
        <v>0</v>
      </c>
    </row>
    <row r="182" hidden="1" spans="1:7">
      <c r="A182" s="4" t="s">
        <v>42</v>
      </c>
      <c r="B182" s="4" t="s">
        <v>43</v>
      </c>
      <c r="C182" s="4" t="s">
        <v>75</v>
      </c>
      <c r="D182" s="4" t="s">
        <v>420</v>
      </c>
      <c r="E182" s="4">
        <v>6230021762</v>
      </c>
      <c r="F182" s="4">
        <f>VLOOKUP(E:E,代理人!E:AD,23,FALSE)</f>
        <v>0</v>
      </c>
      <c r="G182" s="4">
        <f>VLOOKUP(E:E,代理人!E:AD,24,FALSE)</f>
        <v>0</v>
      </c>
    </row>
    <row r="183" hidden="1" spans="1:7">
      <c r="A183" s="4" t="s">
        <v>27</v>
      </c>
      <c r="B183" s="4" t="s">
        <v>28</v>
      </c>
      <c r="C183" s="4" t="s">
        <v>29</v>
      </c>
      <c r="D183" s="4" t="s">
        <v>421</v>
      </c>
      <c r="E183" s="4">
        <v>6197981852</v>
      </c>
      <c r="F183" s="4">
        <f>VLOOKUP(E:E,代理人!E:AD,23,FALSE)</f>
        <v>0</v>
      </c>
      <c r="G183" s="4">
        <f>VLOOKUP(E:E,代理人!E:AD,24,FALSE)</f>
        <v>0</v>
      </c>
    </row>
    <row r="184" hidden="1" spans="1:7">
      <c r="A184" s="4" t="s">
        <v>42</v>
      </c>
      <c r="B184" s="4" t="s">
        <v>43</v>
      </c>
      <c r="C184" s="4" t="s">
        <v>44</v>
      </c>
      <c r="D184" s="4" t="s">
        <v>422</v>
      </c>
      <c r="E184" s="4">
        <v>6186306472</v>
      </c>
      <c r="F184" s="4">
        <f>VLOOKUP(E:E,代理人!E:AD,23,FALSE)</f>
        <v>0</v>
      </c>
      <c r="G184" s="4">
        <f>VLOOKUP(E:E,代理人!E:AD,24,FALSE)</f>
        <v>0</v>
      </c>
    </row>
    <row r="185" hidden="1" spans="1:7">
      <c r="A185" s="4" t="s">
        <v>48</v>
      </c>
      <c r="B185" s="4" t="s">
        <v>49</v>
      </c>
      <c r="C185" s="4" t="s">
        <v>98</v>
      </c>
      <c r="D185" s="4" t="s">
        <v>423</v>
      </c>
      <c r="E185" s="4">
        <v>6183512512</v>
      </c>
      <c r="F185" s="4">
        <f>VLOOKUP(E:E,代理人!E:AD,23,FALSE)</f>
        <v>0</v>
      </c>
      <c r="G185" s="4">
        <f>VLOOKUP(E:E,代理人!E:AD,24,FALSE)</f>
        <v>0</v>
      </c>
    </row>
    <row r="186" hidden="1" spans="1:7">
      <c r="A186" s="4" t="s">
        <v>42</v>
      </c>
      <c r="B186" s="4" t="s">
        <v>43</v>
      </c>
      <c r="C186" s="4" t="s">
        <v>70</v>
      </c>
      <c r="D186" s="4" t="s">
        <v>424</v>
      </c>
      <c r="E186" s="4">
        <v>6183121812</v>
      </c>
      <c r="F186" s="4">
        <f>VLOOKUP(E:E,代理人!E:AD,23,FALSE)</f>
        <v>0</v>
      </c>
      <c r="G186" s="4">
        <f>VLOOKUP(E:E,代理人!E:AD,24,FALSE)</f>
        <v>0</v>
      </c>
    </row>
    <row r="187" hidden="1" spans="1:7">
      <c r="A187" s="4" t="s">
        <v>42</v>
      </c>
      <c r="B187" s="4" t="s">
        <v>43</v>
      </c>
      <c r="C187" s="4" t="s">
        <v>70</v>
      </c>
      <c r="D187" s="4" t="s">
        <v>425</v>
      </c>
      <c r="E187" s="4">
        <v>6176568392</v>
      </c>
      <c r="F187" s="4">
        <f>VLOOKUP(E:E,代理人!E:AD,23,FALSE)</f>
        <v>0</v>
      </c>
      <c r="G187" s="4">
        <f>VLOOKUP(E:E,代理人!E:AD,24,FALSE)</f>
        <v>0</v>
      </c>
    </row>
    <row r="188" hidden="1" spans="1:7">
      <c r="A188" s="4" t="s">
        <v>48</v>
      </c>
      <c r="B188" s="4" t="s">
        <v>49</v>
      </c>
      <c r="C188" s="4" t="s">
        <v>50</v>
      </c>
      <c r="D188" s="4" t="s">
        <v>426</v>
      </c>
      <c r="E188" s="4">
        <v>6173444452</v>
      </c>
      <c r="F188" s="4">
        <f>VLOOKUP(E:E,代理人!E:AD,23,FALSE)</f>
        <v>0</v>
      </c>
      <c r="G188" s="4">
        <f>VLOOKUP(E:E,代理人!E:AD,24,FALSE)</f>
        <v>0</v>
      </c>
    </row>
    <row r="189" hidden="1" spans="1:7">
      <c r="A189" s="4" t="s">
        <v>42</v>
      </c>
      <c r="B189" s="4" t="s">
        <v>66</v>
      </c>
      <c r="C189" s="4" t="s">
        <v>67</v>
      </c>
      <c r="D189" s="4" t="s">
        <v>427</v>
      </c>
      <c r="E189" s="4">
        <v>6172970322</v>
      </c>
      <c r="F189" s="4">
        <f>VLOOKUP(E:E,代理人!E:AD,23,FALSE)</f>
        <v>0</v>
      </c>
      <c r="G189" s="4">
        <f>VLOOKUP(E:E,代理人!E:AD,24,FALSE)</f>
        <v>0</v>
      </c>
    </row>
    <row r="190" hidden="1" spans="1:7">
      <c r="A190" s="4" t="s">
        <v>48</v>
      </c>
      <c r="B190" s="4" t="s">
        <v>49</v>
      </c>
      <c r="C190" s="4" t="s">
        <v>82</v>
      </c>
      <c r="D190" s="4" t="s">
        <v>428</v>
      </c>
      <c r="E190" s="4">
        <v>6170483702</v>
      </c>
      <c r="F190" s="4">
        <f>VLOOKUP(E:E,代理人!E:AD,23,FALSE)</f>
        <v>0</v>
      </c>
      <c r="G190" s="4">
        <f>VLOOKUP(E:E,代理人!E:AD,24,FALSE)</f>
        <v>0</v>
      </c>
    </row>
    <row r="191" hidden="1" spans="1:7">
      <c r="A191" s="4" t="s">
        <v>27</v>
      </c>
      <c r="B191" s="4" t="s">
        <v>94</v>
      </c>
      <c r="C191" s="4" t="s">
        <v>95</v>
      </c>
      <c r="D191" s="4" t="s">
        <v>429</v>
      </c>
      <c r="E191" s="4">
        <v>6165252972</v>
      </c>
      <c r="F191" s="4">
        <f>VLOOKUP(E:E,代理人!E:AD,23,FALSE)</f>
        <v>0</v>
      </c>
      <c r="G191" s="4">
        <f>VLOOKUP(E:E,代理人!E:AD,24,FALSE)</f>
        <v>0</v>
      </c>
    </row>
    <row r="192" hidden="1" spans="1:7">
      <c r="A192" s="4" t="s">
        <v>42</v>
      </c>
      <c r="B192" s="4" t="s">
        <v>43</v>
      </c>
      <c r="C192" s="4" t="s">
        <v>44</v>
      </c>
      <c r="D192" s="4" t="s">
        <v>430</v>
      </c>
      <c r="E192" s="4">
        <v>6155042562</v>
      </c>
      <c r="F192" s="4">
        <f>VLOOKUP(E:E,代理人!E:AD,23,FALSE)</f>
        <v>0</v>
      </c>
      <c r="G192" s="4">
        <f>VLOOKUP(E:E,代理人!E:AD,24,FALSE)</f>
        <v>0</v>
      </c>
    </row>
    <row r="193" hidden="1" spans="1:7">
      <c r="A193" s="4" t="s">
        <v>27</v>
      </c>
      <c r="B193" s="4" t="s">
        <v>28</v>
      </c>
      <c r="C193" s="4" t="s">
        <v>29</v>
      </c>
      <c r="D193" s="4" t="s">
        <v>431</v>
      </c>
      <c r="E193" s="4">
        <v>6148870842</v>
      </c>
      <c r="F193" s="4">
        <f>VLOOKUP(E:E,代理人!E:AD,23,FALSE)</f>
        <v>0</v>
      </c>
      <c r="G193" s="4">
        <f>VLOOKUP(E:E,代理人!E:AD,24,FALSE)</f>
        <v>0</v>
      </c>
    </row>
    <row r="194" hidden="1" spans="1:7">
      <c r="A194" s="4" t="s">
        <v>42</v>
      </c>
      <c r="B194" s="4" t="s">
        <v>66</v>
      </c>
      <c r="C194" s="4" t="s">
        <v>343</v>
      </c>
      <c r="D194" s="4" t="s">
        <v>432</v>
      </c>
      <c r="E194" s="4">
        <v>6145056062</v>
      </c>
      <c r="F194" s="4">
        <f>VLOOKUP(E:E,代理人!E:AD,23,FALSE)</f>
        <v>0</v>
      </c>
      <c r="G194" s="4">
        <f>VLOOKUP(E:E,代理人!E:AD,24,FALSE)</f>
        <v>0</v>
      </c>
    </row>
    <row r="195" hidden="1" spans="1:7">
      <c r="A195" s="4" t="s">
        <v>48</v>
      </c>
      <c r="B195" s="4" t="s">
        <v>49</v>
      </c>
      <c r="C195" s="4" t="s">
        <v>50</v>
      </c>
      <c r="D195" s="4" t="s">
        <v>433</v>
      </c>
      <c r="E195" s="4">
        <v>6138546192</v>
      </c>
      <c r="F195" s="4">
        <f>VLOOKUP(E:E,代理人!E:AD,23,FALSE)</f>
        <v>0</v>
      </c>
      <c r="G195" s="4">
        <f>VLOOKUP(E:E,代理人!E:AD,24,FALSE)</f>
        <v>0</v>
      </c>
    </row>
    <row r="196" hidden="1" spans="1:7">
      <c r="A196" s="4" t="s">
        <v>48</v>
      </c>
      <c r="B196" s="4" t="s">
        <v>49</v>
      </c>
      <c r="C196" s="4" t="s">
        <v>82</v>
      </c>
      <c r="D196" s="4" t="s">
        <v>90</v>
      </c>
      <c r="E196" s="4">
        <v>6137982332</v>
      </c>
      <c r="F196" s="4">
        <f>VLOOKUP(E:E,代理人!E:AD,23,FALSE)</f>
        <v>0</v>
      </c>
      <c r="G196" s="4">
        <f>VLOOKUP(E:E,代理人!E:AD,24,FALSE)</f>
        <v>0</v>
      </c>
    </row>
    <row r="197" hidden="1" spans="1:7">
      <c r="A197" s="4" t="s">
        <v>48</v>
      </c>
      <c r="B197" s="4" t="s">
        <v>49</v>
      </c>
      <c r="C197" s="4" t="s">
        <v>50</v>
      </c>
      <c r="D197" s="4" t="s">
        <v>434</v>
      </c>
      <c r="E197" s="4">
        <v>6124158482</v>
      </c>
      <c r="F197" s="4">
        <f>VLOOKUP(E:E,代理人!E:AD,23,FALSE)</f>
        <v>0</v>
      </c>
      <c r="G197" s="4">
        <f>VLOOKUP(E:E,代理人!E:AD,24,FALSE)</f>
        <v>0</v>
      </c>
    </row>
    <row r="198" hidden="1" spans="1:7">
      <c r="A198" s="4" t="s">
        <v>27</v>
      </c>
      <c r="B198" s="4" t="s">
        <v>28</v>
      </c>
      <c r="C198" s="4" t="s">
        <v>29</v>
      </c>
      <c r="D198" s="4" t="s">
        <v>102</v>
      </c>
      <c r="E198" s="4">
        <v>6116420222</v>
      </c>
      <c r="F198" s="4">
        <f>VLOOKUP(E:E,代理人!E:AD,23,FALSE)</f>
        <v>0</v>
      </c>
      <c r="G198" s="4">
        <f>VLOOKUP(E:E,代理人!E:AD,24,FALSE)</f>
        <v>0</v>
      </c>
    </row>
    <row r="199" hidden="1" spans="1:7">
      <c r="A199" s="4" t="s">
        <v>27</v>
      </c>
      <c r="B199" s="4" t="s">
        <v>37</v>
      </c>
      <c r="C199" s="4" t="s">
        <v>110</v>
      </c>
      <c r="D199" s="4" t="s">
        <v>435</v>
      </c>
      <c r="E199" s="4">
        <v>6090747902</v>
      </c>
      <c r="F199" s="4">
        <f>VLOOKUP(E:E,代理人!E:AD,23,FALSE)</f>
        <v>0</v>
      </c>
      <c r="G199" s="4">
        <f>VLOOKUP(E:E,代理人!E:AD,24,FALSE)</f>
        <v>0</v>
      </c>
    </row>
    <row r="200" hidden="1" spans="1:7">
      <c r="A200" s="4" t="s">
        <v>42</v>
      </c>
      <c r="B200" s="4" t="s">
        <v>43</v>
      </c>
      <c r="C200" s="4" t="s">
        <v>75</v>
      </c>
      <c r="D200" s="4" t="s">
        <v>436</v>
      </c>
      <c r="E200" s="4">
        <v>6090081572</v>
      </c>
      <c r="F200" s="4">
        <f>VLOOKUP(E:E,代理人!E:AD,23,FALSE)</f>
        <v>0</v>
      </c>
      <c r="G200" s="4">
        <f>VLOOKUP(E:E,代理人!E:AD,24,FALSE)</f>
        <v>0</v>
      </c>
    </row>
    <row r="201" hidden="1" spans="1:7">
      <c r="A201" s="4" t="s">
        <v>48</v>
      </c>
      <c r="B201" s="4" t="s">
        <v>49</v>
      </c>
      <c r="C201" s="4" t="s">
        <v>82</v>
      </c>
      <c r="D201" s="4" t="s">
        <v>437</v>
      </c>
      <c r="E201" s="4">
        <v>6089744322</v>
      </c>
      <c r="F201" s="4">
        <f>VLOOKUP(E:E,代理人!E:AD,23,FALSE)</f>
        <v>0</v>
      </c>
      <c r="G201" s="4">
        <f>VLOOKUP(E:E,代理人!E:AD,24,FALSE)</f>
        <v>0</v>
      </c>
    </row>
    <row r="202" hidden="1" spans="1:7">
      <c r="A202" s="4" t="s">
        <v>48</v>
      </c>
      <c r="B202" s="4" t="s">
        <v>49</v>
      </c>
      <c r="C202" s="4" t="s">
        <v>50</v>
      </c>
      <c r="D202" s="4" t="s">
        <v>438</v>
      </c>
      <c r="E202" s="4">
        <v>6089567562</v>
      </c>
      <c r="F202" s="4">
        <f>VLOOKUP(E:E,代理人!E:AD,23,FALSE)</f>
        <v>0</v>
      </c>
      <c r="G202" s="4">
        <f>VLOOKUP(E:E,代理人!E:AD,24,FALSE)</f>
        <v>0</v>
      </c>
    </row>
    <row r="203" hidden="1" spans="1:7">
      <c r="A203" s="4" t="s">
        <v>48</v>
      </c>
      <c r="B203" s="4" t="s">
        <v>49</v>
      </c>
      <c r="C203" s="4" t="s">
        <v>50</v>
      </c>
      <c r="D203" s="4" t="s">
        <v>439</v>
      </c>
      <c r="E203" s="4">
        <v>6089161422</v>
      </c>
      <c r="F203" s="4">
        <f>VLOOKUP(E:E,代理人!E:AD,23,FALSE)</f>
        <v>0</v>
      </c>
      <c r="G203" s="4">
        <f>VLOOKUP(E:E,代理人!E:AD,24,FALSE)</f>
        <v>0</v>
      </c>
    </row>
    <row r="204" hidden="1" spans="1:7">
      <c r="A204" s="4" t="s">
        <v>27</v>
      </c>
      <c r="B204" s="4" t="s">
        <v>28</v>
      </c>
      <c r="C204" s="4" t="s">
        <v>224</v>
      </c>
      <c r="D204" s="4" t="s">
        <v>440</v>
      </c>
      <c r="E204" s="4">
        <v>6088245842</v>
      </c>
      <c r="F204" s="4">
        <f>VLOOKUP(E:E,代理人!E:AD,23,FALSE)</f>
        <v>0</v>
      </c>
      <c r="G204" s="4">
        <f>VLOOKUP(E:E,代理人!E:AD,24,FALSE)</f>
        <v>0</v>
      </c>
    </row>
    <row r="205" hidden="1" spans="1:7">
      <c r="A205" s="4" t="s">
        <v>27</v>
      </c>
      <c r="B205" s="4" t="s">
        <v>37</v>
      </c>
      <c r="C205" s="4" t="s">
        <v>38</v>
      </c>
      <c r="D205" s="4" t="s">
        <v>441</v>
      </c>
      <c r="E205" s="4">
        <v>6087942102</v>
      </c>
      <c r="F205" s="4">
        <f>VLOOKUP(E:E,代理人!E:AD,23,FALSE)</f>
        <v>0</v>
      </c>
      <c r="G205" s="4">
        <f>VLOOKUP(E:E,代理人!E:AD,24,FALSE)</f>
        <v>0</v>
      </c>
    </row>
    <row r="206" hidden="1" spans="1:7">
      <c r="A206" s="4" t="s">
        <v>48</v>
      </c>
      <c r="B206" s="4" t="s">
        <v>49</v>
      </c>
      <c r="C206" s="4" t="s">
        <v>98</v>
      </c>
      <c r="D206" s="4" t="s">
        <v>442</v>
      </c>
      <c r="E206" s="4">
        <v>6085146342</v>
      </c>
      <c r="F206" s="4">
        <f>VLOOKUP(E:E,代理人!E:AD,23,FALSE)</f>
        <v>0</v>
      </c>
      <c r="G206" s="4">
        <f>VLOOKUP(E:E,代理人!E:AD,24,FALSE)</f>
        <v>0</v>
      </c>
    </row>
    <row r="207" hidden="1" spans="1:7">
      <c r="A207" s="4" t="s">
        <v>42</v>
      </c>
      <c r="B207" s="4" t="s">
        <v>43</v>
      </c>
      <c r="C207" s="4" t="s">
        <v>75</v>
      </c>
      <c r="D207" s="4" t="s">
        <v>443</v>
      </c>
      <c r="E207" s="4">
        <v>6084400252</v>
      </c>
      <c r="F207" s="4">
        <f>VLOOKUP(E:E,代理人!E:AD,23,FALSE)</f>
        <v>0</v>
      </c>
      <c r="G207" s="4">
        <f>VLOOKUP(E:E,代理人!E:AD,24,FALSE)</f>
        <v>0</v>
      </c>
    </row>
    <row r="208" hidden="1" spans="1:7">
      <c r="A208" s="4" t="s">
        <v>27</v>
      </c>
      <c r="B208" s="4" t="s">
        <v>28</v>
      </c>
      <c r="C208" s="4" t="s">
        <v>29</v>
      </c>
      <c r="D208" s="4" t="s">
        <v>444</v>
      </c>
      <c r="E208" s="4">
        <v>6071927132</v>
      </c>
      <c r="F208" s="4">
        <f>VLOOKUP(E:E,代理人!E:AD,23,FALSE)</f>
        <v>0</v>
      </c>
      <c r="G208" s="4">
        <f>VLOOKUP(E:E,代理人!E:AD,24,FALSE)</f>
        <v>0</v>
      </c>
    </row>
    <row r="209" hidden="1" spans="1:7">
      <c r="A209" s="4" t="s">
        <v>27</v>
      </c>
      <c r="B209" s="4" t="s">
        <v>28</v>
      </c>
      <c r="C209" s="4" t="s">
        <v>29</v>
      </c>
      <c r="D209" s="4" t="s">
        <v>445</v>
      </c>
      <c r="E209" s="4">
        <v>6071625262</v>
      </c>
      <c r="F209" s="4">
        <f>VLOOKUP(E:E,代理人!E:AD,23,FALSE)</f>
        <v>0</v>
      </c>
      <c r="G209" s="4">
        <f>VLOOKUP(E:E,代理人!E:AD,24,FALSE)</f>
        <v>0</v>
      </c>
    </row>
    <row r="210" hidden="1" spans="1:7">
      <c r="A210" s="4" t="s">
        <v>27</v>
      </c>
      <c r="B210" s="4" t="s">
        <v>37</v>
      </c>
      <c r="C210" s="4" t="s">
        <v>226</v>
      </c>
      <c r="D210" s="4" t="s">
        <v>446</v>
      </c>
      <c r="E210" s="4">
        <v>6071074072</v>
      </c>
      <c r="F210" s="4">
        <f>VLOOKUP(E:E,代理人!E:AD,23,FALSE)</f>
        <v>0</v>
      </c>
      <c r="G210" s="4">
        <f>VLOOKUP(E:E,代理人!E:AD,24,FALSE)</f>
        <v>0</v>
      </c>
    </row>
    <row r="211" hidden="1" spans="1:7">
      <c r="A211" s="4" t="s">
        <v>42</v>
      </c>
      <c r="B211" s="4" t="s">
        <v>66</v>
      </c>
      <c r="C211" s="4" t="s">
        <v>343</v>
      </c>
      <c r="D211" s="4" t="s">
        <v>447</v>
      </c>
      <c r="E211" s="4">
        <v>6069307232</v>
      </c>
      <c r="F211" s="4">
        <f>VLOOKUP(E:E,代理人!E:AD,23,FALSE)</f>
        <v>0</v>
      </c>
      <c r="G211" s="4">
        <f>VLOOKUP(E:E,代理人!E:AD,24,FALSE)</f>
        <v>0</v>
      </c>
    </row>
    <row r="212" hidden="1" spans="1:7">
      <c r="A212" s="4" t="s">
        <v>27</v>
      </c>
      <c r="B212" s="4" t="s">
        <v>28</v>
      </c>
      <c r="C212" s="4" t="s">
        <v>224</v>
      </c>
      <c r="D212" s="4" t="s">
        <v>448</v>
      </c>
      <c r="E212" s="4">
        <v>6025042622</v>
      </c>
      <c r="F212" s="4">
        <f>VLOOKUP(E:E,代理人!E:AD,23,FALSE)</f>
        <v>0</v>
      </c>
      <c r="G212" s="4">
        <f>VLOOKUP(E:E,代理人!E:AD,24,FALSE)</f>
        <v>0</v>
      </c>
    </row>
    <row r="213" hidden="1" spans="1:7">
      <c r="A213" s="4" t="s">
        <v>27</v>
      </c>
      <c r="B213" s="4" t="s">
        <v>28</v>
      </c>
      <c r="C213" s="4" t="s">
        <v>224</v>
      </c>
      <c r="D213" s="4" t="s">
        <v>225</v>
      </c>
      <c r="E213" s="4">
        <v>6025005442</v>
      </c>
      <c r="F213" s="4">
        <f>VLOOKUP(E:E,代理人!E:AD,23,FALSE)</f>
        <v>0</v>
      </c>
      <c r="G213" s="4">
        <f>VLOOKUP(E:E,代理人!E:AD,24,FALSE)</f>
        <v>0</v>
      </c>
    </row>
    <row r="214" hidden="1" spans="1:7">
      <c r="A214" s="4" t="s">
        <v>27</v>
      </c>
      <c r="B214" s="4" t="s">
        <v>28</v>
      </c>
      <c r="C214" s="4" t="s">
        <v>29</v>
      </c>
      <c r="D214" s="4" t="s">
        <v>449</v>
      </c>
      <c r="E214" s="4">
        <v>5965270682</v>
      </c>
      <c r="F214" s="4">
        <f>VLOOKUP(E:E,代理人!E:AD,23,FALSE)</f>
        <v>0</v>
      </c>
      <c r="G214" s="4">
        <f>VLOOKUP(E:E,代理人!E:AD,24,FALSE)</f>
        <v>0</v>
      </c>
    </row>
    <row r="215" hidden="1" spans="1:7">
      <c r="A215" s="4" t="s">
        <v>42</v>
      </c>
      <c r="B215" s="4" t="s">
        <v>62</v>
      </c>
      <c r="C215" s="4" t="s">
        <v>86</v>
      </c>
      <c r="D215" s="4" t="s">
        <v>450</v>
      </c>
      <c r="E215" s="4">
        <v>5883198712</v>
      </c>
      <c r="F215" s="4">
        <f>VLOOKUP(E:E,代理人!E:AD,23,FALSE)</f>
        <v>0</v>
      </c>
      <c r="G215" s="4">
        <f>VLOOKUP(E:E,代理人!E:AD,24,FALSE)</f>
        <v>0</v>
      </c>
    </row>
    <row r="216" hidden="1" spans="1:7">
      <c r="A216" s="4" t="s">
        <v>27</v>
      </c>
      <c r="B216" s="4" t="s">
        <v>94</v>
      </c>
      <c r="C216" s="4" t="s">
        <v>95</v>
      </c>
      <c r="D216" s="4" t="s">
        <v>451</v>
      </c>
      <c r="E216" s="4">
        <v>5860938562</v>
      </c>
      <c r="F216" s="4">
        <f>VLOOKUP(E:E,代理人!E:AD,23,FALSE)</f>
        <v>0</v>
      </c>
      <c r="G216" s="4">
        <f>VLOOKUP(E:E,代理人!E:AD,24,FALSE)</f>
        <v>0</v>
      </c>
    </row>
    <row r="217" hidden="1" spans="1:7">
      <c r="A217" s="4" t="s">
        <v>27</v>
      </c>
      <c r="B217" s="4" t="s">
        <v>37</v>
      </c>
      <c r="C217" s="4" t="s">
        <v>38</v>
      </c>
      <c r="D217" s="4" t="s">
        <v>452</v>
      </c>
      <c r="E217" s="4">
        <v>5860528822</v>
      </c>
      <c r="F217" s="4">
        <f>VLOOKUP(E:E,代理人!E:AD,23,FALSE)</f>
        <v>0</v>
      </c>
      <c r="G217" s="4">
        <f>VLOOKUP(E:E,代理人!E:AD,24,FALSE)</f>
        <v>0</v>
      </c>
    </row>
    <row r="218" hidden="1" spans="1:7">
      <c r="A218" s="4" t="s">
        <v>27</v>
      </c>
      <c r="B218" s="4" t="s">
        <v>100</v>
      </c>
      <c r="C218" s="4" t="s">
        <v>101</v>
      </c>
      <c r="D218" s="4" t="s">
        <v>453</v>
      </c>
      <c r="E218" s="4">
        <v>5829841442</v>
      </c>
      <c r="F218" s="4">
        <f>VLOOKUP(E:E,代理人!E:AD,23,FALSE)</f>
        <v>0</v>
      </c>
      <c r="G218" s="4">
        <f>VLOOKUP(E:E,代理人!E:AD,24,FALSE)</f>
        <v>0</v>
      </c>
    </row>
    <row r="219" hidden="1" spans="1:7">
      <c r="A219" s="4" t="s">
        <v>27</v>
      </c>
      <c r="B219" s="4" t="s">
        <v>100</v>
      </c>
      <c r="C219" s="4" t="s">
        <v>101</v>
      </c>
      <c r="D219" s="4" t="s">
        <v>454</v>
      </c>
      <c r="E219" s="4">
        <v>5829706362</v>
      </c>
      <c r="F219" s="4">
        <f>VLOOKUP(E:E,代理人!E:AD,23,FALSE)</f>
        <v>0</v>
      </c>
      <c r="G219" s="4">
        <f>VLOOKUP(E:E,代理人!E:AD,24,FALSE)</f>
        <v>0</v>
      </c>
    </row>
    <row r="220" hidden="1" spans="1:7">
      <c r="A220" s="4" t="s">
        <v>27</v>
      </c>
      <c r="B220" s="4" t="s">
        <v>28</v>
      </c>
      <c r="C220" s="4" t="s">
        <v>29</v>
      </c>
      <c r="D220" s="4" t="s">
        <v>455</v>
      </c>
      <c r="E220" s="4">
        <v>5829071812</v>
      </c>
      <c r="F220" s="4">
        <f>VLOOKUP(E:E,代理人!E:AD,23,FALSE)</f>
        <v>0</v>
      </c>
      <c r="G220" s="4">
        <f>VLOOKUP(E:E,代理人!E:AD,24,FALSE)</f>
        <v>0</v>
      </c>
    </row>
    <row r="221" hidden="1" spans="1:7">
      <c r="A221" s="4" t="s">
        <v>456</v>
      </c>
      <c r="B221" s="4" t="s">
        <v>457</v>
      </c>
      <c r="C221" s="4" t="s">
        <v>458</v>
      </c>
      <c r="D221" s="4" t="s">
        <v>459</v>
      </c>
      <c r="E221" s="4">
        <v>5819539502</v>
      </c>
      <c r="F221" s="4">
        <f>VLOOKUP(E:E,代理人!E:AD,23,FALSE)</f>
        <v>0</v>
      </c>
      <c r="G221" s="4">
        <f>VLOOKUP(E:E,代理人!E:AD,24,FALSE)</f>
        <v>0</v>
      </c>
    </row>
    <row r="222" hidden="1" spans="1:7">
      <c r="A222" s="4" t="s">
        <v>456</v>
      </c>
      <c r="B222" s="4" t="s">
        <v>457</v>
      </c>
      <c r="C222" s="4" t="s">
        <v>458</v>
      </c>
      <c r="D222" s="4" t="s">
        <v>460</v>
      </c>
      <c r="E222" s="4">
        <v>5819404422</v>
      </c>
      <c r="F222" s="4">
        <f>VLOOKUP(E:E,代理人!E:AD,23,FALSE)</f>
        <v>0</v>
      </c>
      <c r="G222" s="4">
        <f>VLOOKUP(E:E,代理人!E:AD,24,FALSE)</f>
        <v>0</v>
      </c>
    </row>
    <row r="223" hidden="1" spans="1:7">
      <c r="A223" s="4" t="s">
        <v>42</v>
      </c>
      <c r="B223" s="4" t="s">
        <v>66</v>
      </c>
      <c r="C223" s="4" t="s">
        <v>343</v>
      </c>
      <c r="D223" s="4" t="s">
        <v>461</v>
      </c>
      <c r="E223" s="4">
        <v>5796032892</v>
      </c>
      <c r="F223" s="4">
        <f>VLOOKUP(E:E,代理人!E:AD,23,FALSE)</f>
        <v>0</v>
      </c>
      <c r="G223" s="4">
        <f>VLOOKUP(E:E,代理人!E:AD,24,FALSE)</f>
        <v>0</v>
      </c>
    </row>
    <row r="224" hidden="1" spans="1:7">
      <c r="A224" s="4" t="s">
        <v>42</v>
      </c>
      <c r="B224" s="4" t="s">
        <v>66</v>
      </c>
      <c r="C224" s="4" t="s">
        <v>343</v>
      </c>
      <c r="D224" s="4" t="s">
        <v>462</v>
      </c>
      <c r="E224" s="4">
        <v>5795082832</v>
      </c>
      <c r="F224" s="4">
        <f>VLOOKUP(E:E,代理人!E:AD,23,FALSE)</f>
        <v>0</v>
      </c>
      <c r="G224" s="4">
        <f>VLOOKUP(E:E,代理人!E:AD,24,FALSE)</f>
        <v>0</v>
      </c>
    </row>
    <row r="225" hidden="1" spans="1:7">
      <c r="A225" s="4" t="s">
        <v>27</v>
      </c>
      <c r="B225" s="4" t="s">
        <v>37</v>
      </c>
      <c r="C225" s="4" t="s">
        <v>226</v>
      </c>
      <c r="D225" s="4" t="s">
        <v>463</v>
      </c>
      <c r="E225" s="4">
        <v>5795030212</v>
      </c>
      <c r="F225" s="4">
        <f>VLOOKUP(E:E,代理人!E:AD,23,FALSE)</f>
        <v>0</v>
      </c>
      <c r="G225" s="4">
        <f>VLOOKUP(E:E,代理人!E:AD,24,FALSE)</f>
        <v>0</v>
      </c>
    </row>
    <row r="226" hidden="1" spans="1:7">
      <c r="A226" s="4" t="s">
        <v>42</v>
      </c>
      <c r="B226" s="4" t="s">
        <v>43</v>
      </c>
      <c r="C226" s="4" t="s">
        <v>70</v>
      </c>
      <c r="D226" s="4" t="s">
        <v>464</v>
      </c>
      <c r="E226" s="4">
        <v>5793477312</v>
      </c>
      <c r="F226" s="4">
        <f>VLOOKUP(E:E,代理人!E:AD,23,FALSE)</f>
        <v>0</v>
      </c>
      <c r="G226" s="4">
        <f>VLOOKUP(E:E,代理人!E:AD,24,FALSE)</f>
        <v>0</v>
      </c>
    </row>
    <row r="227" hidden="1" spans="1:7">
      <c r="A227" s="4" t="s">
        <v>48</v>
      </c>
      <c r="B227" s="4" t="s">
        <v>49</v>
      </c>
      <c r="C227" s="4" t="s">
        <v>50</v>
      </c>
      <c r="D227" s="4" t="s">
        <v>465</v>
      </c>
      <c r="E227" s="4">
        <v>5793398452</v>
      </c>
      <c r="F227" s="4">
        <f>VLOOKUP(E:E,代理人!E:AD,23,FALSE)</f>
        <v>0</v>
      </c>
      <c r="G227" s="4">
        <f>VLOOKUP(E:E,代理人!E:AD,24,FALSE)</f>
        <v>0</v>
      </c>
    </row>
    <row r="228" hidden="1" spans="1:7">
      <c r="A228" s="4" t="s">
        <v>456</v>
      </c>
      <c r="B228" s="4" t="s">
        <v>457</v>
      </c>
      <c r="C228" s="4" t="s">
        <v>458</v>
      </c>
      <c r="D228" s="4" t="s">
        <v>466</v>
      </c>
      <c r="E228" s="4">
        <v>5786682812</v>
      </c>
      <c r="F228" s="4">
        <f>VLOOKUP(E:E,代理人!E:AD,23,FALSE)</f>
        <v>0</v>
      </c>
      <c r="G228" s="4">
        <f>VLOOKUP(E:E,代理人!E:AD,24,FALSE)</f>
        <v>0</v>
      </c>
    </row>
    <row r="229" hidden="1" spans="1:7">
      <c r="A229" s="4" t="s">
        <v>42</v>
      </c>
      <c r="B229" s="4" t="s">
        <v>66</v>
      </c>
      <c r="C229" s="4" t="s">
        <v>343</v>
      </c>
      <c r="D229" s="4" t="s">
        <v>467</v>
      </c>
      <c r="E229" s="4">
        <v>5770418522</v>
      </c>
      <c r="F229" s="4">
        <f>VLOOKUP(E:E,代理人!E:AD,23,FALSE)</f>
        <v>0</v>
      </c>
      <c r="G229" s="4">
        <f>VLOOKUP(E:E,代理人!E:AD,24,FALSE)</f>
        <v>0</v>
      </c>
    </row>
    <row r="230" hidden="1" spans="1:7">
      <c r="A230" s="4" t="s">
        <v>27</v>
      </c>
      <c r="B230" s="4" t="s">
        <v>37</v>
      </c>
      <c r="C230" s="4" t="s">
        <v>38</v>
      </c>
      <c r="D230" s="4" t="s">
        <v>468</v>
      </c>
      <c r="E230" s="4">
        <v>5735066072</v>
      </c>
      <c r="F230" s="4">
        <f>VLOOKUP(E:E,代理人!E:AD,23,FALSE)</f>
        <v>0</v>
      </c>
      <c r="G230" s="4">
        <f>VLOOKUP(E:E,代理人!E:AD,24,FALSE)</f>
        <v>0</v>
      </c>
    </row>
    <row r="231" hidden="1" spans="1:7">
      <c r="A231" s="4" t="s">
        <v>48</v>
      </c>
      <c r="B231" s="4" t="s">
        <v>49</v>
      </c>
      <c r="C231" s="4" t="s">
        <v>82</v>
      </c>
      <c r="D231" s="4" t="s">
        <v>286</v>
      </c>
      <c r="E231" s="4">
        <v>5733766092</v>
      </c>
      <c r="F231" s="4">
        <f>VLOOKUP(E:E,代理人!E:AD,23,FALSE)</f>
        <v>0</v>
      </c>
      <c r="G231" s="4">
        <f>VLOOKUP(E:E,代理人!E:AD,24,FALSE)</f>
        <v>0</v>
      </c>
    </row>
    <row r="232" hidden="1" spans="1:7">
      <c r="A232" s="4" t="s">
        <v>42</v>
      </c>
      <c r="B232" s="4" t="s">
        <v>66</v>
      </c>
      <c r="C232" s="4" t="s">
        <v>67</v>
      </c>
      <c r="D232" s="4" t="s">
        <v>469</v>
      </c>
      <c r="E232" s="4">
        <v>5722364542</v>
      </c>
      <c r="F232" s="4">
        <f>VLOOKUP(E:E,代理人!E:AD,23,FALSE)</f>
        <v>0</v>
      </c>
      <c r="G232" s="4">
        <f>VLOOKUP(E:E,代理人!E:AD,24,FALSE)</f>
        <v>0</v>
      </c>
    </row>
    <row r="233" hidden="1" spans="1:7">
      <c r="A233" s="4" t="s">
        <v>42</v>
      </c>
      <c r="B233" s="4" t="s">
        <v>62</v>
      </c>
      <c r="C233" s="4" t="s">
        <v>92</v>
      </c>
      <c r="D233" s="4" t="s">
        <v>222</v>
      </c>
      <c r="E233" s="4">
        <v>5722340032</v>
      </c>
      <c r="F233" s="4">
        <f>VLOOKUP(E:E,代理人!E:AD,23,FALSE)</f>
        <v>0</v>
      </c>
      <c r="G233" s="4">
        <f>VLOOKUP(E:E,代理人!E:AD,24,FALSE)</f>
        <v>0</v>
      </c>
    </row>
    <row r="234" hidden="1" spans="1:7">
      <c r="A234" s="4" t="s">
        <v>456</v>
      </c>
      <c r="B234" s="4" t="s">
        <v>457</v>
      </c>
      <c r="C234" s="4" t="s">
        <v>458</v>
      </c>
      <c r="D234" s="4" t="s">
        <v>470</v>
      </c>
      <c r="E234" s="4">
        <v>5721728122</v>
      </c>
      <c r="F234" s="4">
        <f>VLOOKUP(E:E,代理人!E:AD,23,FALSE)</f>
        <v>0</v>
      </c>
      <c r="G234" s="4">
        <f>VLOOKUP(E:E,代理人!E:AD,24,FALSE)</f>
        <v>0</v>
      </c>
    </row>
    <row r="235" hidden="1" spans="1:7">
      <c r="A235" s="4" t="s">
        <v>42</v>
      </c>
      <c r="B235" s="4" t="s">
        <v>66</v>
      </c>
      <c r="C235" s="4" t="s">
        <v>343</v>
      </c>
      <c r="D235" s="4" t="s">
        <v>471</v>
      </c>
      <c r="E235" s="4">
        <v>5705299812</v>
      </c>
      <c r="F235" s="4">
        <f>VLOOKUP(E:E,代理人!E:AD,23,FALSE)</f>
        <v>0</v>
      </c>
      <c r="G235" s="4">
        <f>VLOOKUP(E:E,代理人!E:AD,24,FALSE)</f>
        <v>0</v>
      </c>
    </row>
    <row r="236" hidden="1" spans="1:7">
      <c r="A236" s="4" t="s">
        <v>27</v>
      </c>
      <c r="B236" s="4" t="s">
        <v>37</v>
      </c>
      <c r="C236" s="4" t="s">
        <v>38</v>
      </c>
      <c r="D236" s="4" t="s">
        <v>472</v>
      </c>
      <c r="E236" s="4">
        <v>5704433112</v>
      </c>
      <c r="F236" s="4">
        <f>VLOOKUP(E:E,代理人!E:AD,23,FALSE)</f>
        <v>0</v>
      </c>
      <c r="G236" s="4">
        <f>VLOOKUP(E:E,代理人!E:AD,24,FALSE)</f>
        <v>0</v>
      </c>
    </row>
    <row r="237" hidden="1" spans="1:7">
      <c r="A237" s="4" t="s">
        <v>27</v>
      </c>
      <c r="B237" s="4" t="s">
        <v>37</v>
      </c>
      <c r="C237" s="4" t="s">
        <v>38</v>
      </c>
      <c r="D237" s="4" t="s">
        <v>473</v>
      </c>
      <c r="E237" s="4">
        <v>5704127642</v>
      </c>
      <c r="F237" s="4">
        <f>VLOOKUP(E:E,代理人!E:AD,23,FALSE)</f>
        <v>0</v>
      </c>
      <c r="G237" s="4">
        <f>VLOOKUP(E:E,代理人!E:AD,24,FALSE)</f>
        <v>0</v>
      </c>
    </row>
    <row r="238" hidden="1" spans="1:7">
      <c r="A238" s="4" t="s">
        <v>27</v>
      </c>
      <c r="B238" s="4" t="s">
        <v>94</v>
      </c>
      <c r="C238" s="4" t="s">
        <v>95</v>
      </c>
      <c r="D238" s="4" t="s">
        <v>474</v>
      </c>
      <c r="E238" s="4">
        <v>5704091362</v>
      </c>
      <c r="F238" s="4">
        <f>VLOOKUP(E:E,代理人!E:AD,23,FALSE)</f>
        <v>0</v>
      </c>
      <c r="G238" s="4">
        <f>VLOOKUP(E:E,代理人!E:AD,24,FALSE)</f>
        <v>0</v>
      </c>
    </row>
    <row r="239" hidden="1" spans="1:7">
      <c r="A239" s="4" t="s">
        <v>42</v>
      </c>
      <c r="B239" s="4" t="s">
        <v>66</v>
      </c>
      <c r="C239" s="4" t="s">
        <v>67</v>
      </c>
      <c r="D239" s="4" t="s">
        <v>475</v>
      </c>
      <c r="E239" s="4">
        <v>5693445872</v>
      </c>
      <c r="F239" s="4">
        <f>VLOOKUP(E:E,代理人!E:AD,23,FALSE)</f>
        <v>0</v>
      </c>
      <c r="G239" s="4">
        <f>VLOOKUP(E:E,代理人!E:AD,24,FALSE)</f>
        <v>0</v>
      </c>
    </row>
    <row r="240" hidden="1" spans="1:7">
      <c r="A240" s="4" t="s">
        <v>27</v>
      </c>
      <c r="B240" s="4" t="s">
        <v>37</v>
      </c>
      <c r="C240" s="4" t="s">
        <v>226</v>
      </c>
      <c r="D240" s="4" t="s">
        <v>476</v>
      </c>
      <c r="E240" s="4">
        <v>5689717222</v>
      </c>
      <c r="F240" s="4">
        <f>VLOOKUP(E:E,代理人!E:AD,23,FALSE)</f>
        <v>0</v>
      </c>
      <c r="G240" s="4">
        <f>VLOOKUP(E:E,代理人!E:AD,24,FALSE)</f>
        <v>0</v>
      </c>
    </row>
    <row r="241" hidden="1" spans="1:7">
      <c r="A241" s="4" t="s">
        <v>42</v>
      </c>
      <c r="B241" s="4" t="s">
        <v>43</v>
      </c>
      <c r="C241" s="4" t="s">
        <v>77</v>
      </c>
      <c r="D241" s="4" t="s">
        <v>477</v>
      </c>
      <c r="E241" s="4">
        <v>5680107922</v>
      </c>
      <c r="F241" s="4">
        <f>VLOOKUP(E:E,代理人!E:AD,23,FALSE)</f>
        <v>0</v>
      </c>
      <c r="G241" s="4">
        <f>VLOOKUP(E:E,代理人!E:AD,24,FALSE)</f>
        <v>0</v>
      </c>
    </row>
    <row r="242" hidden="1" spans="1:7">
      <c r="A242" s="4" t="s">
        <v>48</v>
      </c>
      <c r="B242" s="4" t="s">
        <v>49</v>
      </c>
      <c r="C242" s="4" t="s">
        <v>50</v>
      </c>
      <c r="D242" s="4" t="s">
        <v>478</v>
      </c>
      <c r="E242" s="4">
        <v>5629751282</v>
      </c>
      <c r="F242" s="4">
        <f>VLOOKUP(E:E,代理人!E:AD,23,FALSE)</f>
        <v>0</v>
      </c>
      <c r="G242" s="4">
        <f>VLOOKUP(E:E,代理人!E:AD,24,FALSE)</f>
        <v>0</v>
      </c>
    </row>
    <row r="243" hidden="1" spans="1:7">
      <c r="A243" s="4" t="s">
        <v>42</v>
      </c>
      <c r="B243" s="4" t="s">
        <v>43</v>
      </c>
      <c r="C243" s="4" t="s">
        <v>44</v>
      </c>
      <c r="D243" s="4" t="s">
        <v>479</v>
      </c>
      <c r="E243" s="4">
        <v>5596364242</v>
      </c>
      <c r="F243" s="4">
        <f>VLOOKUP(E:E,代理人!E:AD,23,FALSE)</f>
        <v>0</v>
      </c>
      <c r="G243" s="4">
        <f>VLOOKUP(E:E,代理人!E:AD,24,FALSE)</f>
        <v>0</v>
      </c>
    </row>
    <row r="244" hidden="1" spans="1:7">
      <c r="A244" s="4" t="s">
        <v>27</v>
      </c>
      <c r="B244" s="4" t="s">
        <v>94</v>
      </c>
      <c r="C244" s="4" t="s">
        <v>95</v>
      </c>
      <c r="D244" s="4" t="s">
        <v>480</v>
      </c>
      <c r="E244" s="4">
        <v>5585829322</v>
      </c>
      <c r="F244" s="4">
        <f>VLOOKUP(E:E,代理人!E:AD,23,FALSE)</f>
        <v>0</v>
      </c>
      <c r="G244" s="4">
        <f>VLOOKUP(E:E,代理人!E:AD,24,FALSE)</f>
        <v>0</v>
      </c>
    </row>
    <row r="245" hidden="1" spans="1:7">
      <c r="A245" s="4" t="s">
        <v>48</v>
      </c>
      <c r="B245" s="4" t="s">
        <v>49</v>
      </c>
      <c r="C245" s="4" t="s">
        <v>98</v>
      </c>
      <c r="D245" s="4" t="s">
        <v>481</v>
      </c>
      <c r="E245" s="4">
        <v>5522384052</v>
      </c>
      <c r="F245" s="4">
        <f>VLOOKUP(E:E,代理人!E:AD,23,FALSE)</f>
        <v>0</v>
      </c>
      <c r="G245" s="4">
        <f>VLOOKUP(E:E,代理人!E:AD,24,FALSE)</f>
        <v>0</v>
      </c>
    </row>
    <row r="246" hidden="1" spans="1:7">
      <c r="A246" s="4" t="s">
        <v>48</v>
      </c>
      <c r="B246" s="4" t="s">
        <v>49</v>
      </c>
      <c r="C246" s="4" t="s">
        <v>50</v>
      </c>
      <c r="D246" s="4" t="s">
        <v>286</v>
      </c>
      <c r="E246" s="4">
        <v>5508877512</v>
      </c>
      <c r="F246" s="4">
        <f>VLOOKUP(E:E,代理人!E:AD,23,FALSE)</f>
        <v>0</v>
      </c>
      <c r="G246" s="4">
        <f>VLOOKUP(E:E,代理人!E:AD,24,FALSE)</f>
        <v>0</v>
      </c>
    </row>
    <row r="247" hidden="1" spans="1:7">
      <c r="A247" s="4" t="s">
        <v>48</v>
      </c>
      <c r="B247" s="4" t="s">
        <v>49</v>
      </c>
      <c r="C247" s="4" t="s">
        <v>50</v>
      </c>
      <c r="D247" s="4" t="s">
        <v>482</v>
      </c>
      <c r="E247" s="4">
        <v>5508730662</v>
      </c>
      <c r="F247" s="4">
        <f>VLOOKUP(E:E,代理人!E:AD,23,FALSE)</f>
        <v>0</v>
      </c>
      <c r="G247" s="4">
        <f>VLOOKUP(E:E,代理人!E:AD,24,FALSE)</f>
        <v>0</v>
      </c>
    </row>
    <row r="248" hidden="1" spans="1:7">
      <c r="A248" s="4" t="s">
        <v>27</v>
      </c>
      <c r="B248" s="4" t="s">
        <v>37</v>
      </c>
      <c r="C248" s="4" t="s">
        <v>110</v>
      </c>
      <c r="D248" s="4" t="s">
        <v>483</v>
      </c>
      <c r="E248" s="4">
        <v>5503212532</v>
      </c>
      <c r="F248" s="4">
        <f>VLOOKUP(E:E,代理人!E:AD,23,FALSE)</f>
        <v>0</v>
      </c>
      <c r="G248" s="4">
        <f>VLOOKUP(E:E,代理人!E:AD,24,FALSE)</f>
        <v>0</v>
      </c>
    </row>
    <row r="249" hidden="1" spans="1:7">
      <c r="A249" s="4" t="s">
        <v>48</v>
      </c>
      <c r="B249" s="4" t="s">
        <v>49</v>
      </c>
      <c r="C249" s="4" t="s">
        <v>50</v>
      </c>
      <c r="D249" s="4" t="s">
        <v>484</v>
      </c>
      <c r="E249" s="4">
        <v>5502582482</v>
      </c>
      <c r="F249" s="4">
        <f>VLOOKUP(E:E,代理人!E:AD,23,FALSE)</f>
        <v>0</v>
      </c>
      <c r="G249" s="4">
        <f>VLOOKUP(E:E,代理人!E:AD,24,FALSE)</f>
        <v>0</v>
      </c>
    </row>
    <row r="250" hidden="1" spans="1:7">
      <c r="A250" s="4" t="s">
        <v>42</v>
      </c>
      <c r="B250" s="4" t="s">
        <v>66</v>
      </c>
      <c r="C250" s="4" t="s">
        <v>343</v>
      </c>
      <c r="D250" s="4" t="s">
        <v>485</v>
      </c>
      <c r="E250" s="4">
        <v>5495685512</v>
      </c>
      <c r="F250" s="4">
        <f>VLOOKUP(E:E,代理人!E:AD,23,FALSE)</f>
        <v>0</v>
      </c>
      <c r="G250" s="4">
        <f>VLOOKUP(E:E,代理人!E:AD,24,FALSE)</f>
        <v>0</v>
      </c>
    </row>
    <row r="251" hidden="1" spans="1:7">
      <c r="A251" s="4" t="s">
        <v>27</v>
      </c>
      <c r="B251" s="4" t="s">
        <v>37</v>
      </c>
      <c r="C251" s="4" t="s">
        <v>226</v>
      </c>
      <c r="D251" s="4" t="s">
        <v>486</v>
      </c>
      <c r="E251" s="4">
        <v>5491410242</v>
      </c>
      <c r="F251" s="4">
        <f>VLOOKUP(E:E,代理人!E:AD,23,FALSE)</f>
        <v>0</v>
      </c>
      <c r="G251" s="4">
        <f>VLOOKUP(E:E,代理人!E:AD,24,FALSE)</f>
        <v>0</v>
      </c>
    </row>
    <row r="252" hidden="1" spans="1:7">
      <c r="A252" s="4" t="s">
        <v>42</v>
      </c>
      <c r="B252" s="4" t="s">
        <v>62</v>
      </c>
      <c r="C252" s="4" t="s">
        <v>108</v>
      </c>
      <c r="D252" s="4" t="s">
        <v>487</v>
      </c>
      <c r="E252" s="4">
        <v>5463341932</v>
      </c>
      <c r="F252" s="4">
        <f>VLOOKUP(E:E,代理人!E:AD,23,FALSE)</f>
        <v>0</v>
      </c>
      <c r="G252" s="4">
        <f>VLOOKUP(E:E,代理人!E:AD,24,FALSE)</f>
        <v>0</v>
      </c>
    </row>
    <row r="253" hidden="1" spans="1:7">
      <c r="A253" s="4" t="s">
        <v>42</v>
      </c>
      <c r="B253" s="4" t="s">
        <v>66</v>
      </c>
      <c r="C253" s="4" t="s">
        <v>343</v>
      </c>
      <c r="D253" s="4" t="s">
        <v>488</v>
      </c>
      <c r="E253" s="4">
        <v>5441713632</v>
      </c>
      <c r="F253" s="4">
        <f>VLOOKUP(E:E,代理人!E:AD,23,FALSE)</f>
        <v>0</v>
      </c>
      <c r="G253" s="4">
        <f>VLOOKUP(E:E,代理人!E:AD,24,FALSE)</f>
        <v>0</v>
      </c>
    </row>
    <row r="254" hidden="1" spans="1:7">
      <c r="A254" s="4" t="s">
        <v>27</v>
      </c>
      <c r="B254" s="4" t="s">
        <v>94</v>
      </c>
      <c r="C254" s="4" t="s">
        <v>95</v>
      </c>
      <c r="D254" s="4" t="s">
        <v>489</v>
      </c>
      <c r="E254" s="4">
        <v>5386683822</v>
      </c>
      <c r="F254" s="4">
        <f>VLOOKUP(E:E,代理人!E:AD,23,FALSE)</f>
        <v>0</v>
      </c>
      <c r="G254" s="4">
        <f>VLOOKUP(E:E,代理人!E:AD,24,FALSE)</f>
        <v>0</v>
      </c>
    </row>
    <row r="255" hidden="1" spans="1:7">
      <c r="A255" s="4" t="s">
        <v>27</v>
      </c>
      <c r="B255" s="4" t="s">
        <v>37</v>
      </c>
      <c r="C255" s="4" t="s">
        <v>226</v>
      </c>
      <c r="D255" s="4" t="s">
        <v>227</v>
      </c>
      <c r="E255" s="4">
        <v>5323989142</v>
      </c>
      <c r="F255" s="4">
        <f>VLOOKUP(E:E,代理人!E:AD,23,FALSE)</f>
        <v>0</v>
      </c>
      <c r="G255" s="4">
        <f>VLOOKUP(E:E,代理人!E:AD,24,FALSE)</f>
        <v>0</v>
      </c>
    </row>
    <row r="256" hidden="1" spans="1:7">
      <c r="A256" s="4" t="s">
        <v>27</v>
      </c>
      <c r="B256" s="4" t="s">
        <v>94</v>
      </c>
      <c r="C256" s="4" t="s">
        <v>95</v>
      </c>
      <c r="D256" s="4" t="s">
        <v>490</v>
      </c>
      <c r="E256" s="4">
        <v>5313504072</v>
      </c>
      <c r="F256" s="4">
        <f>VLOOKUP(E:E,代理人!E:AD,23,FALSE)</f>
        <v>0</v>
      </c>
      <c r="G256" s="4">
        <f>VLOOKUP(E:E,代理人!E:AD,24,FALSE)</f>
        <v>0</v>
      </c>
    </row>
    <row r="257" hidden="1" spans="1:7">
      <c r="A257" s="4" t="s">
        <v>48</v>
      </c>
      <c r="B257" s="4" t="s">
        <v>49</v>
      </c>
      <c r="C257" s="4" t="s">
        <v>50</v>
      </c>
      <c r="D257" s="4" t="s">
        <v>491</v>
      </c>
      <c r="E257" s="4">
        <v>5291541292</v>
      </c>
      <c r="F257" s="4">
        <f>VLOOKUP(E:E,代理人!E:AD,23,FALSE)</f>
        <v>0</v>
      </c>
      <c r="G257" s="4">
        <f>VLOOKUP(E:E,代理人!E:AD,24,FALSE)</f>
        <v>0</v>
      </c>
    </row>
    <row r="258" hidden="1" spans="1:7">
      <c r="A258" s="4" t="s">
        <v>27</v>
      </c>
      <c r="B258" s="4" t="s">
        <v>94</v>
      </c>
      <c r="C258" s="4" t="s">
        <v>95</v>
      </c>
      <c r="D258" s="4" t="s">
        <v>492</v>
      </c>
      <c r="E258" s="4">
        <v>5250370712</v>
      </c>
      <c r="F258" s="4">
        <f>VLOOKUP(E:E,代理人!E:AD,23,FALSE)</f>
        <v>0</v>
      </c>
      <c r="G258" s="4">
        <f>VLOOKUP(E:E,代理人!E:AD,24,FALSE)</f>
        <v>0</v>
      </c>
    </row>
    <row r="259" hidden="1" spans="1:7">
      <c r="A259" s="4" t="s">
        <v>42</v>
      </c>
      <c r="B259" s="4" t="s">
        <v>62</v>
      </c>
      <c r="C259" s="4" t="s">
        <v>108</v>
      </c>
      <c r="D259" s="4" t="s">
        <v>223</v>
      </c>
      <c r="E259" s="4">
        <v>5228523972</v>
      </c>
      <c r="F259" s="4">
        <f>VLOOKUP(E:E,代理人!E:AD,23,FALSE)</f>
        <v>0</v>
      </c>
      <c r="G259" s="4">
        <f>VLOOKUP(E:E,代理人!E:AD,24,FALSE)</f>
        <v>0</v>
      </c>
    </row>
    <row r="260" hidden="1" spans="1:7">
      <c r="A260" s="4" t="s">
        <v>42</v>
      </c>
      <c r="B260" s="4" t="s">
        <v>62</v>
      </c>
      <c r="C260" s="4" t="s">
        <v>86</v>
      </c>
      <c r="D260" s="4" t="s">
        <v>493</v>
      </c>
      <c r="E260" s="4">
        <v>5227952842</v>
      </c>
      <c r="F260" s="4">
        <f>VLOOKUP(E:E,代理人!E:AD,23,FALSE)</f>
        <v>0</v>
      </c>
      <c r="G260" s="4">
        <f>VLOOKUP(E:E,代理人!E:AD,24,FALSE)</f>
        <v>0</v>
      </c>
    </row>
    <row r="261" hidden="1" spans="1:7">
      <c r="A261" s="4" t="s">
        <v>42</v>
      </c>
      <c r="B261" s="4" t="s">
        <v>66</v>
      </c>
      <c r="C261" s="4" t="s">
        <v>343</v>
      </c>
      <c r="D261" s="4" t="s">
        <v>494</v>
      </c>
      <c r="E261" s="4">
        <v>5225001092</v>
      </c>
      <c r="F261" s="4">
        <f>VLOOKUP(E:E,代理人!E:AD,23,FALSE)</f>
        <v>0</v>
      </c>
      <c r="G261" s="4">
        <f>VLOOKUP(E:E,代理人!E:AD,24,FALSE)</f>
        <v>0</v>
      </c>
    </row>
    <row r="262" hidden="1" spans="1:7">
      <c r="A262" s="4" t="s">
        <v>48</v>
      </c>
      <c r="B262" s="4" t="s">
        <v>49</v>
      </c>
      <c r="C262" s="4" t="s">
        <v>50</v>
      </c>
      <c r="D262" s="4" t="s">
        <v>51</v>
      </c>
      <c r="E262" s="4">
        <v>5212998502</v>
      </c>
      <c r="F262" s="4">
        <f>VLOOKUP(E:E,代理人!E:AD,23,FALSE)</f>
        <v>0</v>
      </c>
      <c r="G262" s="4">
        <f>VLOOKUP(E:E,代理人!E:AD,24,FALSE)</f>
        <v>0</v>
      </c>
    </row>
    <row r="263" hidden="1" spans="1:7">
      <c r="A263" s="4" t="s">
        <v>48</v>
      </c>
      <c r="B263" s="4" t="s">
        <v>49</v>
      </c>
      <c r="C263" s="4" t="s">
        <v>82</v>
      </c>
      <c r="D263" s="4" t="s">
        <v>219</v>
      </c>
      <c r="E263" s="4">
        <v>5159113652</v>
      </c>
      <c r="F263" s="4">
        <f>VLOOKUP(E:E,代理人!E:AD,23,FALSE)</f>
        <v>0</v>
      </c>
      <c r="G263" s="4">
        <f>VLOOKUP(E:E,代理人!E:AD,24,FALSE)</f>
        <v>0</v>
      </c>
    </row>
    <row r="264" hidden="1" spans="1:7">
      <c r="A264" s="4" t="s">
        <v>27</v>
      </c>
      <c r="B264" s="4" t="s">
        <v>94</v>
      </c>
      <c r="C264" s="4" t="s">
        <v>95</v>
      </c>
      <c r="D264" s="4" t="s">
        <v>495</v>
      </c>
      <c r="E264" s="4">
        <v>5154900972</v>
      </c>
      <c r="F264" s="4">
        <f>VLOOKUP(E:E,代理人!E:AD,23,FALSE)</f>
        <v>0</v>
      </c>
      <c r="G264" s="4">
        <f>VLOOKUP(E:E,代理人!E:AD,24,FALSE)</f>
        <v>0</v>
      </c>
    </row>
    <row r="265" hidden="1" spans="1:7">
      <c r="A265" s="4" t="s">
        <v>27</v>
      </c>
      <c r="B265" s="4" t="s">
        <v>94</v>
      </c>
      <c r="C265" s="4" t="s">
        <v>95</v>
      </c>
      <c r="D265" s="4" t="s">
        <v>496</v>
      </c>
      <c r="E265" s="4">
        <v>5153091482</v>
      </c>
      <c r="F265" s="4">
        <f>VLOOKUP(E:E,代理人!E:AD,23,FALSE)</f>
        <v>0</v>
      </c>
      <c r="G265" s="4">
        <f>VLOOKUP(E:E,代理人!E:AD,24,FALSE)</f>
        <v>0</v>
      </c>
    </row>
    <row r="266" hidden="1" spans="1:7">
      <c r="A266" s="4" t="s">
        <v>27</v>
      </c>
      <c r="B266" s="4" t="s">
        <v>94</v>
      </c>
      <c r="C266" s="4" t="s">
        <v>95</v>
      </c>
      <c r="D266" s="4" t="s">
        <v>497</v>
      </c>
      <c r="E266" s="4">
        <v>5147890662</v>
      </c>
      <c r="F266" s="4">
        <f>VLOOKUP(E:E,代理人!E:AD,23,FALSE)</f>
        <v>0</v>
      </c>
      <c r="G266" s="4">
        <f>VLOOKUP(E:E,代理人!E:AD,24,FALSE)</f>
        <v>0</v>
      </c>
    </row>
    <row r="267" hidden="1" spans="1:7">
      <c r="A267" s="4" t="s">
        <v>42</v>
      </c>
      <c r="B267" s="4" t="s">
        <v>66</v>
      </c>
      <c r="C267" s="4" t="s">
        <v>343</v>
      </c>
      <c r="D267" s="4" t="s">
        <v>498</v>
      </c>
      <c r="E267" s="4">
        <v>5118165112</v>
      </c>
      <c r="F267" s="4">
        <f>VLOOKUP(E:E,代理人!E:AD,23,FALSE)</f>
        <v>0</v>
      </c>
      <c r="G267" s="4">
        <f>VLOOKUP(E:E,代理人!E:AD,24,FALSE)</f>
        <v>0</v>
      </c>
    </row>
    <row r="268" hidden="1" spans="1:7">
      <c r="A268" s="4" t="s">
        <v>42</v>
      </c>
      <c r="B268" s="4" t="s">
        <v>66</v>
      </c>
      <c r="C268" s="4" t="s">
        <v>343</v>
      </c>
      <c r="D268" s="4" t="s">
        <v>499</v>
      </c>
      <c r="E268" s="4">
        <v>5118158812</v>
      </c>
      <c r="F268" s="4">
        <f>VLOOKUP(E:E,代理人!E:AD,23,FALSE)</f>
        <v>0</v>
      </c>
      <c r="G268" s="4">
        <f>VLOOKUP(E:E,代理人!E:AD,24,FALSE)</f>
        <v>0</v>
      </c>
    </row>
    <row r="269" hidden="1" spans="1:7">
      <c r="A269" s="4" t="s">
        <v>27</v>
      </c>
      <c r="B269" s="4" t="s">
        <v>94</v>
      </c>
      <c r="C269" s="4" t="s">
        <v>95</v>
      </c>
      <c r="D269" s="4" t="s">
        <v>500</v>
      </c>
      <c r="E269" s="4">
        <v>5060890732</v>
      </c>
      <c r="F269" s="4">
        <f>VLOOKUP(E:E,代理人!E:AD,23,FALSE)</f>
        <v>0</v>
      </c>
      <c r="G269" s="4">
        <f>VLOOKUP(E:E,代理人!E:AD,24,FALSE)</f>
        <v>0</v>
      </c>
    </row>
    <row r="270" hidden="1" spans="1:7">
      <c r="A270" s="4" t="s">
        <v>42</v>
      </c>
      <c r="B270" s="4" t="s">
        <v>43</v>
      </c>
      <c r="C270" s="4" t="s">
        <v>77</v>
      </c>
      <c r="D270" s="4" t="s">
        <v>501</v>
      </c>
      <c r="E270" s="4">
        <v>5037225432</v>
      </c>
      <c r="F270" s="4">
        <f>VLOOKUP(E:E,代理人!E:AD,23,FALSE)</f>
        <v>0</v>
      </c>
      <c r="G270" s="4">
        <f>VLOOKUP(E:E,代理人!E:AD,24,FALSE)</f>
        <v>0</v>
      </c>
    </row>
    <row r="271" hidden="1" spans="1:7">
      <c r="A271" s="4" t="s">
        <v>27</v>
      </c>
      <c r="B271" s="4" t="s">
        <v>94</v>
      </c>
      <c r="C271" s="4" t="s">
        <v>95</v>
      </c>
      <c r="D271" s="4" t="s">
        <v>502</v>
      </c>
      <c r="E271" s="4">
        <v>865718112</v>
      </c>
      <c r="F271" s="4">
        <f>VLOOKUP(E:E,代理人!E:AD,23,FALSE)</f>
        <v>0</v>
      </c>
      <c r="G271" s="4">
        <f>VLOOKUP(E:E,代理人!E:AD,24,FALSE)</f>
        <v>0</v>
      </c>
    </row>
    <row r="272" hidden="1" spans="1:7">
      <c r="A272" s="4" t="s">
        <v>27</v>
      </c>
      <c r="B272" s="4" t="s">
        <v>94</v>
      </c>
      <c r="C272" s="4" t="s">
        <v>95</v>
      </c>
      <c r="D272" s="4" t="s">
        <v>503</v>
      </c>
      <c r="E272" s="4">
        <v>864735132</v>
      </c>
      <c r="F272" s="4">
        <f>VLOOKUP(E:E,代理人!E:AD,23,FALSE)</f>
        <v>0</v>
      </c>
      <c r="G272" s="4">
        <f>VLOOKUP(E:E,代理人!E:AD,24,FALSE)</f>
        <v>0</v>
      </c>
    </row>
    <row r="273" hidden="1" spans="1:7">
      <c r="A273" s="4" t="s">
        <v>27</v>
      </c>
      <c r="B273" s="4" t="s">
        <v>94</v>
      </c>
      <c r="C273" s="4" t="s">
        <v>95</v>
      </c>
      <c r="D273" s="4" t="s">
        <v>504</v>
      </c>
      <c r="E273" s="4">
        <v>846503872</v>
      </c>
      <c r="F273" s="4">
        <f>VLOOKUP(E:E,代理人!E:AD,23,FALSE)</f>
        <v>0</v>
      </c>
      <c r="G273" s="4">
        <f>VLOOKUP(E:E,代理人!E:AD,24,FALSE)</f>
        <v>0</v>
      </c>
    </row>
    <row r="274" hidden="1" spans="1:7">
      <c r="A274" s="4" t="s">
        <v>42</v>
      </c>
      <c r="B274" s="4" t="s">
        <v>62</v>
      </c>
      <c r="C274" s="4" t="s">
        <v>228</v>
      </c>
      <c r="D274" s="4" t="s">
        <v>229</v>
      </c>
      <c r="E274" s="4">
        <v>786071202</v>
      </c>
      <c r="F274" s="4">
        <f>VLOOKUP(E:E,代理人!E:AD,23,FALSE)</f>
        <v>0</v>
      </c>
      <c r="G274" s="4">
        <f>VLOOKUP(E:E,代理人!E:AD,24,FALSE)</f>
        <v>0</v>
      </c>
    </row>
    <row r="275" hidden="1" spans="1:7">
      <c r="A275" s="4" t="s">
        <v>48</v>
      </c>
      <c r="B275" s="4" t="s">
        <v>49</v>
      </c>
      <c r="C275" s="4" t="s">
        <v>50</v>
      </c>
      <c r="D275" s="4" t="s">
        <v>74</v>
      </c>
      <c r="E275" s="4">
        <v>782700762</v>
      </c>
      <c r="F275" s="4">
        <f>VLOOKUP(E:E,代理人!E:AD,23,FALSE)</f>
        <v>0</v>
      </c>
      <c r="G275" s="4">
        <f>VLOOKUP(E:E,代理人!E:AD,24,FALSE)</f>
        <v>0</v>
      </c>
    </row>
    <row r="276" hidden="1" spans="1:7">
      <c r="A276" s="4" t="s">
        <v>42</v>
      </c>
      <c r="B276" s="4" t="s">
        <v>62</v>
      </c>
      <c r="C276" s="4" t="s">
        <v>86</v>
      </c>
      <c r="D276" s="4" t="s">
        <v>505</v>
      </c>
      <c r="E276" s="4">
        <v>780704102</v>
      </c>
      <c r="F276" s="4">
        <f>VLOOKUP(E:E,代理人!E:AD,23,FALSE)</f>
        <v>0</v>
      </c>
      <c r="G276" s="4">
        <f>VLOOKUP(E:E,代理人!E:AD,24,FALSE)</f>
        <v>0</v>
      </c>
    </row>
    <row r="277" hidden="1" spans="1:7">
      <c r="A277" s="4" t="s">
        <v>42</v>
      </c>
      <c r="B277" s="4" t="s">
        <v>62</v>
      </c>
      <c r="C277" s="4" t="s">
        <v>86</v>
      </c>
      <c r="D277" s="4" t="s">
        <v>506</v>
      </c>
      <c r="E277" s="4">
        <v>756981112</v>
      </c>
      <c r="F277" s="4">
        <f>VLOOKUP(E:E,代理人!E:AD,23,FALSE)</f>
        <v>0</v>
      </c>
      <c r="G277" s="4">
        <f>VLOOKUP(E:E,代理人!E:AD,24,FALSE)</f>
        <v>0</v>
      </c>
    </row>
    <row r="278" hidden="1" spans="1:7">
      <c r="A278" s="4" t="s">
        <v>42</v>
      </c>
      <c r="B278" s="4" t="s">
        <v>62</v>
      </c>
      <c r="C278" s="4" t="s">
        <v>86</v>
      </c>
      <c r="D278" s="4" t="s">
        <v>507</v>
      </c>
      <c r="E278" s="4">
        <v>733743122</v>
      </c>
      <c r="F278" s="4">
        <f>VLOOKUP(E:E,代理人!E:AD,23,FALSE)</f>
        <v>0</v>
      </c>
      <c r="G278" s="4">
        <f>VLOOKUP(E:E,代理人!E:AD,24,FALSE)</f>
        <v>0</v>
      </c>
    </row>
    <row r="279" hidden="1" spans="1:7">
      <c r="A279" s="4" t="s">
        <v>42</v>
      </c>
      <c r="B279" s="4" t="s">
        <v>62</v>
      </c>
      <c r="C279" s="4" t="s">
        <v>86</v>
      </c>
      <c r="D279" s="4" t="s">
        <v>508</v>
      </c>
      <c r="E279" s="4">
        <v>733052812</v>
      </c>
      <c r="F279" s="4">
        <f>VLOOKUP(E:E,代理人!E:AD,23,FALSE)</f>
        <v>0</v>
      </c>
      <c r="G279" s="4">
        <f>VLOOKUP(E:E,代理人!E:AD,24,FALSE)</f>
        <v>0</v>
      </c>
    </row>
    <row r="280" hidden="1" spans="1:7">
      <c r="A280" s="4" t="s">
        <v>27</v>
      </c>
      <c r="B280" s="4" t="s">
        <v>37</v>
      </c>
      <c r="C280" s="4" t="s">
        <v>38</v>
      </c>
      <c r="D280" s="4" t="s">
        <v>509</v>
      </c>
      <c r="E280" s="4">
        <v>695577042</v>
      </c>
      <c r="F280" s="4">
        <f>VLOOKUP(E:E,代理人!E:AD,23,FALSE)</f>
        <v>0</v>
      </c>
      <c r="G280" s="4">
        <f>VLOOKUP(E:E,代理人!E:AD,24,FALSE)</f>
        <v>0</v>
      </c>
    </row>
    <row r="281" hidden="1" spans="1:7">
      <c r="A281" s="4" t="s">
        <v>42</v>
      </c>
      <c r="B281" s="4" t="s">
        <v>66</v>
      </c>
      <c r="C281" s="4" t="s">
        <v>343</v>
      </c>
      <c r="D281" s="4" t="s">
        <v>510</v>
      </c>
      <c r="E281" s="4">
        <v>628868672</v>
      </c>
      <c r="F281" s="4">
        <f>VLOOKUP(E:E,代理人!E:AD,23,FALSE)</f>
        <v>0</v>
      </c>
      <c r="G281" s="4">
        <f>VLOOKUP(E:E,代理人!E:AD,24,FALSE)</f>
        <v>0</v>
      </c>
    </row>
    <row r="282" hidden="1" spans="1:7">
      <c r="A282" s="4" t="s">
        <v>42</v>
      </c>
      <c r="B282" s="4" t="s">
        <v>62</v>
      </c>
      <c r="C282" s="4" t="s">
        <v>86</v>
      </c>
      <c r="D282" s="4" t="s">
        <v>511</v>
      </c>
      <c r="E282" s="4">
        <v>623618392</v>
      </c>
      <c r="F282" s="4">
        <f>VLOOKUP(E:E,代理人!E:AD,23,FALSE)</f>
        <v>0</v>
      </c>
      <c r="G282" s="4">
        <f>VLOOKUP(E:E,代理人!E:AD,24,FALSE)</f>
        <v>0</v>
      </c>
    </row>
    <row r="283" hidden="1" spans="1:7">
      <c r="A283" s="4" t="s">
        <v>42</v>
      </c>
      <c r="B283" s="4" t="s">
        <v>66</v>
      </c>
      <c r="C283" s="4" t="s">
        <v>67</v>
      </c>
      <c r="D283" s="4" t="s">
        <v>512</v>
      </c>
      <c r="E283" s="4">
        <v>604820212</v>
      </c>
      <c r="F283" s="4">
        <f>VLOOKUP(E:E,代理人!E:AD,23,FALSE)</f>
        <v>0</v>
      </c>
      <c r="G283" s="4">
        <f>VLOOKUP(E:E,代理人!E:AD,24,FALSE)</f>
        <v>0</v>
      </c>
    </row>
    <row r="284" hidden="1" spans="1:7">
      <c r="A284" s="4" t="s">
        <v>48</v>
      </c>
      <c r="B284" s="4" t="s">
        <v>49</v>
      </c>
      <c r="C284" s="4" t="s">
        <v>50</v>
      </c>
      <c r="D284" s="4" t="s">
        <v>513</v>
      </c>
      <c r="E284" s="4">
        <v>601246562</v>
      </c>
      <c r="F284" s="4">
        <f>VLOOKUP(E:E,代理人!E:AD,23,FALSE)</f>
        <v>0</v>
      </c>
      <c r="G284" s="4">
        <f>VLOOKUP(E:E,代理人!E:AD,24,FALSE)</f>
        <v>0</v>
      </c>
    </row>
    <row r="285" hidden="1" spans="1:7">
      <c r="A285" s="4" t="s">
        <v>42</v>
      </c>
      <c r="B285" s="4" t="s">
        <v>62</v>
      </c>
      <c r="C285" s="4" t="s">
        <v>86</v>
      </c>
      <c r="D285" s="4" t="s">
        <v>514</v>
      </c>
      <c r="E285" s="4">
        <v>591227232</v>
      </c>
      <c r="F285" s="4">
        <f>VLOOKUP(E:E,代理人!E:AD,23,FALSE)</f>
        <v>0</v>
      </c>
      <c r="G285" s="4">
        <f>VLOOKUP(E:E,代理人!E:AD,24,FALSE)</f>
        <v>0</v>
      </c>
    </row>
    <row r="286" hidden="1" spans="1:7">
      <c r="A286" s="4" t="s">
        <v>27</v>
      </c>
      <c r="B286" s="4" t="s">
        <v>28</v>
      </c>
      <c r="C286" s="4" t="s">
        <v>29</v>
      </c>
      <c r="D286" s="4" t="s">
        <v>30</v>
      </c>
      <c r="E286" s="4">
        <v>588442562</v>
      </c>
      <c r="F286" s="4">
        <f>VLOOKUP(E:E,代理人!E:AD,23,FALSE)</f>
        <v>0</v>
      </c>
      <c r="G286" s="4">
        <f>VLOOKUP(E:E,代理人!E:AD,24,FALSE)</f>
        <v>0</v>
      </c>
    </row>
    <row r="287" hidden="1" spans="1:7">
      <c r="A287" s="4" t="s">
        <v>42</v>
      </c>
      <c r="B287" s="4" t="s">
        <v>62</v>
      </c>
      <c r="C287" s="4" t="s">
        <v>86</v>
      </c>
      <c r="D287" s="4" t="s">
        <v>89</v>
      </c>
      <c r="E287" s="4">
        <v>584648952</v>
      </c>
      <c r="F287" s="4">
        <f>VLOOKUP(E:E,代理人!E:AD,23,FALSE)</f>
        <v>0</v>
      </c>
      <c r="G287" s="4">
        <f>VLOOKUP(E:E,代理人!E:AD,24,FALSE)</f>
        <v>0</v>
      </c>
    </row>
    <row r="288" hidden="1" spans="1:7">
      <c r="A288" s="4" t="s">
        <v>27</v>
      </c>
      <c r="B288" s="4" t="s">
        <v>294</v>
      </c>
      <c r="C288" s="4" t="s">
        <v>295</v>
      </c>
      <c r="D288" s="4" t="s">
        <v>515</v>
      </c>
      <c r="E288" s="4">
        <v>553691302</v>
      </c>
      <c r="F288" s="4">
        <f>VLOOKUP(E:E,代理人!E:AD,23,FALSE)</f>
        <v>0</v>
      </c>
      <c r="G288" s="4">
        <f>VLOOKUP(E:E,代理人!E:AD,24,FALSE)</f>
        <v>0</v>
      </c>
    </row>
    <row r="289" hidden="1" spans="1:7">
      <c r="A289" s="4" t="s">
        <v>27</v>
      </c>
      <c r="B289" s="4" t="s">
        <v>37</v>
      </c>
      <c r="C289" s="4" t="s">
        <v>38</v>
      </c>
      <c r="D289" s="4" t="s">
        <v>516</v>
      </c>
      <c r="E289" s="4">
        <v>481828952</v>
      </c>
      <c r="F289" s="4">
        <f>VLOOKUP(E:E,代理人!E:AD,23,FALSE)</f>
        <v>0</v>
      </c>
      <c r="G289" s="4">
        <f>VLOOKUP(E:E,代理人!E:AD,24,FALSE)</f>
        <v>0</v>
      </c>
    </row>
    <row r="290" hidden="1" spans="1:7">
      <c r="A290" s="4" t="s">
        <v>48</v>
      </c>
      <c r="B290" s="4" t="s">
        <v>49</v>
      </c>
      <c r="C290" s="4" t="s">
        <v>50</v>
      </c>
      <c r="D290" s="4" t="s">
        <v>517</v>
      </c>
      <c r="E290" s="4">
        <v>475904142</v>
      </c>
      <c r="F290" s="4">
        <f>VLOOKUP(E:E,代理人!E:AD,23,FALSE)</f>
        <v>0</v>
      </c>
      <c r="G290" s="4">
        <f>VLOOKUP(E:E,代理人!E:AD,24,FALSE)</f>
        <v>0</v>
      </c>
    </row>
    <row r="291" hidden="1" spans="1:7">
      <c r="A291" s="4" t="s">
        <v>42</v>
      </c>
      <c r="B291" s="4" t="s">
        <v>518</v>
      </c>
      <c r="C291" s="4" t="s">
        <v>519</v>
      </c>
      <c r="D291" s="4" t="s">
        <v>520</v>
      </c>
      <c r="E291" s="4">
        <v>456088782</v>
      </c>
      <c r="F291" s="4">
        <f>VLOOKUP(E:E,代理人!E:AD,23,FALSE)</f>
        <v>0</v>
      </c>
      <c r="G291" s="4">
        <f>VLOOKUP(E:E,代理人!E:AD,24,FALSE)</f>
        <v>0</v>
      </c>
    </row>
    <row r="292" hidden="1" spans="1:7">
      <c r="A292" s="4" t="s">
        <v>42</v>
      </c>
      <c r="B292" s="4" t="s">
        <v>43</v>
      </c>
      <c r="C292" s="4" t="s">
        <v>77</v>
      </c>
      <c r="D292" s="4" t="s">
        <v>78</v>
      </c>
      <c r="E292" s="4">
        <v>430700742</v>
      </c>
      <c r="F292" s="4">
        <f>VLOOKUP(E:E,代理人!E:AD,23,FALSE)</f>
        <v>0</v>
      </c>
      <c r="G292" s="4">
        <f>VLOOKUP(E:E,代理人!E:AD,24,FALSE)</f>
        <v>0</v>
      </c>
    </row>
    <row r="293" hidden="1" spans="1:7">
      <c r="A293" s="4" t="s">
        <v>42</v>
      </c>
      <c r="B293" s="4" t="s">
        <v>43</v>
      </c>
      <c r="C293" s="4" t="s">
        <v>77</v>
      </c>
      <c r="D293" s="4" t="s">
        <v>220</v>
      </c>
      <c r="E293" s="4">
        <v>362775482</v>
      </c>
      <c r="F293" s="4">
        <f>VLOOKUP(E:E,代理人!E:AD,23,FALSE)</f>
        <v>0</v>
      </c>
      <c r="G293" s="4">
        <f>VLOOKUP(E:E,代理人!E:AD,24,FALSE)</f>
        <v>0</v>
      </c>
    </row>
    <row r="294" hidden="1" spans="1:7">
      <c r="A294" s="4" t="s">
        <v>27</v>
      </c>
      <c r="B294" s="4" t="s">
        <v>294</v>
      </c>
      <c r="C294" s="4" t="s">
        <v>295</v>
      </c>
      <c r="D294" s="4" t="s">
        <v>521</v>
      </c>
      <c r="E294" s="4">
        <v>360264092</v>
      </c>
      <c r="F294" s="4">
        <f>VLOOKUP(E:E,代理人!E:AD,23,FALSE)</f>
        <v>0</v>
      </c>
      <c r="G294" s="4">
        <f>VLOOKUP(E:E,代理人!E:AD,24,FALSE)</f>
        <v>0</v>
      </c>
    </row>
    <row r="295" hidden="1" spans="1:7">
      <c r="A295" s="4" t="s">
        <v>27</v>
      </c>
      <c r="B295" s="4" t="s">
        <v>100</v>
      </c>
      <c r="C295" s="4" t="s">
        <v>101</v>
      </c>
      <c r="D295" s="4" t="s">
        <v>221</v>
      </c>
      <c r="E295" s="4">
        <v>283558582</v>
      </c>
      <c r="F295" s="4">
        <f>VLOOKUP(E:E,代理人!E:AD,23,FALSE)</f>
        <v>0</v>
      </c>
      <c r="G295" s="4">
        <f>VLOOKUP(E:E,代理人!E:AD,24,FALSE)</f>
        <v>0</v>
      </c>
    </row>
    <row r="296" hidden="1" spans="1:7">
      <c r="A296" s="4" t="s">
        <v>42</v>
      </c>
      <c r="B296" s="4" t="s">
        <v>518</v>
      </c>
      <c r="C296" s="4" t="s">
        <v>519</v>
      </c>
      <c r="D296" s="4" t="s">
        <v>522</v>
      </c>
      <c r="E296" s="4">
        <v>217723912</v>
      </c>
      <c r="F296" s="4">
        <f>VLOOKUP(E:E,代理人!E:AD,23,FALSE)</f>
        <v>0</v>
      </c>
      <c r="G296" s="4">
        <f>VLOOKUP(E:E,代理人!E:AD,24,FALSE)</f>
        <v>0</v>
      </c>
    </row>
    <row r="297" hidden="1" spans="1:7">
      <c r="A297" s="4" t="s">
        <v>42</v>
      </c>
      <c r="B297" s="4" t="s">
        <v>518</v>
      </c>
      <c r="C297" s="4" t="s">
        <v>519</v>
      </c>
      <c r="D297" s="4" t="s">
        <v>523</v>
      </c>
      <c r="E297" s="4">
        <v>216455102</v>
      </c>
      <c r="F297" s="4">
        <f>VLOOKUP(E:E,代理人!E:AD,23,FALSE)</f>
        <v>0</v>
      </c>
      <c r="G297" s="4">
        <f>VLOOKUP(E:E,代理人!E:AD,24,FALSE)</f>
        <v>0</v>
      </c>
    </row>
    <row r="298" hidden="1" spans="1:7">
      <c r="A298" s="4" t="s">
        <v>42</v>
      </c>
      <c r="B298" s="4" t="s">
        <v>43</v>
      </c>
      <c r="C298" s="4" t="s">
        <v>44</v>
      </c>
      <c r="D298" s="4" t="s">
        <v>524</v>
      </c>
      <c r="E298" s="4">
        <v>164606852</v>
      </c>
      <c r="F298" s="4">
        <f>VLOOKUP(E:E,代理人!E:AD,23,FALSE)</f>
        <v>0</v>
      </c>
      <c r="G298" s="4">
        <f>VLOOKUP(E:E,代理人!E:AD,24,FALSE)</f>
        <v>0</v>
      </c>
    </row>
    <row r="299" hidden="1" spans="1:7">
      <c r="A299" s="4" t="s">
        <v>27</v>
      </c>
      <c r="B299" s="4" t="s">
        <v>94</v>
      </c>
      <c r="C299" s="4" t="s">
        <v>525</v>
      </c>
      <c r="D299" s="4" t="s">
        <v>526</v>
      </c>
      <c r="E299" s="4">
        <v>105176282</v>
      </c>
      <c r="F299" s="4">
        <f>VLOOKUP(E:E,代理人!E:AD,23,FALSE)</f>
        <v>0</v>
      </c>
      <c r="G299" s="4">
        <f>VLOOKUP(E:E,代理人!E:AD,24,FALSE)</f>
        <v>0</v>
      </c>
    </row>
    <row r="300" hidden="1" spans="1:7">
      <c r="A300" s="4" t="s">
        <v>42</v>
      </c>
      <c r="B300" s="4" t="s">
        <v>66</v>
      </c>
      <c r="C300" s="4" t="s">
        <v>343</v>
      </c>
      <c r="D300" s="4" t="s">
        <v>527</v>
      </c>
      <c r="E300" s="4">
        <v>87256542</v>
      </c>
      <c r="F300" s="4">
        <f>VLOOKUP(E:E,代理人!E:AD,23,FALSE)</f>
        <v>0</v>
      </c>
      <c r="G300" s="4">
        <f>VLOOKUP(E:E,代理人!E:AD,24,FALSE)</f>
        <v>0</v>
      </c>
    </row>
    <row r="301" hidden="1" spans="1:7">
      <c r="A301" s="4" t="s">
        <v>42</v>
      </c>
      <c r="B301" s="4" t="s">
        <v>43</v>
      </c>
      <c r="C301" s="4" t="s">
        <v>44</v>
      </c>
      <c r="D301" s="4" t="s">
        <v>528</v>
      </c>
      <c r="E301" s="4">
        <v>86051232</v>
      </c>
      <c r="F301" s="4">
        <f>VLOOKUP(E:E,代理人!E:AD,23,FALSE)</f>
        <v>0</v>
      </c>
      <c r="G301" s="4">
        <f>VLOOKUP(E:E,代理人!E:AD,24,FALSE)</f>
        <v>0</v>
      </c>
    </row>
    <row r="302" hidden="1" spans="1:7">
      <c r="A302" s="4" t="s">
        <v>42</v>
      </c>
      <c r="B302" s="4" t="s">
        <v>66</v>
      </c>
      <c r="C302" s="4" t="s">
        <v>343</v>
      </c>
      <c r="D302" s="4" t="s">
        <v>529</v>
      </c>
      <c r="E302" s="4">
        <v>70685592</v>
      </c>
      <c r="F302" s="4">
        <f>VLOOKUP(E:E,代理人!E:AD,23,FALSE)</f>
        <v>0</v>
      </c>
      <c r="G302" s="4">
        <f>VLOOKUP(E:E,代理人!E:AD,24,FALSE)</f>
        <v>0</v>
      </c>
    </row>
    <row r="303" hidden="1" spans="1:7">
      <c r="A303" s="4" t="s">
        <v>27</v>
      </c>
      <c r="B303" s="4" t="s">
        <v>37</v>
      </c>
      <c r="C303" s="4" t="s">
        <v>38</v>
      </c>
      <c r="D303" s="4" t="s">
        <v>39</v>
      </c>
      <c r="E303" s="4">
        <v>68852502</v>
      </c>
      <c r="F303" s="4">
        <f>VLOOKUP(E:E,代理人!E:AD,23,FALSE)</f>
        <v>0</v>
      </c>
      <c r="G303" s="4">
        <f>VLOOKUP(E:E,代理人!E:AD,24,FALSE)</f>
        <v>0</v>
      </c>
    </row>
    <row r="304" spans="1:7">
      <c r="A304" s="4" t="s">
        <v>42</v>
      </c>
      <c r="B304" s="4" t="s">
        <v>43</v>
      </c>
      <c r="C304" s="4" t="s">
        <v>44</v>
      </c>
      <c r="D304" s="4" t="s">
        <v>45</v>
      </c>
      <c r="E304" s="4">
        <v>51108342</v>
      </c>
      <c r="F304" s="4">
        <f>VLOOKUP(E:E,代理人!E:AD,23,FALSE)</f>
        <v>0</v>
      </c>
      <c r="G304" s="4">
        <f>VLOOKUP(E:E,代理人!E:AD,24,FALSE)</f>
        <v>0</v>
      </c>
    </row>
    <row r="305" hidden="1" spans="1:7">
      <c r="A305" s="4" t="s">
        <v>48</v>
      </c>
      <c r="B305" s="4" t="s">
        <v>49</v>
      </c>
      <c r="C305" s="4" t="s">
        <v>50</v>
      </c>
      <c r="D305" s="4" t="s">
        <v>530</v>
      </c>
      <c r="E305" s="4">
        <v>51173242</v>
      </c>
      <c r="F305" s="4">
        <f>VLOOKUP(E:E,代理人!E:AD,23,FALSE)</f>
        <v>0</v>
      </c>
      <c r="G305" s="4">
        <f>VLOOKUP(E:E,代理人!E:AD,24,FALSE)</f>
        <v>0</v>
      </c>
    </row>
    <row r="306" hidden="1" spans="1:7">
      <c r="A306" s="4" t="s">
        <v>48</v>
      </c>
      <c r="B306" s="4" t="s">
        <v>49</v>
      </c>
      <c r="C306" s="4" t="s">
        <v>50</v>
      </c>
      <c r="D306" s="4" t="s">
        <v>217</v>
      </c>
      <c r="E306" s="4">
        <v>51103872</v>
      </c>
      <c r="F306" s="4">
        <f>VLOOKUP(E:E,代理人!E:AD,23,FALSE)</f>
        <v>0</v>
      </c>
      <c r="G306" s="4">
        <f>VLOOKUP(E:E,代理人!E:AD,24,FALSE)</f>
        <v>0</v>
      </c>
    </row>
    <row r="307" hidden="1" spans="1:7">
      <c r="A307" s="4" t="s">
        <v>48</v>
      </c>
      <c r="B307" s="4" t="s">
        <v>49</v>
      </c>
      <c r="C307" s="4" t="s">
        <v>98</v>
      </c>
      <c r="D307" s="4" t="s">
        <v>99</v>
      </c>
      <c r="E307" s="4">
        <v>6183615882</v>
      </c>
      <c r="F307" s="4">
        <f>VLOOKUP(E:E,代理人!E:AD,23,FALSE)</f>
        <v>0</v>
      </c>
      <c r="G307" s="4">
        <f>VLOOKUP(E:E,代理人!E:AD,24,FALSE)</f>
        <v>0</v>
      </c>
    </row>
    <row r="308" hidden="1" spans="1:7">
      <c r="A308" s="4" t="s">
        <v>27</v>
      </c>
      <c r="B308" s="4" t="s">
        <v>94</v>
      </c>
      <c r="C308" s="4" t="s">
        <v>95</v>
      </c>
      <c r="D308" s="4" t="s">
        <v>96</v>
      </c>
      <c r="E308" s="4">
        <v>480193632</v>
      </c>
      <c r="F308" s="4">
        <f>VLOOKUP(E:E,代理人!E:AD,23,FALSE)</f>
        <v>0</v>
      </c>
      <c r="G308" s="4">
        <f>VLOOKUP(E:E,代理人!E:AD,24,FALSE)</f>
        <v>0</v>
      </c>
    </row>
    <row r="309" s="33" customFormat="1" ht="28" customHeight="1" spans="1:5">
      <c r="A309" s="36" t="s">
        <v>538</v>
      </c>
      <c r="B309" s="37" t="str">
        <f>"本部目前获得龙虾节预收名额"&amp;COUNTIFS(A:A,"淮南本部",F:F,"&gt;0")&amp;"人，合计获得"&amp;SUMIF(A:A,"淮南本部",F:F)&amp;"个席位"&amp;"。获得承保名额"&amp;COUNTIFS(A:A,"淮南本部",G:G,"&gt;0")&amp;"人，合计获得"&amp;SUMIF(A:A,"淮南本部",G:G)&amp;"个席位"</f>
        <v>本部目前获得龙虾节预收名额0人，合计获得0个席位。获得承保名额0人，合计获得0个席位</v>
      </c>
      <c r="E309" s="38"/>
    </row>
    <row r="310" s="33" customFormat="1" ht="28" customHeight="1" spans="1:5">
      <c r="A310" s="36" t="s">
        <v>539</v>
      </c>
      <c r="B310" s="37" t="str">
        <f>"凤台目前获得龙虾节预收名额"&amp;COUNTIFS(A:A,"凤台",F:F,"&gt;0")&amp;"人，合计获得"&amp;SUMIF(A:A,"凤台",F:F)&amp;"个席位"&amp;"。获得承保名额"&amp;COUNTIFS(A:A,"凤台",G:G,"&gt;0")&amp;"人，合计获得"&amp;SUMIF(A:A,"凤台",G:G)&amp;"个席位"</f>
        <v>凤台目前获得龙虾节预收名额0人，合计获得0个席位。获得承保名额0人，合计获得0个席位</v>
      </c>
      <c r="E310" s="38"/>
    </row>
    <row r="311" s="33" customFormat="1" ht="28" customHeight="1" spans="1:5">
      <c r="A311" s="36" t="s">
        <v>540</v>
      </c>
      <c r="B311" s="37" t="str">
        <f>"谢家集目前获得龙虾节预收名额"&amp;COUNTIFS(A:A,"谢家集",F:F,"&gt;0")&amp;"人，合计获得"&amp;SUMIF(A:A,"谢家集",F:F)&amp;"个席位"&amp;"。获得承保名额"&amp;COUNTIFS(A:A,"谢家集",G:G,"&gt;0")&amp;"人，合计获得"&amp;SUMIF(A:A,"谢家集",G:G)&amp;"个席位"</f>
        <v>谢家集目前获得龙虾节预收名额0人，合计获得0个席位。获得承保名额0人，合计获得0个席位</v>
      </c>
      <c r="E311" s="38"/>
    </row>
  </sheetData>
  <autoFilter ref="A2:G311">
    <filterColumn colId="5">
      <filters blank="1">
        <filter val="10"/>
        <filter val="12"/>
        <filter val="3"/>
        <filter val="6"/>
        <filter val="7"/>
        <filter val="8"/>
      </filters>
    </filterColumn>
    <sortState ref="A2:G311">
      <sortCondition ref="F2" descending="1"/>
    </sortState>
    <extLst/>
  </autoFilter>
  <mergeCells count="1">
    <mergeCell ref="A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险种</vt:lpstr>
      <vt:lpstr>保单</vt:lpstr>
      <vt:lpstr>营服</vt:lpstr>
      <vt:lpstr>营业部</vt:lpstr>
      <vt:lpstr>营业组</vt:lpstr>
      <vt:lpstr>代理人</vt:lpstr>
      <vt:lpstr>认购返还案</vt:lpstr>
      <vt:lpstr>方案加佣</vt:lpstr>
      <vt:lpstr>龙虾节方案</vt:lpstr>
      <vt:lpstr>件件有礼</vt:lpstr>
      <vt:lpstr>好习惯</vt:lpstr>
      <vt:lpstr>透视</vt:lpstr>
      <vt:lpstr>网址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58451</cp:lastModifiedBy>
  <dcterms:created xsi:type="dcterms:W3CDTF">2021-05-05T01:00:00Z</dcterms:created>
  <dcterms:modified xsi:type="dcterms:W3CDTF">2021-05-10T14:54:37Z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