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5785" documentId="11_7F4755BF84DCCE43E268565A8931F45BFA75341E" xr6:coauthVersionLast="47" xr6:coauthVersionMax="47" xr10:uidLastSave="{FE056D82-BF45-4E67-876A-87B778C7F67D}"/>
  <bookViews>
    <workbookView xWindow="240" yWindow="105" windowWidth="14805" windowHeight="8010" firstSheet="13" activeTab="13" xr2:uid="{00000000-000D-0000-FFFF-FFFF00000000}"/>
  </bookViews>
  <sheets>
    <sheet name="base de dados" sheetId="3" state="hidden" r:id="rId1"/>
    <sheet name="Pesquisa de mercado" sheetId="1" state="hidden" r:id="rId2"/>
    <sheet name="Lotes de celulares" sheetId="5" r:id="rId3"/>
    <sheet name="armazem" sheetId="13" state="hidden" r:id="rId4"/>
    <sheet name="Custo de equipe" sheetId="8" state="hidden" r:id="rId5"/>
    <sheet name="Equipe e infraestrutura" sheetId="4" state="hidden" r:id="rId6"/>
    <sheet name="Custo de infraestrutura" sheetId="9" state="hidden" r:id="rId7"/>
    <sheet name="Compra dos telefones" sheetId="6" r:id="rId8"/>
    <sheet name="Venda dos celulares" sheetId="7" r:id="rId9"/>
    <sheet name="pacotes de serviço" sheetId="12" state="hidden" r:id="rId10"/>
    <sheet name="Custos mensais" sheetId="10" state="hidden" r:id="rId11"/>
    <sheet name="Retorno mensal" sheetId="11" state="hidden" r:id="rId12"/>
    <sheet name="previsão de vendas" sheetId="2" r:id="rId13"/>
    <sheet name="DataBase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1" i="14" l="1"/>
  <c r="V51" i="14"/>
  <c r="W51" i="14"/>
  <c r="X51" i="14"/>
  <c r="U52" i="14"/>
  <c r="V52" i="14"/>
  <c r="W52" i="14"/>
  <c r="X52" i="14"/>
  <c r="U53" i="14"/>
  <c r="V53" i="14"/>
  <c r="W53" i="14"/>
  <c r="X53" i="14"/>
  <c r="U54" i="14"/>
  <c r="V54" i="14"/>
  <c r="W54" i="14"/>
  <c r="X54" i="14"/>
  <c r="U55" i="14"/>
  <c r="V55" i="14"/>
  <c r="W55" i="14"/>
  <c r="X55" i="14"/>
  <c r="U56" i="14"/>
  <c r="V56" i="14"/>
  <c r="W56" i="14"/>
  <c r="X56" i="14"/>
  <c r="U57" i="14"/>
  <c r="V57" i="14"/>
  <c r="W57" i="14"/>
  <c r="X57" i="14"/>
  <c r="U58" i="14"/>
  <c r="V58" i="14"/>
  <c r="W58" i="14"/>
  <c r="X58" i="14"/>
  <c r="U59" i="14"/>
  <c r="V59" i="14"/>
  <c r="W59" i="14"/>
  <c r="X59" i="14"/>
  <c r="U60" i="14"/>
  <c r="V60" i="14"/>
  <c r="W60" i="14"/>
  <c r="X60" i="14"/>
  <c r="U61" i="14"/>
  <c r="V61" i="14"/>
  <c r="W61" i="14"/>
  <c r="X61" i="14"/>
  <c r="V50" i="14"/>
  <c r="W50" i="14"/>
  <c r="X50" i="14"/>
  <c r="U50" i="14"/>
  <c r="U49" i="14"/>
  <c r="U39" i="14"/>
  <c r="V39" i="14"/>
  <c r="W39" i="14"/>
  <c r="X39" i="14"/>
  <c r="U40" i="14"/>
  <c r="V40" i="14"/>
  <c r="W40" i="14"/>
  <c r="X40" i="14"/>
  <c r="U41" i="14"/>
  <c r="V41" i="14"/>
  <c r="W41" i="14"/>
  <c r="X41" i="14"/>
  <c r="U42" i="14"/>
  <c r="V42" i="14"/>
  <c r="W42" i="14"/>
  <c r="X42" i="14"/>
  <c r="U43" i="14"/>
  <c r="V43" i="14"/>
  <c r="W43" i="14"/>
  <c r="X43" i="14"/>
  <c r="U44" i="14"/>
  <c r="V44" i="14"/>
  <c r="W44" i="14"/>
  <c r="X44" i="14"/>
  <c r="U45" i="14"/>
  <c r="V45" i="14"/>
  <c r="W45" i="14"/>
  <c r="X45" i="14"/>
  <c r="U46" i="14"/>
  <c r="V46" i="14"/>
  <c r="W46" i="14"/>
  <c r="X46" i="14"/>
  <c r="U47" i="14"/>
  <c r="V47" i="14"/>
  <c r="W47" i="14"/>
  <c r="X47" i="14"/>
  <c r="U48" i="14"/>
  <c r="V48" i="14"/>
  <c r="W48" i="14"/>
  <c r="X48" i="14"/>
  <c r="V49" i="14"/>
  <c r="W49" i="14"/>
  <c r="X49" i="14"/>
  <c r="V38" i="14"/>
  <c r="W38" i="14"/>
  <c r="X38" i="14"/>
  <c r="U38" i="14"/>
  <c r="U27" i="14"/>
  <c r="V27" i="14"/>
  <c r="W27" i="14"/>
  <c r="X27" i="14"/>
  <c r="U28" i="14"/>
  <c r="V28" i="14"/>
  <c r="W28" i="14"/>
  <c r="X28" i="14"/>
  <c r="U29" i="14"/>
  <c r="V29" i="14"/>
  <c r="W29" i="14"/>
  <c r="X29" i="14"/>
  <c r="U30" i="14"/>
  <c r="V30" i="14"/>
  <c r="W30" i="14"/>
  <c r="X30" i="14"/>
  <c r="U31" i="14"/>
  <c r="V31" i="14"/>
  <c r="W31" i="14"/>
  <c r="X31" i="14"/>
  <c r="U32" i="14"/>
  <c r="V32" i="14"/>
  <c r="W32" i="14"/>
  <c r="X32" i="14"/>
  <c r="U33" i="14"/>
  <c r="V33" i="14"/>
  <c r="W33" i="14"/>
  <c r="X33" i="14"/>
  <c r="U34" i="14"/>
  <c r="V34" i="14"/>
  <c r="W34" i="14"/>
  <c r="X34" i="14"/>
  <c r="U35" i="14"/>
  <c r="V35" i="14"/>
  <c r="W35" i="14"/>
  <c r="X35" i="14"/>
  <c r="U36" i="14"/>
  <c r="V36" i="14"/>
  <c r="W36" i="14"/>
  <c r="X36" i="14"/>
  <c r="U37" i="14"/>
  <c r="V37" i="14"/>
  <c r="W37" i="14"/>
  <c r="X37" i="14"/>
  <c r="X26" i="14"/>
  <c r="W26" i="14"/>
  <c r="V26" i="14"/>
  <c r="U26" i="14"/>
  <c r="U15" i="14"/>
  <c r="V15" i="14"/>
  <c r="W15" i="14"/>
  <c r="X15" i="14"/>
  <c r="U16" i="14"/>
  <c r="V16" i="14"/>
  <c r="W16" i="14"/>
  <c r="X16" i="14"/>
  <c r="U17" i="14"/>
  <c r="V17" i="14"/>
  <c r="W17" i="14"/>
  <c r="X17" i="14"/>
  <c r="U18" i="14"/>
  <c r="V18" i="14"/>
  <c r="W18" i="14"/>
  <c r="X18" i="14"/>
  <c r="U19" i="14"/>
  <c r="V19" i="14"/>
  <c r="W19" i="14"/>
  <c r="X19" i="14"/>
  <c r="U20" i="14"/>
  <c r="V20" i="14"/>
  <c r="W20" i="14"/>
  <c r="X20" i="14"/>
  <c r="U21" i="14"/>
  <c r="V21" i="14"/>
  <c r="W21" i="14"/>
  <c r="X21" i="14"/>
  <c r="U22" i="14"/>
  <c r="V22" i="14"/>
  <c r="W22" i="14"/>
  <c r="X22" i="14"/>
  <c r="U23" i="14"/>
  <c r="V23" i="14"/>
  <c r="W23" i="14"/>
  <c r="X23" i="14"/>
  <c r="U24" i="14"/>
  <c r="V24" i="14"/>
  <c r="W24" i="14"/>
  <c r="X24" i="14"/>
  <c r="U25" i="14"/>
  <c r="V25" i="14"/>
  <c r="W25" i="14"/>
  <c r="X25" i="14"/>
  <c r="X14" i="14"/>
  <c r="W14" i="14"/>
  <c r="V14" i="14"/>
  <c r="U14" i="14"/>
  <c r="D6" i="6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K50" i="14"/>
  <c r="J50" i="14"/>
  <c r="I50" i="14"/>
  <c r="H50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K38" i="14"/>
  <c r="J38" i="14"/>
  <c r="I38" i="14"/>
  <c r="H38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K26" i="14"/>
  <c r="J26" i="14"/>
  <c r="I26" i="14"/>
  <c r="H26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K14" i="14"/>
  <c r="J14" i="14"/>
  <c r="I14" i="14"/>
  <c r="H14" i="14"/>
  <c r="U3" i="14"/>
  <c r="V3" i="14"/>
  <c r="W3" i="14"/>
  <c r="X3" i="14"/>
  <c r="U4" i="14"/>
  <c r="V4" i="14"/>
  <c r="W4" i="14"/>
  <c r="X4" i="14"/>
  <c r="U5" i="14"/>
  <c r="V5" i="14"/>
  <c r="W5" i="14"/>
  <c r="X5" i="14"/>
  <c r="U6" i="14"/>
  <c r="V6" i="14"/>
  <c r="W6" i="14"/>
  <c r="X6" i="14"/>
  <c r="U7" i="14"/>
  <c r="V7" i="14"/>
  <c r="W7" i="14"/>
  <c r="X7" i="14"/>
  <c r="U8" i="14"/>
  <c r="V8" i="14"/>
  <c r="W8" i="14"/>
  <c r="X8" i="14"/>
  <c r="U9" i="14"/>
  <c r="V9" i="14"/>
  <c r="W9" i="14"/>
  <c r="X9" i="14"/>
  <c r="U10" i="14"/>
  <c r="V10" i="14"/>
  <c r="W10" i="14"/>
  <c r="X10" i="14"/>
  <c r="U11" i="14"/>
  <c r="V11" i="14"/>
  <c r="W11" i="14"/>
  <c r="X11" i="14"/>
  <c r="U12" i="14"/>
  <c r="V12" i="14"/>
  <c r="W12" i="14"/>
  <c r="X12" i="14"/>
  <c r="U13" i="14"/>
  <c r="V13" i="14"/>
  <c r="W13" i="14"/>
  <c r="X13" i="14"/>
  <c r="W38" i="2"/>
  <c r="X2" i="14"/>
  <c r="W2" i="14"/>
  <c r="V2" i="14"/>
  <c r="U2" i="14"/>
  <c r="H3" i="14"/>
  <c r="I3" i="14"/>
  <c r="J3" i="14"/>
  <c r="K3" i="14"/>
  <c r="H4" i="14"/>
  <c r="I4" i="14"/>
  <c r="J4" i="14"/>
  <c r="K4" i="14"/>
  <c r="H5" i="14"/>
  <c r="I5" i="14"/>
  <c r="J5" i="14"/>
  <c r="K5" i="14"/>
  <c r="H6" i="14"/>
  <c r="I6" i="14"/>
  <c r="J6" i="14"/>
  <c r="K6" i="14"/>
  <c r="H7" i="14"/>
  <c r="I7" i="14"/>
  <c r="J7" i="14"/>
  <c r="K7" i="14"/>
  <c r="H8" i="14"/>
  <c r="I8" i="14"/>
  <c r="J8" i="14"/>
  <c r="K8" i="14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K2" i="14"/>
  <c r="J2" i="14"/>
  <c r="I2" i="14"/>
  <c r="H2" i="14"/>
  <c r="E2" i="14"/>
  <c r="C35" i="4"/>
  <c r="C45" i="4"/>
  <c r="P5" i="11"/>
  <c r="X41" i="4"/>
  <c r="S41" i="4"/>
  <c r="N41" i="4"/>
  <c r="I41" i="4"/>
  <c r="D41" i="4"/>
  <c r="C30" i="4"/>
  <c r="C31" i="4"/>
  <c r="C32" i="4"/>
  <c r="C33" i="4"/>
  <c r="C34" i="4"/>
  <c r="C36" i="4"/>
  <c r="C37" i="4"/>
  <c r="C38" i="4"/>
  <c r="C39" i="4"/>
  <c r="C40" i="4"/>
  <c r="C29" i="4"/>
  <c r="H30" i="4"/>
  <c r="H31" i="4"/>
  <c r="H32" i="4"/>
  <c r="H33" i="4"/>
  <c r="H34" i="4"/>
  <c r="H35" i="4"/>
  <c r="H36" i="4"/>
  <c r="H37" i="4"/>
  <c r="H38" i="4"/>
  <c r="H39" i="4"/>
  <c r="H40" i="4"/>
  <c r="H29" i="4"/>
  <c r="M30" i="4"/>
  <c r="M31" i="4"/>
  <c r="M32" i="4"/>
  <c r="M33" i="4"/>
  <c r="M34" i="4"/>
  <c r="M35" i="4"/>
  <c r="M36" i="4"/>
  <c r="M37" i="4"/>
  <c r="M38" i="4"/>
  <c r="M39" i="4"/>
  <c r="M40" i="4"/>
  <c r="M29" i="4"/>
  <c r="R30" i="4"/>
  <c r="R31" i="4"/>
  <c r="R32" i="4"/>
  <c r="R33" i="4"/>
  <c r="R34" i="4"/>
  <c r="R35" i="4"/>
  <c r="R36" i="4"/>
  <c r="R37" i="4"/>
  <c r="R38" i="4"/>
  <c r="R39" i="4"/>
  <c r="R40" i="4"/>
  <c r="R29" i="4"/>
  <c r="W30" i="4"/>
  <c r="W31" i="4"/>
  <c r="W32" i="4"/>
  <c r="W33" i="4"/>
  <c r="W34" i="4"/>
  <c r="W35" i="4"/>
  <c r="W36" i="4"/>
  <c r="W37" i="4"/>
  <c r="W38" i="4"/>
  <c r="W39" i="4"/>
  <c r="W40" i="4"/>
  <c r="W29" i="4"/>
  <c r="F26" i="4"/>
  <c r="D2" i="14"/>
  <c r="K17" i="13"/>
  <c r="V17" i="13"/>
  <c r="AG17" i="13"/>
  <c r="AR17" i="13"/>
  <c r="BC17" i="13"/>
  <c r="E51" i="14"/>
  <c r="E52" i="14"/>
  <c r="E53" i="14"/>
  <c r="E54" i="14"/>
  <c r="E55" i="14"/>
  <c r="E56" i="14"/>
  <c r="E57" i="14"/>
  <c r="E58" i="14"/>
  <c r="E59" i="14"/>
  <c r="E60" i="14"/>
  <c r="E61" i="14"/>
  <c r="E50" i="14"/>
  <c r="D50" i="14"/>
  <c r="D38" i="14"/>
  <c r="E39" i="14"/>
  <c r="E40" i="14"/>
  <c r="E41" i="14"/>
  <c r="E42" i="14"/>
  <c r="E43" i="14"/>
  <c r="E44" i="14"/>
  <c r="E45" i="14"/>
  <c r="E46" i="14"/>
  <c r="E47" i="14"/>
  <c r="E48" i="14"/>
  <c r="E49" i="14"/>
  <c r="E38" i="14"/>
  <c r="E27" i="14"/>
  <c r="E28" i="14"/>
  <c r="E29" i="14"/>
  <c r="E30" i="14"/>
  <c r="E31" i="14"/>
  <c r="E32" i="14"/>
  <c r="E33" i="14"/>
  <c r="E34" i="14"/>
  <c r="E35" i="14"/>
  <c r="E36" i="14"/>
  <c r="E37" i="14"/>
  <c r="E26" i="14"/>
  <c r="E15" i="14"/>
  <c r="E16" i="14"/>
  <c r="E17" i="14"/>
  <c r="E18" i="14"/>
  <c r="E19" i="14"/>
  <c r="E20" i="14"/>
  <c r="E21" i="14"/>
  <c r="E22" i="14"/>
  <c r="E23" i="14"/>
  <c r="E24" i="14"/>
  <c r="E25" i="14"/>
  <c r="E14" i="14"/>
  <c r="E3" i="14"/>
  <c r="E4" i="14"/>
  <c r="E5" i="14"/>
  <c r="E6" i="14"/>
  <c r="E7" i="14"/>
  <c r="E8" i="14"/>
  <c r="E9" i="14"/>
  <c r="E10" i="14"/>
  <c r="E11" i="14"/>
  <c r="E12" i="14"/>
  <c r="E13" i="14"/>
  <c r="D14" i="14"/>
  <c r="C13" i="14"/>
  <c r="C3" i="14"/>
  <c r="C4" i="14"/>
  <c r="C5" i="14"/>
  <c r="C6" i="14"/>
  <c r="C7" i="14"/>
  <c r="C8" i="14"/>
  <c r="C9" i="14"/>
  <c r="C10" i="14"/>
  <c r="C11" i="14"/>
  <c r="C12" i="14"/>
  <c r="C2" i="14"/>
  <c r="BB7" i="13"/>
  <c r="BB8" i="13"/>
  <c r="BB9" i="13"/>
  <c r="BB10" i="13"/>
  <c r="BB11" i="13"/>
  <c r="BB12" i="13"/>
  <c r="BB13" i="13"/>
  <c r="BB14" i="13"/>
  <c r="BB15" i="13"/>
  <c r="BB16" i="13"/>
  <c r="BB17" i="13"/>
  <c r="BB6" i="13"/>
  <c r="AQ7" i="13"/>
  <c r="AQ8" i="13"/>
  <c r="AQ9" i="13"/>
  <c r="AQ10" i="13"/>
  <c r="AQ11" i="13"/>
  <c r="AQ12" i="13"/>
  <c r="AQ13" i="13"/>
  <c r="AQ14" i="13"/>
  <c r="AQ15" i="13"/>
  <c r="AQ16" i="13"/>
  <c r="AQ17" i="13"/>
  <c r="AQ6" i="13"/>
  <c r="AF7" i="13"/>
  <c r="AF8" i="13"/>
  <c r="AF9" i="13"/>
  <c r="AF10" i="13"/>
  <c r="AF11" i="13"/>
  <c r="AF12" i="13"/>
  <c r="AF13" i="13"/>
  <c r="AF14" i="13"/>
  <c r="AF15" i="13"/>
  <c r="AF16" i="13"/>
  <c r="AF17" i="13"/>
  <c r="AF6" i="13"/>
  <c r="U7" i="13"/>
  <c r="U8" i="13"/>
  <c r="U9" i="13"/>
  <c r="U10" i="13"/>
  <c r="U11" i="13"/>
  <c r="U12" i="13"/>
  <c r="U13" i="13"/>
  <c r="U14" i="13"/>
  <c r="U15" i="13"/>
  <c r="U16" i="13"/>
  <c r="U17" i="13"/>
  <c r="U6" i="13"/>
  <c r="J7" i="13"/>
  <c r="J8" i="13"/>
  <c r="J9" i="13"/>
  <c r="J10" i="13"/>
  <c r="J11" i="13"/>
  <c r="J12" i="13"/>
  <c r="J13" i="13"/>
  <c r="J14" i="13"/>
  <c r="J15" i="13"/>
  <c r="J16" i="13"/>
  <c r="J17" i="13"/>
  <c r="J6" i="13"/>
  <c r="F6" i="6"/>
  <c r="F5" i="6"/>
  <c r="E6" i="6"/>
  <c r="C6" i="6"/>
  <c r="C3" i="7"/>
  <c r="D3" i="7"/>
  <c r="E3" i="7"/>
  <c r="F3" i="7"/>
  <c r="C5" i="7"/>
  <c r="D5" i="7"/>
  <c r="E5" i="7"/>
  <c r="F5" i="7"/>
  <c r="C8" i="7"/>
  <c r="D8" i="7"/>
  <c r="E8" i="7"/>
  <c r="F8" i="7"/>
  <c r="B4" i="7"/>
  <c r="B5" i="7"/>
  <c r="B6" i="7"/>
  <c r="B7" i="7"/>
  <c r="B8" i="7"/>
  <c r="B9" i="7"/>
  <c r="B3" i="7"/>
  <c r="F5" i="8"/>
  <c r="E5" i="8"/>
  <c r="D5" i="8"/>
  <c r="F4" i="8"/>
  <c r="E4" i="8"/>
  <c r="D4" i="8"/>
  <c r="F3" i="8"/>
  <c r="E3" i="8"/>
  <c r="D3" i="8"/>
  <c r="BA17" i="13"/>
  <c r="BA16" i="13"/>
  <c r="BA15" i="13"/>
  <c r="BA14" i="13"/>
  <c r="BA13" i="13"/>
  <c r="BA12" i="13"/>
  <c r="BA11" i="13"/>
  <c r="BA10" i="13"/>
  <c r="BA9" i="13"/>
  <c r="BA8" i="13"/>
  <c r="BA7" i="13"/>
  <c r="BA6" i="13"/>
  <c r="AP17" i="13"/>
  <c r="D48" i="10"/>
  <c r="AP16" i="13"/>
  <c r="AP15" i="13"/>
  <c r="AP14" i="13"/>
  <c r="AP13" i="13"/>
  <c r="AP12" i="13"/>
  <c r="AP11" i="13"/>
  <c r="AP10" i="13"/>
  <c r="AP9" i="13"/>
  <c r="AP8" i="13"/>
  <c r="AP7" i="13"/>
  <c r="AP6" i="13"/>
  <c r="AE17" i="13"/>
  <c r="D31" i="10"/>
  <c r="AE16" i="13"/>
  <c r="AE15" i="13"/>
  <c r="AE14" i="13"/>
  <c r="AE13" i="13"/>
  <c r="AE12" i="13"/>
  <c r="AE11" i="13"/>
  <c r="AE10" i="13"/>
  <c r="AE9" i="13"/>
  <c r="AE8" i="13"/>
  <c r="AE7" i="13"/>
  <c r="AE6" i="13"/>
  <c r="T17" i="13"/>
  <c r="T16" i="13"/>
  <c r="T15" i="13"/>
  <c r="T14" i="13"/>
  <c r="T13" i="13"/>
  <c r="T12" i="13"/>
  <c r="T11" i="13"/>
  <c r="T10" i="13"/>
  <c r="T9" i="13"/>
  <c r="T8" i="13"/>
  <c r="T7" i="13"/>
  <c r="T6" i="13"/>
  <c r="I7" i="13"/>
  <c r="I8" i="13"/>
  <c r="I9" i="13"/>
  <c r="I10" i="13"/>
  <c r="I11" i="13"/>
  <c r="I12" i="13"/>
  <c r="I13" i="13"/>
  <c r="I14" i="13"/>
  <c r="I15" i="13"/>
  <c r="I16" i="13"/>
  <c r="I17" i="13"/>
  <c r="I6" i="13"/>
  <c r="F4" i="6"/>
  <c r="F4" i="7"/>
  <c r="E4" i="6"/>
  <c r="E4" i="7"/>
  <c r="D4" i="6"/>
  <c r="D4" i="7"/>
  <c r="F7" i="6"/>
  <c r="F7" i="7"/>
  <c r="E7" i="6"/>
  <c r="E7" i="7"/>
  <c r="D7" i="6"/>
  <c r="D7" i="7"/>
  <c r="F6" i="7"/>
  <c r="E5" i="6"/>
  <c r="E6" i="7"/>
  <c r="D5" i="6"/>
  <c r="D6" i="7"/>
  <c r="C5" i="6"/>
  <c r="C6" i="7"/>
  <c r="C7" i="6"/>
  <c r="C7" i="7"/>
  <c r="C4" i="6"/>
  <c r="C4" i="7"/>
  <c r="C9" i="6"/>
  <c r="C9" i="7"/>
  <c r="D9" i="6"/>
  <c r="D9" i="7"/>
  <c r="E9" i="6"/>
  <c r="E9" i="7"/>
  <c r="F9" i="6"/>
  <c r="F9" i="7"/>
  <c r="B10" i="1"/>
  <c r="C10" i="1"/>
  <c r="D10" i="1"/>
  <c r="E10" i="1"/>
  <c r="C37" i="10"/>
  <c r="C20" i="10"/>
  <c r="C3" i="10"/>
  <c r="C15" i="10"/>
  <c r="G26" i="4"/>
  <c r="E11" i="1"/>
  <c r="D11" i="1"/>
  <c r="C11" i="1"/>
  <c r="B11" i="1"/>
  <c r="L10" i="1"/>
  <c r="B4" i="1"/>
  <c r="L36" i="3"/>
  <c r="L29" i="3"/>
  <c r="C46" i="1"/>
  <c r="C45" i="1"/>
  <c r="C44" i="1"/>
  <c r="C43" i="1"/>
  <c r="C42" i="1"/>
  <c r="C41" i="1"/>
  <c r="C40" i="1"/>
  <c r="C39" i="1"/>
  <c r="C38" i="1"/>
  <c r="C37" i="1"/>
  <c r="C36" i="1"/>
  <c r="C35" i="1"/>
  <c r="D25" i="1"/>
  <c r="D24" i="1"/>
  <c r="D23" i="1"/>
  <c r="D22" i="1"/>
  <c r="D21" i="1"/>
  <c r="C26" i="4"/>
  <c r="D26" i="4"/>
  <c r="E26" i="4"/>
  <c r="D14" i="10"/>
  <c r="BA18" i="13"/>
  <c r="BC7" i="13"/>
  <c r="BC8" i="13"/>
  <c r="BC9" i="13"/>
  <c r="BC10" i="13"/>
  <c r="BC11" i="13"/>
  <c r="BC12" i="13"/>
  <c r="BC13" i="13"/>
  <c r="BC14" i="13"/>
  <c r="BC15" i="13"/>
  <c r="BC16" i="13"/>
  <c r="AP18" i="13"/>
  <c r="AR7" i="13"/>
  <c r="D38" i="10"/>
  <c r="AR8" i="13"/>
  <c r="D39" i="10"/>
  <c r="AR9" i="13"/>
  <c r="D40" i="10"/>
  <c r="AR10" i="13"/>
  <c r="D41" i="10"/>
  <c r="AR11" i="13"/>
  <c r="D42" i="10"/>
  <c r="AR12" i="13"/>
  <c r="D43" i="10"/>
  <c r="AR13" i="13"/>
  <c r="D44" i="10"/>
  <c r="AR14" i="13"/>
  <c r="D45" i="10"/>
  <c r="AR15" i="13"/>
  <c r="D46" i="10"/>
  <c r="AR16" i="13"/>
  <c r="D47" i="10"/>
  <c r="AE18" i="13"/>
  <c r="AG7" i="13"/>
  <c r="D21" i="10"/>
  <c r="AG8" i="13"/>
  <c r="D22" i="10"/>
  <c r="AG9" i="13"/>
  <c r="D23" i="10"/>
  <c r="AG10" i="13"/>
  <c r="D24" i="10"/>
  <c r="AG11" i="13"/>
  <c r="D25" i="10"/>
  <c r="AG12" i="13"/>
  <c r="D26" i="10"/>
  <c r="AG13" i="13"/>
  <c r="D27" i="10"/>
  <c r="AG14" i="13"/>
  <c r="D28" i="10"/>
  <c r="AG15" i="13"/>
  <c r="D29" i="10"/>
  <c r="AG16" i="13"/>
  <c r="D30" i="10"/>
  <c r="T18" i="13"/>
  <c r="V7" i="13"/>
  <c r="V8" i="13"/>
  <c r="V9" i="13"/>
  <c r="V10" i="13"/>
  <c r="V11" i="13"/>
  <c r="V12" i="13"/>
  <c r="V13" i="13"/>
  <c r="V14" i="13"/>
  <c r="V15" i="13"/>
  <c r="V16" i="13"/>
  <c r="J18" i="13"/>
  <c r="I18" i="13"/>
  <c r="K6" i="13"/>
  <c r="K16" i="13"/>
  <c r="K15" i="13"/>
  <c r="K14" i="13"/>
  <c r="K13" i="13"/>
  <c r="K12" i="13"/>
  <c r="K11" i="13"/>
  <c r="K10" i="13"/>
  <c r="K9" i="13"/>
  <c r="K8" i="13"/>
  <c r="K7" i="13"/>
  <c r="C49" i="10"/>
  <c r="C32" i="10"/>
  <c r="D46" i="1"/>
  <c r="D45" i="1"/>
  <c r="D44" i="1"/>
  <c r="D43" i="1"/>
  <c r="D42" i="1"/>
  <c r="D41" i="1"/>
  <c r="D40" i="1"/>
  <c r="D39" i="1"/>
  <c r="D38" i="1"/>
  <c r="D37" i="1"/>
  <c r="D36" i="1"/>
  <c r="D35" i="1"/>
  <c r="D47" i="1"/>
  <c r="C25" i="1"/>
  <c r="W35" i="1"/>
  <c r="AH35" i="2"/>
  <c r="C24" i="1"/>
  <c r="C23" i="1"/>
  <c r="C22" i="1"/>
  <c r="C21" i="1"/>
  <c r="M35" i="1" s="1"/>
  <c r="G35" i="1"/>
  <c r="C47" i="1"/>
  <c r="V35" i="1"/>
  <c r="AA35" i="2"/>
  <c r="AA10" i="2"/>
  <c r="U35" i="1"/>
  <c r="T35" i="2"/>
  <c r="T10" i="2"/>
  <c r="AB26" i="14" s="1"/>
  <c r="T35" i="1"/>
  <c r="M35" i="2"/>
  <c r="M10" i="2" s="1"/>
  <c r="AB14" i="14" s="1"/>
  <c r="M6" i="5"/>
  <c r="Q6" i="13"/>
  <c r="S35" i="1"/>
  <c r="F35" i="2"/>
  <c r="F10" i="2"/>
  <c r="AB2" i="14" s="1"/>
  <c r="Q35" i="1"/>
  <c r="AG35" i="2"/>
  <c r="AG10" i="2"/>
  <c r="AA50" i="14" s="1"/>
  <c r="P35" i="1"/>
  <c r="Z35" i="2"/>
  <c r="Z10" i="2"/>
  <c r="AA38" i="14" s="1"/>
  <c r="O35" i="1"/>
  <c r="S35" i="2"/>
  <c r="S10" i="2"/>
  <c r="AA26" i="14" s="1"/>
  <c r="N35" i="1"/>
  <c r="L35" i="2"/>
  <c r="L10" i="2" s="1"/>
  <c r="AA14" i="14" s="1"/>
  <c r="L6" i="5"/>
  <c r="P6" i="13"/>
  <c r="E35" i="2"/>
  <c r="E10" i="2"/>
  <c r="K35" i="1"/>
  <c r="J35" i="1"/>
  <c r="X35" i="2"/>
  <c r="I35" i="1"/>
  <c r="H35" i="1"/>
  <c r="E35" i="1"/>
  <c r="W36" i="1"/>
  <c r="AH36" i="2"/>
  <c r="AH11" i="2"/>
  <c r="AB51" i="14" s="1"/>
  <c r="V36" i="1"/>
  <c r="AA36" i="2"/>
  <c r="AA11" i="2"/>
  <c r="AB39" i="14" s="1"/>
  <c r="U36" i="1"/>
  <c r="T36" i="2"/>
  <c r="T11" i="2"/>
  <c r="AB27" i="14" s="1"/>
  <c r="T36" i="1"/>
  <c r="M36" i="2"/>
  <c r="M11" i="2"/>
  <c r="AB15" i="14" s="1"/>
  <c r="M7" i="5"/>
  <c r="Q7" i="13"/>
  <c r="S36" i="1"/>
  <c r="F36" i="2"/>
  <c r="F11" i="2"/>
  <c r="AB3" i="14" s="1"/>
  <c r="Q36" i="1"/>
  <c r="AG36" i="2"/>
  <c r="AG11" i="2"/>
  <c r="AA51" i="14" s="1"/>
  <c r="P36" i="1"/>
  <c r="Z36" i="2"/>
  <c r="Z11" i="2"/>
  <c r="AA39" i="14" s="1"/>
  <c r="O36" i="1"/>
  <c r="S36" i="2"/>
  <c r="S11" i="2"/>
  <c r="AA27" i="14" s="1"/>
  <c r="N36" i="1"/>
  <c r="L36" i="2"/>
  <c r="L11" i="2"/>
  <c r="AA15" i="14" s="1"/>
  <c r="L7" i="5"/>
  <c r="P7" i="13"/>
  <c r="M36" i="1"/>
  <c r="E36" i="2"/>
  <c r="E11" i="2"/>
  <c r="AA3" i="14" s="1"/>
  <c r="K36" i="1"/>
  <c r="J36" i="1"/>
  <c r="I36" i="1"/>
  <c r="H36" i="1"/>
  <c r="G36" i="1"/>
  <c r="W37" i="1"/>
  <c r="AH37" i="2"/>
  <c r="AH12" i="2"/>
  <c r="AB52" i="14" s="1"/>
  <c r="V37" i="1"/>
  <c r="AA37" i="2"/>
  <c r="AA12" i="2"/>
  <c r="AB40" i="14" s="1"/>
  <c r="U37" i="1"/>
  <c r="T37" i="2"/>
  <c r="T12" i="2"/>
  <c r="AB28" i="14" s="1"/>
  <c r="T37" i="1"/>
  <c r="M37" i="2"/>
  <c r="M12" i="2"/>
  <c r="AB16" i="14" s="1"/>
  <c r="M8" i="5"/>
  <c r="Q8" i="13"/>
  <c r="S37" i="1"/>
  <c r="F37" i="2"/>
  <c r="F12" i="2"/>
  <c r="AB4" i="14" s="1"/>
  <c r="Q37" i="1"/>
  <c r="AG37" i="2"/>
  <c r="AG12" i="2"/>
  <c r="AA52" i="14" s="1"/>
  <c r="P37" i="1"/>
  <c r="Z37" i="2"/>
  <c r="Z12" i="2"/>
  <c r="AA40" i="14" s="1"/>
  <c r="O37" i="1"/>
  <c r="S37" i="2"/>
  <c r="S12" i="2"/>
  <c r="AA28" i="14" s="1"/>
  <c r="N37" i="1"/>
  <c r="L37" i="2"/>
  <c r="L12" i="2"/>
  <c r="AA16" i="14" s="1"/>
  <c r="L8" i="5"/>
  <c r="P8" i="13"/>
  <c r="M37" i="1"/>
  <c r="E37" i="2"/>
  <c r="E12" i="2"/>
  <c r="AA4" i="14" s="1"/>
  <c r="K37" i="1"/>
  <c r="J37" i="1"/>
  <c r="I37" i="1"/>
  <c r="H37" i="1"/>
  <c r="G37" i="1"/>
  <c r="W38" i="1"/>
  <c r="AH38" i="2"/>
  <c r="AH13" i="2"/>
  <c r="AB53" i="14" s="1"/>
  <c r="V38" i="1"/>
  <c r="AA38" i="2"/>
  <c r="AA13" i="2"/>
  <c r="AB41" i="14" s="1"/>
  <c r="U38" i="1"/>
  <c r="T38" i="2"/>
  <c r="T13" i="2"/>
  <c r="AB29" i="14" s="1"/>
  <c r="T38" i="1"/>
  <c r="M38" i="2"/>
  <c r="M13" i="2"/>
  <c r="AB17" i="14" s="1"/>
  <c r="M9" i="5"/>
  <c r="Q9" i="13"/>
  <c r="S38" i="1"/>
  <c r="F38" i="2"/>
  <c r="F13" i="2"/>
  <c r="AB5" i="14" s="1"/>
  <c r="Q38" i="1"/>
  <c r="AG38" i="2"/>
  <c r="AG13" i="2"/>
  <c r="AA53" i="14" s="1"/>
  <c r="P38" i="1"/>
  <c r="Z38" i="2"/>
  <c r="Z13" i="2"/>
  <c r="AA41" i="14" s="1"/>
  <c r="O38" i="1"/>
  <c r="S38" i="2"/>
  <c r="S13" i="2"/>
  <c r="AA29" i="14" s="1"/>
  <c r="N38" i="1"/>
  <c r="L38" i="2"/>
  <c r="L13" i="2"/>
  <c r="AA17" i="14" s="1"/>
  <c r="L9" i="5"/>
  <c r="P9" i="13"/>
  <c r="M38" i="1"/>
  <c r="E38" i="2"/>
  <c r="E13" i="2"/>
  <c r="AA5" i="14" s="1"/>
  <c r="K38" i="1"/>
  <c r="J38" i="1"/>
  <c r="I38" i="1"/>
  <c r="H38" i="1"/>
  <c r="G38" i="1"/>
  <c r="E38" i="1"/>
  <c r="W39" i="1"/>
  <c r="AH39" i="2"/>
  <c r="AH14" i="2"/>
  <c r="AB54" i="14" s="1"/>
  <c r="V39" i="1"/>
  <c r="AA39" i="2"/>
  <c r="AA14" i="2"/>
  <c r="AB42" i="14" s="1"/>
  <c r="U39" i="1"/>
  <c r="T39" i="2"/>
  <c r="T14" i="2"/>
  <c r="AB30" i="14" s="1"/>
  <c r="T39" i="1"/>
  <c r="M39" i="2"/>
  <c r="M14" i="2"/>
  <c r="AB18" i="14" s="1"/>
  <c r="M10" i="5"/>
  <c r="Q10" i="13"/>
  <c r="S39" i="1"/>
  <c r="F39" i="2"/>
  <c r="F14" i="2"/>
  <c r="AB6" i="14" s="1"/>
  <c r="Q39" i="1"/>
  <c r="AG39" i="2"/>
  <c r="AG14" i="2"/>
  <c r="AA54" i="14" s="1"/>
  <c r="P39" i="1"/>
  <c r="Z39" i="2"/>
  <c r="Z14" i="2"/>
  <c r="AA42" i="14" s="1"/>
  <c r="O39" i="1"/>
  <c r="S39" i="2"/>
  <c r="S14" i="2"/>
  <c r="AA30" i="14" s="1"/>
  <c r="N39" i="1"/>
  <c r="L39" i="2"/>
  <c r="L14" i="2"/>
  <c r="AA18" i="14" s="1"/>
  <c r="L10" i="5"/>
  <c r="P10" i="13"/>
  <c r="M39" i="1"/>
  <c r="E39" i="2"/>
  <c r="E14" i="2"/>
  <c r="AA6" i="14" s="1"/>
  <c r="K39" i="1"/>
  <c r="J39" i="1"/>
  <c r="I39" i="1"/>
  <c r="H39" i="1"/>
  <c r="G39" i="1"/>
  <c r="W40" i="1"/>
  <c r="AH40" i="2"/>
  <c r="AH15" i="2"/>
  <c r="AB55" i="14" s="1"/>
  <c r="V40" i="1"/>
  <c r="AA40" i="2"/>
  <c r="AA15" i="2"/>
  <c r="AB43" i="14" s="1"/>
  <c r="U40" i="1"/>
  <c r="T40" i="2"/>
  <c r="T15" i="2"/>
  <c r="AB31" i="14" s="1"/>
  <c r="T40" i="1"/>
  <c r="M40" i="2"/>
  <c r="M15" i="2"/>
  <c r="AB19" i="14" s="1"/>
  <c r="M11" i="5"/>
  <c r="Q11" i="13"/>
  <c r="S40" i="1"/>
  <c r="F40" i="2"/>
  <c r="F15" i="2"/>
  <c r="AB7" i="14" s="1"/>
  <c r="Q40" i="1"/>
  <c r="AG40" i="2"/>
  <c r="AG15" i="2"/>
  <c r="AA55" i="14" s="1"/>
  <c r="P40" i="1"/>
  <c r="Z40" i="2"/>
  <c r="Z15" i="2"/>
  <c r="AA43" i="14" s="1"/>
  <c r="O40" i="1"/>
  <c r="S40" i="2"/>
  <c r="S15" i="2"/>
  <c r="AA31" i="14" s="1"/>
  <c r="N40" i="1"/>
  <c r="L40" i="2"/>
  <c r="L15" i="2"/>
  <c r="AA19" i="14" s="1"/>
  <c r="L11" i="5"/>
  <c r="P11" i="13"/>
  <c r="M40" i="1"/>
  <c r="E40" i="2"/>
  <c r="E15" i="2"/>
  <c r="AA7" i="14" s="1"/>
  <c r="K40" i="1"/>
  <c r="J40" i="1"/>
  <c r="I40" i="1"/>
  <c r="H40" i="1"/>
  <c r="G40" i="1"/>
  <c r="W41" i="1"/>
  <c r="AH41" i="2"/>
  <c r="AH16" i="2"/>
  <c r="AB56" i="14" s="1"/>
  <c r="V41" i="1"/>
  <c r="AA41" i="2"/>
  <c r="AA16" i="2"/>
  <c r="AB44" i="14" s="1"/>
  <c r="U41" i="1"/>
  <c r="T41" i="2"/>
  <c r="T16" i="2"/>
  <c r="AB32" i="14" s="1"/>
  <c r="T41" i="1"/>
  <c r="M41" i="2"/>
  <c r="M16" i="2"/>
  <c r="AB20" i="14" s="1"/>
  <c r="M12" i="5"/>
  <c r="Q12" i="13"/>
  <c r="S41" i="1"/>
  <c r="F41" i="2"/>
  <c r="F16" i="2"/>
  <c r="AB8" i="14" s="1"/>
  <c r="Q41" i="1"/>
  <c r="AG41" i="2"/>
  <c r="AG16" i="2"/>
  <c r="AA56" i="14" s="1"/>
  <c r="P41" i="1"/>
  <c r="Z41" i="2"/>
  <c r="Z16" i="2"/>
  <c r="AA44" i="14" s="1"/>
  <c r="O41" i="1"/>
  <c r="S41" i="2"/>
  <c r="S16" i="2"/>
  <c r="AA32" i="14" s="1"/>
  <c r="N41" i="1"/>
  <c r="L41" i="2"/>
  <c r="L16" i="2"/>
  <c r="AA20" i="14" s="1"/>
  <c r="L12" i="5"/>
  <c r="P12" i="13"/>
  <c r="M41" i="1"/>
  <c r="E41" i="2"/>
  <c r="E16" i="2"/>
  <c r="AA8" i="14" s="1"/>
  <c r="K41" i="1"/>
  <c r="J41" i="1"/>
  <c r="I41" i="1"/>
  <c r="H41" i="1"/>
  <c r="G41" i="1"/>
  <c r="E41" i="1"/>
  <c r="W42" i="1"/>
  <c r="AH42" i="2"/>
  <c r="AH17" i="2"/>
  <c r="AB57" i="14" s="1"/>
  <c r="V42" i="1"/>
  <c r="AA42" i="2"/>
  <c r="AA17" i="2"/>
  <c r="AB45" i="14" s="1"/>
  <c r="U42" i="1"/>
  <c r="T42" i="2"/>
  <c r="T17" i="2"/>
  <c r="AB33" i="14" s="1"/>
  <c r="T42" i="1"/>
  <c r="M42" i="2"/>
  <c r="M17" i="2"/>
  <c r="AB21" i="14" s="1"/>
  <c r="M13" i="5"/>
  <c r="Q13" i="13"/>
  <c r="S42" i="1"/>
  <c r="F42" i="2"/>
  <c r="F17" i="2"/>
  <c r="AB9" i="14" s="1"/>
  <c r="Q42" i="1"/>
  <c r="AG42" i="2"/>
  <c r="AG17" i="2"/>
  <c r="AA57" i="14" s="1"/>
  <c r="P42" i="1"/>
  <c r="Z42" i="2"/>
  <c r="Z17" i="2"/>
  <c r="AA45" i="14" s="1"/>
  <c r="O42" i="1"/>
  <c r="S42" i="2"/>
  <c r="S17" i="2"/>
  <c r="AA33" i="14" s="1"/>
  <c r="N42" i="1"/>
  <c r="L42" i="2"/>
  <c r="L17" i="2"/>
  <c r="AA21" i="14" s="1"/>
  <c r="L13" i="5"/>
  <c r="P13" i="13"/>
  <c r="M42" i="1"/>
  <c r="E42" i="2"/>
  <c r="E17" i="2"/>
  <c r="AA9" i="14" s="1"/>
  <c r="K42" i="1"/>
  <c r="J42" i="1"/>
  <c r="I42" i="1"/>
  <c r="H42" i="1"/>
  <c r="G42" i="1"/>
  <c r="W43" i="1"/>
  <c r="AH43" i="2"/>
  <c r="AH18" i="2"/>
  <c r="AB58" i="14" s="1"/>
  <c r="V43" i="1"/>
  <c r="AA43" i="2"/>
  <c r="AA18" i="2"/>
  <c r="AB46" i="14" s="1"/>
  <c r="U43" i="1"/>
  <c r="T43" i="2"/>
  <c r="T18" i="2"/>
  <c r="AB34" i="14" s="1"/>
  <c r="T43" i="1"/>
  <c r="M43" i="2"/>
  <c r="M18" i="2"/>
  <c r="AB22" i="14" s="1"/>
  <c r="M14" i="5"/>
  <c r="Q14" i="13"/>
  <c r="S43" i="1"/>
  <c r="F43" i="2"/>
  <c r="F18" i="2"/>
  <c r="AB10" i="14" s="1"/>
  <c r="Q43" i="1"/>
  <c r="AG43" i="2"/>
  <c r="AG18" i="2"/>
  <c r="AA58" i="14" s="1"/>
  <c r="P43" i="1"/>
  <c r="Z43" i="2"/>
  <c r="Z18" i="2"/>
  <c r="AA46" i="14" s="1"/>
  <c r="O43" i="1"/>
  <c r="S43" i="2"/>
  <c r="S18" i="2"/>
  <c r="AA34" i="14" s="1"/>
  <c r="N43" i="1"/>
  <c r="L43" i="2"/>
  <c r="L18" i="2"/>
  <c r="AA22" i="14" s="1"/>
  <c r="L14" i="5"/>
  <c r="P14" i="13"/>
  <c r="M43" i="1"/>
  <c r="E43" i="2"/>
  <c r="E18" i="2"/>
  <c r="AA10" i="14" s="1"/>
  <c r="K43" i="1"/>
  <c r="J43" i="1"/>
  <c r="I43" i="1"/>
  <c r="H43" i="1"/>
  <c r="G43" i="1"/>
  <c r="W44" i="1"/>
  <c r="AH44" i="2"/>
  <c r="AH19" i="2"/>
  <c r="AB59" i="14" s="1"/>
  <c r="V44" i="1"/>
  <c r="AA44" i="2"/>
  <c r="AA19" i="2"/>
  <c r="AB47" i="14" s="1"/>
  <c r="U44" i="1"/>
  <c r="T44" i="2"/>
  <c r="T19" i="2"/>
  <c r="AB35" i="14" s="1"/>
  <c r="T44" i="1"/>
  <c r="M44" i="2"/>
  <c r="M19" i="2"/>
  <c r="AB23" i="14" s="1"/>
  <c r="M15" i="5"/>
  <c r="Q15" i="13"/>
  <c r="S44" i="1"/>
  <c r="F44" i="2"/>
  <c r="F19" i="2"/>
  <c r="AB11" i="14" s="1"/>
  <c r="Q44" i="1"/>
  <c r="AG44" i="2"/>
  <c r="AG19" i="2"/>
  <c r="AA59" i="14" s="1"/>
  <c r="P44" i="1"/>
  <c r="Z44" i="2"/>
  <c r="Z19" i="2"/>
  <c r="AA47" i="14" s="1"/>
  <c r="O44" i="1"/>
  <c r="S44" i="2"/>
  <c r="S19" i="2"/>
  <c r="AA35" i="14" s="1"/>
  <c r="N44" i="1"/>
  <c r="L44" i="2"/>
  <c r="L19" i="2"/>
  <c r="AA23" i="14" s="1"/>
  <c r="L15" i="5"/>
  <c r="P15" i="13"/>
  <c r="M44" i="1"/>
  <c r="E44" i="2"/>
  <c r="E19" i="2"/>
  <c r="AA11" i="14" s="1"/>
  <c r="K44" i="1"/>
  <c r="J44" i="1"/>
  <c r="I44" i="1"/>
  <c r="H44" i="1"/>
  <c r="G44" i="1"/>
  <c r="E44" i="1"/>
  <c r="W45" i="1"/>
  <c r="AH45" i="2"/>
  <c r="AH20" i="2"/>
  <c r="AB60" i="14" s="1"/>
  <c r="V45" i="1"/>
  <c r="AA45" i="2"/>
  <c r="AA20" i="2"/>
  <c r="AB48" i="14" s="1"/>
  <c r="U45" i="1"/>
  <c r="T45" i="2"/>
  <c r="T20" i="2"/>
  <c r="AB36" i="14" s="1"/>
  <c r="T45" i="1"/>
  <c r="M45" i="2"/>
  <c r="M20" i="2"/>
  <c r="AB24" i="14" s="1"/>
  <c r="M16" i="5"/>
  <c r="Q16" i="13"/>
  <c r="S45" i="1"/>
  <c r="F45" i="2"/>
  <c r="F20" i="2"/>
  <c r="AB12" i="14" s="1"/>
  <c r="Q45" i="1"/>
  <c r="AG45" i="2"/>
  <c r="AG20" i="2"/>
  <c r="AA60" i="14" s="1"/>
  <c r="P45" i="1"/>
  <c r="Z45" i="2"/>
  <c r="Z20" i="2"/>
  <c r="AA48" i="14" s="1"/>
  <c r="O45" i="1"/>
  <c r="S45" i="2"/>
  <c r="S20" i="2"/>
  <c r="AA36" i="14" s="1"/>
  <c r="N45" i="1"/>
  <c r="L45" i="2"/>
  <c r="L20" i="2"/>
  <c r="AA24" i="14" s="1"/>
  <c r="L16" i="5"/>
  <c r="P16" i="13"/>
  <c r="M45" i="1"/>
  <c r="E45" i="2"/>
  <c r="E20" i="2"/>
  <c r="AA12" i="14" s="1"/>
  <c r="K45" i="1"/>
  <c r="J45" i="1"/>
  <c r="I45" i="1"/>
  <c r="H45" i="1"/>
  <c r="G45" i="1"/>
  <c r="W46" i="1"/>
  <c r="AH46" i="2"/>
  <c r="AH21" i="2"/>
  <c r="AB61" i="14" s="1"/>
  <c r="V46" i="1"/>
  <c r="AA46" i="2"/>
  <c r="AA21" i="2"/>
  <c r="AB49" i="14" s="1"/>
  <c r="U46" i="1"/>
  <c r="T46" i="2"/>
  <c r="T21" i="2"/>
  <c r="AB37" i="14" s="1"/>
  <c r="T46" i="1"/>
  <c r="M46" i="2"/>
  <c r="M21" i="2"/>
  <c r="AB25" i="14" s="1"/>
  <c r="M17" i="5"/>
  <c r="Q17" i="13"/>
  <c r="S46" i="1"/>
  <c r="F46" i="2"/>
  <c r="F21" i="2"/>
  <c r="AB13" i="14" s="1"/>
  <c r="Q46" i="1"/>
  <c r="AG46" i="2"/>
  <c r="AG21" i="2"/>
  <c r="AA61" i="14" s="1"/>
  <c r="P46" i="1"/>
  <c r="Z46" i="2"/>
  <c r="Z21" i="2"/>
  <c r="AA49" i="14" s="1"/>
  <c r="O46" i="1"/>
  <c r="S46" i="2"/>
  <c r="S21" i="2"/>
  <c r="AA37" i="14" s="1"/>
  <c r="N46" i="1"/>
  <c r="L46" i="2"/>
  <c r="L21" i="2"/>
  <c r="AA25" i="14" s="1"/>
  <c r="L17" i="5"/>
  <c r="P17" i="13"/>
  <c r="M46" i="1"/>
  <c r="E46" i="2"/>
  <c r="E21" i="2"/>
  <c r="AA13" i="14" s="1"/>
  <c r="K46" i="1"/>
  <c r="J46" i="1"/>
  <c r="I46" i="1"/>
  <c r="H46" i="1"/>
  <c r="G46" i="1"/>
  <c r="P18" i="13"/>
  <c r="Q18" i="13"/>
  <c r="D13" i="10"/>
  <c r="D12" i="10"/>
  <c r="D11" i="10"/>
  <c r="D10" i="10"/>
  <c r="D9" i="10"/>
  <c r="D8" i="10"/>
  <c r="D7" i="10"/>
  <c r="D6" i="10"/>
  <c r="D5" i="10"/>
  <c r="D4" i="10"/>
  <c r="BB18" i="13"/>
  <c r="BC6" i="13"/>
  <c r="BC18" i="13"/>
  <c r="AQ18" i="13"/>
  <c r="AR6" i="13"/>
  <c r="AF18" i="13"/>
  <c r="AG6" i="13"/>
  <c r="U18" i="13"/>
  <c r="V6" i="13"/>
  <c r="K18" i="13"/>
  <c r="C46" i="2"/>
  <c r="D46" i="2"/>
  <c r="D21" i="2"/>
  <c r="Z13" i="14" s="1"/>
  <c r="E27" i="7"/>
  <c r="E14" i="11"/>
  <c r="E19" i="12"/>
  <c r="E17" i="5"/>
  <c r="E27" i="6" s="1"/>
  <c r="E17" i="13"/>
  <c r="K27" i="7"/>
  <c r="E30" i="11"/>
  <c r="K19" i="12"/>
  <c r="S17" i="5"/>
  <c r="K27" i="6" s="1"/>
  <c r="AA17" i="13"/>
  <c r="Q27" i="7"/>
  <c r="E46" i="11"/>
  <c r="Q19" i="12"/>
  <c r="Z17" i="5"/>
  <c r="AL17" i="13"/>
  <c r="F27" i="7"/>
  <c r="F14" i="11"/>
  <c r="F19" i="12"/>
  <c r="F17" i="5"/>
  <c r="F27" i="6" s="1"/>
  <c r="F17" i="13"/>
  <c r="L27" i="7"/>
  <c r="F30" i="11"/>
  <c r="L19" i="12"/>
  <c r="T17" i="5"/>
  <c r="L27" i="6" s="1"/>
  <c r="AB17" i="13"/>
  <c r="R27" i="7"/>
  <c r="F46" i="11"/>
  <c r="R19" i="12"/>
  <c r="AA17" i="5"/>
  <c r="AM17" i="13"/>
  <c r="C45" i="2"/>
  <c r="D45" i="2"/>
  <c r="D20" i="2"/>
  <c r="Z12" i="14" s="1"/>
  <c r="E26" i="7"/>
  <c r="E13" i="11"/>
  <c r="E18" i="12"/>
  <c r="E16" i="5"/>
  <c r="E26" i="6" s="1"/>
  <c r="E16" i="13"/>
  <c r="K26" i="7"/>
  <c r="E29" i="11"/>
  <c r="K18" i="12"/>
  <c r="S16" i="5"/>
  <c r="K26" i="6" s="1"/>
  <c r="AA16" i="13"/>
  <c r="Q26" i="7"/>
  <c r="E45" i="11"/>
  <c r="Q18" i="12"/>
  <c r="Z16" i="5"/>
  <c r="AL16" i="13"/>
  <c r="F26" i="7"/>
  <c r="F13" i="11"/>
  <c r="F18" i="12"/>
  <c r="F16" i="5"/>
  <c r="F26" i="6" s="1"/>
  <c r="F16" i="13"/>
  <c r="L26" i="7"/>
  <c r="F29" i="11"/>
  <c r="L18" i="12"/>
  <c r="T16" i="5"/>
  <c r="L26" i="6" s="1"/>
  <c r="AB16" i="13"/>
  <c r="R26" i="7"/>
  <c r="F45" i="11"/>
  <c r="R18" i="12"/>
  <c r="AA16" i="5"/>
  <c r="AM16" i="13"/>
  <c r="C44" i="2"/>
  <c r="D44" i="2"/>
  <c r="D19" i="2"/>
  <c r="Z11" i="14" s="1"/>
  <c r="E25" i="7"/>
  <c r="E12" i="11"/>
  <c r="E17" i="12"/>
  <c r="E15" i="5"/>
  <c r="E25" i="6" s="1"/>
  <c r="E15" i="13"/>
  <c r="K25" i="7"/>
  <c r="E28" i="11"/>
  <c r="K17" i="12"/>
  <c r="S15" i="5"/>
  <c r="K25" i="6" s="1"/>
  <c r="AA15" i="13"/>
  <c r="Q25" i="7"/>
  <c r="E44" i="11"/>
  <c r="Q17" i="12"/>
  <c r="Z15" i="5"/>
  <c r="AL15" i="13"/>
  <c r="F25" i="7"/>
  <c r="F12" i="11"/>
  <c r="F17" i="12"/>
  <c r="F15" i="5"/>
  <c r="F25" i="6" s="1"/>
  <c r="F15" i="13"/>
  <c r="L25" i="7"/>
  <c r="F28" i="11"/>
  <c r="L17" i="12"/>
  <c r="T15" i="5"/>
  <c r="L25" i="6" s="1"/>
  <c r="AB15" i="13"/>
  <c r="R25" i="7"/>
  <c r="F44" i="11"/>
  <c r="R17" i="12"/>
  <c r="AA15" i="5"/>
  <c r="AM15" i="13"/>
  <c r="C43" i="2"/>
  <c r="D43" i="2"/>
  <c r="D18" i="2"/>
  <c r="Z10" i="14" s="1"/>
  <c r="E24" i="7"/>
  <c r="E11" i="11"/>
  <c r="E16" i="12"/>
  <c r="E14" i="5"/>
  <c r="E24" i="6" s="1"/>
  <c r="E14" i="13"/>
  <c r="K24" i="7"/>
  <c r="E27" i="11"/>
  <c r="K16" i="12"/>
  <c r="S14" i="5"/>
  <c r="K24" i="6" s="1"/>
  <c r="AA14" i="13"/>
  <c r="Q24" i="7"/>
  <c r="E43" i="11"/>
  <c r="Q16" i="12"/>
  <c r="Z14" i="5"/>
  <c r="AL14" i="13"/>
  <c r="F24" i="7"/>
  <c r="F11" i="11"/>
  <c r="F16" i="12"/>
  <c r="F14" i="5"/>
  <c r="F24" i="6" s="1"/>
  <c r="F14" i="13"/>
  <c r="L24" i="7"/>
  <c r="F27" i="11"/>
  <c r="L16" i="12"/>
  <c r="T14" i="5"/>
  <c r="L24" i="6" s="1"/>
  <c r="AB14" i="13"/>
  <c r="R24" i="7"/>
  <c r="F43" i="11"/>
  <c r="R16" i="12"/>
  <c r="AA14" i="5"/>
  <c r="AM14" i="13"/>
  <c r="C42" i="2"/>
  <c r="D42" i="2"/>
  <c r="D17" i="2"/>
  <c r="Z9" i="14" s="1"/>
  <c r="E23" i="7"/>
  <c r="E10" i="11"/>
  <c r="E15" i="12"/>
  <c r="E13" i="5"/>
  <c r="E23" i="6" s="1"/>
  <c r="E13" i="13"/>
  <c r="K23" i="7"/>
  <c r="E26" i="11"/>
  <c r="K15" i="12"/>
  <c r="S13" i="5"/>
  <c r="K23" i="6" s="1"/>
  <c r="AA13" i="13"/>
  <c r="Q23" i="7"/>
  <c r="E42" i="11"/>
  <c r="Q15" i="12"/>
  <c r="Z13" i="5"/>
  <c r="AL13" i="13"/>
  <c r="F23" i="7"/>
  <c r="F10" i="11"/>
  <c r="F15" i="12"/>
  <c r="F13" i="5"/>
  <c r="F23" i="6" s="1"/>
  <c r="F13" i="13"/>
  <c r="L23" i="7"/>
  <c r="F26" i="11"/>
  <c r="L15" i="12"/>
  <c r="T13" i="5"/>
  <c r="L23" i="6" s="1"/>
  <c r="AB13" i="13"/>
  <c r="R23" i="7"/>
  <c r="F42" i="11"/>
  <c r="R15" i="12"/>
  <c r="AA13" i="5"/>
  <c r="AM13" i="13"/>
  <c r="C41" i="2"/>
  <c r="D41" i="2"/>
  <c r="D16" i="2"/>
  <c r="Z8" i="14" s="1"/>
  <c r="E22" i="7"/>
  <c r="E9" i="11"/>
  <c r="E14" i="12"/>
  <c r="E12" i="5"/>
  <c r="E22" i="6" s="1"/>
  <c r="E12" i="13"/>
  <c r="K22" i="7"/>
  <c r="E25" i="11"/>
  <c r="K14" i="12"/>
  <c r="S12" i="5"/>
  <c r="K22" i="6" s="1"/>
  <c r="AA12" i="13"/>
  <c r="Q22" i="7"/>
  <c r="E41" i="11"/>
  <c r="Q14" i="12"/>
  <c r="Z12" i="5"/>
  <c r="AL12" i="13"/>
  <c r="F22" i="7"/>
  <c r="F9" i="11"/>
  <c r="F14" i="12"/>
  <c r="F12" i="5"/>
  <c r="F22" i="6" s="1"/>
  <c r="F12" i="13"/>
  <c r="L22" i="7"/>
  <c r="F25" i="11"/>
  <c r="L14" i="12"/>
  <c r="T12" i="5"/>
  <c r="L22" i="6" s="1"/>
  <c r="AB12" i="13"/>
  <c r="R22" i="7"/>
  <c r="F41" i="11"/>
  <c r="R14" i="12"/>
  <c r="AA12" i="5"/>
  <c r="AM12" i="13"/>
  <c r="C40" i="2"/>
  <c r="D40" i="2"/>
  <c r="D15" i="2"/>
  <c r="Z7" i="14" s="1"/>
  <c r="E21" i="7"/>
  <c r="E8" i="11"/>
  <c r="E13" i="12"/>
  <c r="E11" i="5"/>
  <c r="E21" i="6" s="1"/>
  <c r="E11" i="13"/>
  <c r="K21" i="7"/>
  <c r="E24" i="11"/>
  <c r="K13" i="12"/>
  <c r="S11" i="5"/>
  <c r="K21" i="6" s="1"/>
  <c r="AA11" i="13"/>
  <c r="Q21" i="7"/>
  <c r="E40" i="11"/>
  <c r="Q13" i="12"/>
  <c r="Z11" i="5"/>
  <c r="AL11" i="13"/>
  <c r="F21" i="7"/>
  <c r="F8" i="11"/>
  <c r="F13" i="12"/>
  <c r="F11" i="5"/>
  <c r="F21" i="6" s="1"/>
  <c r="F11" i="13"/>
  <c r="L21" i="7"/>
  <c r="F24" i="11"/>
  <c r="L13" i="12"/>
  <c r="T11" i="5"/>
  <c r="L21" i="6" s="1"/>
  <c r="AB11" i="13"/>
  <c r="R21" i="7"/>
  <c r="F40" i="11"/>
  <c r="R13" i="12"/>
  <c r="AA11" i="5"/>
  <c r="AM11" i="13"/>
  <c r="C39" i="2"/>
  <c r="D39" i="2"/>
  <c r="D14" i="2"/>
  <c r="Z6" i="14" s="1"/>
  <c r="E20" i="7"/>
  <c r="E7" i="11"/>
  <c r="E12" i="12"/>
  <c r="E10" i="5"/>
  <c r="E20" i="6" s="1"/>
  <c r="E10" i="13"/>
  <c r="K20" i="7"/>
  <c r="E23" i="11"/>
  <c r="K12" i="12"/>
  <c r="S10" i="5"/>
  <c r="K20" i="6" s="1"/>
  <c r="AA10" i="13"/>
  <c r="Q20" i="7"/>
  <c r="E39" i="11"/>
  <c r="Q12" i="12"/>
  <c r="Z10" i="5"/>
  <c r="AL10" i="13"/>
  <c r="F20" i="7"/>
  <c r="F7" i="11"/>
  <c r="F12" i="12"/>
  <c r="F10" i="5"/>
  <c r="F20" i="6" s="1"/>
  <c r="F10" i="13"/>
  <c r="L20" i="7"/>
  <c r="F23" i="11"/>
  <c r="L12" i="12"/>
  <c r="T10" i="5"/>
  <c r="L20" i="6" s="1"/>
  <c r="AB10" i="13"/>
  <c r="R20" i="7"/>
  <c r="F39" i="11"/>
  <c r="R12" i="12"/>
  <c r="AA10" i="5"/>
  <c r="AM10" i="13"/>
  <c r="C38" i="2"/>
  <c r="D38" i="2"/>
  <c r="D13" i="2"/>
  <c r="Z5" i="14" s="1"/>
  <c r="E19" i="7"/>
  <c r="E6" i="11"/>
  <c r="E11" i="12"/>
  <c r="E9" i="5"/>
  <c r="E19" i="6" s="1"/>
  <c r="E9" i="13"/>
  <c r="K19" i="7"/>
  <c r="E22" i="11"/>
  <c r="K11" i="12"/>
  <c r="S9" i="5"/>
  <c r="K19" i="6" s="1"/>
  <c r="AA9" i="13"/>
  <c r="Q19" i="7"/>
  <c r="E38" i="11"/>
  <c r="Q11" i="12"/>
  <c r="Z9" i="5"/>
  <c r="AL9" i="13"/>
  <c r="F19" i="7"/>
  <c r="F6" i="11"/>
  <c r="F11" i="12"/>
  <c r="F9" i="5"/>
  <c r="F19" i="6" s="1"/>
  <c r="F9" i="13"/>
  <c r="L19" i="7"/>
  <c r="F22" i="11"/>
  <c r="L11" i="12"/>
  <c r="T9" i="5"/>
  <c r="L19" i="6" s="1"/>
  <c r="AB9" i="13"/>
  <c r="R19" i="7"/>
  <c r="F38" i="11"/>
  <c r="R11" i="12"/>
  <c r="AA9" i="5"/>
  <c r="AM9" i="13"/>
  <c r="C37" i="2"/>
  <c r="D37" i="2"/>
  <c r="D12" i="2"/>
  <c r="Z4" i="14" s="1"/>
  <c r="E18" i="7"/>
  <c r="E5" i="11"/>
  <c r="E10" i="12"/>
  <c r="E8" i="5"/>
  <c r="E18" i="6" s="1"/>
  <c r="E8" i="13"/>
  <c r="K18" i="7"/>
  <c r="E21" i="11"/>
  <c r="K10" i="12"/>
  <c r="S8" i="5"/>
  <c r="K18" i="6" s="1"/>
  <c r="AA8" i="13"/>
  <c r="Q18" i="7"/>
  <c r="E37" i="11"/>
  <c r="Q10" i="12"/>
  <c r="Z8" i="5"/>
  <c r="AL8" i="13"/>
  <c r="F18" i="7"/>
  <c r="F5" i="11"/>
  <c r="F10" i="12"/>
  <c r="F8" i="5"/>
  <c r="F18" i="6" s="1"/>
  <c r="F8" i="13"/>
  <c r="L18" i="7"/>
  <c r="F21" i="11"/>
  <c r="L10" i="12"/>
  <c r="T8" i="5"/>
  <c r="L18" i="6" s="1"/>
  <c r="AB8" i="13"/>
  <c r="R18" i="7"/>
  <c r="F37" i="11"/>
  <c r="R10" i="12"/>
  <c r="AA8" i="5"/>
  <c r="AM8" i="13"/>
  <c r="C36" i="2"/>
  <c r="D36" i="2"/>
  <c r="D11" i="2"/>
  <c r="Z3" i="14" s="1"/>
  <c r="E17" i="7"/>
  <c r="E4" i="11"/>
  <c r="E9" i="12"/>
  <c r="E7" i="5"/>
  <c r="E17" i="6" s="1"/>
  <c r="E7" i="13"/>
  <c r="K17" i="7"/>
  <c r="E20" i="11"/>
  <c r="K9" i="12"/>
  <c r="S7" i="5"/>
  <c r="K17" i="6" s="1"/>
  <c r="AA7" i="13"/>
  <c r="Q17" i="7"/>
  <c r="E36" i="11"/>
  <c r="Q9" i="12"/>
  <c r="Z7" i="5"/>
  <c r="AL7" i="13"/>
  <c r="F17" i="7"/>
  <c r="F4" i="11"/>
  <c r="F9" i="12"/>
  <c r="F7" i="5"/>
  <c r="F17" i="6" s="1"/>
  <c r="F7" i="13"/>
  <c r="L17" i="7"/>
  <c r="F20" i="11"/>
  <c r="L9" i="12"/>
  <c r="T7" i="5"/>
  <c r="L17" i="6" s="1"/>
  <c r="AB7" i="13"/>
  <c r="R17" i="7"/>
  <c r="F36" i="11"/>
  <c r="R9" i="12"/>
  <c r="AA7" i="5"/>
  <c r="AM7" i="13"/>
  <c r="X10" i="2"/>
  <c r="Y38" i="14" s="1"/>
  <c r="E8" i="12"/>
  <c r="E20" i="12"/>
  <c r="E6" i="5"/>
  <c r="E6" i="13"/>
  <c r="E18" i="13"/>
  <c r="L18" i="5"/>
  <c r="K16" i="7"/>
  <c r="K8" i="12"/>
  <c r="K20" i="12"/>
  <c r="S6" i="5"/>
  <c r="K16" i="6" s="1"/>
  <c r="AA6" i="13"/>
  <c r="AA18" i="13"/>
  <c r="Q16" i="7"/>
  <c r="E35" i="11"/>
  <c r="E47" i="11"/>
  <c r="Q8" i="12"/>
  <c r="Q20" i="12"/>
  <c r="Z6" i="5"/>
  <c r="AL6" i="13"/>
  <c r="AL18" i="13"/>
  <c r="F16" i="7"/>
  <c r="F8" i="12"/>
  <c r="F20" i="12"/>
  <c r="F6" i="5"/>
  <c r="F6" i="13"/>
  <c r="F18" i="13"/>
  <c r="M18" i="5"/>
  <c r="L16" i="7"/>
  <c r="L8" i="12"/>
  <c r="L20" i="12"/>
  <c r="T6" i="5"/>
  <c r="L16" i="6" s="1"/>
  <c r="AB6" i="13"/>
  <c r="AB18" i="13"/>
  <c r="AA6" i="5"/>
  <c r="AM6" i="13"/>
  <c r="AM18" i="13"/>
  <c r="AH10" i="2"/>
  <c r="AB50" i="14" s="1"/>
  <c r="G21" i="10"/>
  <c r="G22" i="10"/>
  <c r="G23" i="10"/>
  <c r="G24" i="10"/>
  <c r="G25" i="10"/>
  <c r="G26" i="10"/>
  <c r="G27" i="10"/>
  <c r="G28" i="10"/>
  <c r="G29" i="10"/>
  <c r="G30" i="10"/>
  <c r="G31" i="10"/>
  <c r="G20" i="10"/>
  <c r="G32" i="10"/>
  <c r="G4" i="10"/>
  <c r="G5" i="10"/>
  <c r="G6" i="10"/>
  <c r="G7" i="10"/>
  <c r="G8" i="10"/>
  <c r="G9" i="10"/>
  <c r="G10" i="10"/>
  <c r="G11" i="10"/>
  <c r="G12" i="10"/>
  <c r="G13" i="10"/>
  <c r="G14" i="10"/>
  <c r="H21" i="10"/>
  <c r="H22" i="10"/>
  <c r="H23" i="10"/>
  <c r="H24" i="10"/>
  <c r="H25" i="10"/>
  <c r="H26" i="10"/>
  <c r="H27" i="10"/>
  <c r="H28" i="10"/>
  <c r="H29" i="10"/>
  <c r="H30" i="10"/>
  <c r="H31" i="10"/>
  <c r="H20" i="10"/>
  <c r="H32" i="10"/>
  <c r="H4" i="10"/>
  <c r="H5" i="10"/>
  <c r="H6" i="10"/>
  <c r="H7" i="10"/>
  <c r="H8" i="10"/>
  <c r="H9" i="10"/>
  <c r="H10" i="10"/>
  <c r="H11" i="10"/>
  <c r="H12" i="10"/>
  <c r="H13" i="10"/>
  <c r="H14" i="10"/>
  <c r="AH7" i="5"/>
  <c r="AX7" i="13"/>
  <c r="AH8" i="5"/>
  <c r="AX8" i="13"/>
  <c r="AH9" i="5"/>
  <c r="AX9" i="13"/>
  <c r="AH10" i="5"/>
  <c r="AX10" i="13"/>
  <c r="AH11" i="5"/>
  <c r="AX11" i="13"/>
  <c r="AH12" i="5"/>
  <c r="AX12" i="13"/>
  <c r="AH13" i="5"/>
  <c r="AX13" i="13"/>
  <c r="AH14" i="5"/>
  <c r="AX14" i="13"/>
  <c r="AH15" i="5"/>
  <c r="AX15" i="13"/>
  <c r="AH16" i="5"/>
  <c r="AX16" i="13"/>
  <c r="AH17" i="5"/>
  <c r="AX17" i="13"/>
  <c r="AH6" i="5"/>
  <c r="AH22" i="2"/>
  <c r="AG7" i="5"/>
  <c r="AW7" i="13"/>
  <c r="AG8" i="5"/>
  <c r="AW8" i="13"/>
  <c r="AG9" i="5"/>
  <c r="AW9" i="13"/>
  <c r="AG10" i="5"/>
  <c r="AW10" i="13"/>
  <c r="AG11" i="5"/>
  <c r="AW11" i="13"/>
  <c r="AG12" i="5"/>
  <c r="AW12" i="13"/>
  <c r="AG13" i="5"/>
  <c r="AW13" i="13"/>
  <c r="AG14" i="5"/>
  <c r="AW14" i="13"/>
  <c r="AG15" i="5"/>
  <c r="AW15" i="13"/>
  <c r="AG16" i="5"/>
  <c r="AW16" i="13"/>
  <c r="AG17" i="5"/>
  <c r="AW17" i="13"/>
  <c r="AG6" i="5"/>
  <c r="AG22" i="2"/>
  <c r="Q28" i="7"/>
  <c r="AA18" i="5"/>
  <c r="Z18" i="5"/>
  <c r="T18" i="5"/>
  <c r="S18" i="5"/>
  <c r="F18" i="5"/>
  <c r="E18" i="5"/>
  <c r="K46" i="2"/>
  <c r="K21" i="2"/>
  <c r="Z25" i="14" s="1"/>
  <c r="D27" i="7"/>
  <c r="J46" i="2"/>
  <c r="Q46" i="2"/>
  <c r="R46" i="2"/>
  <c r="R21" i="2"/>
  <c r="Z37" i="14" s="1"/>
  <c r="Y46" i="2"/>
  <c r="X46" i="2"/>
  <c r="AB46" i="2"/>
  <c r="R56" i="4" s="1"/>
  <c r="X21" i="2"/>
  <c r="Y49" i="14" s="1"/>
  <c r="Y21" i="2"/>
  <c r="Z49" i="14" s="1"/>
  <c r="AE46" i="2"/>
  <c r="AF46" i="2"/>
  <c r="AF21" i="2"/>
  <c r="Z61" i="14" s="1"/>
  <c r="AF17" i="5"/>
  <c r="AV17" i="13"/>
  <c r="K45" i="2"/>
  <c r="K20" i="2"/>
  <c r="Z24" i="14" s="1"/>
  <c r="D26" i="7"/>
  <c r="J45" i="2"/>
  <c r="Q45" i="2"/>
  <c r="R45" i="2"/>
  <c r="R20" i="2"/>
  <c r="Z36" i="14" s="1"/>
  <c r="Y45" i="2"/>
  <c r="X45" i="2"/>
  <c r="AB45" i="2"/>
  <c r="R55" i="4" s="1"/>
  <c r="X20" i="2"/>
  <c r="Y48" i="14" s="1"/>
  <c r="Y20" i="2"/>
  <c r="Z48" i="14" s="1"/>
  <c r="AE45" i="2"/>
  <c r="AF45" i="2"/>
  <c r="AF20" i="2"/>
  <c r="Z60" i="14" s="1"/>
  <c r="AF16" i="5"/>
  <c r="AV16" i="13"/>
  <c r="K44" i="2"/>
  <c r="K19" i="2"/>
  <c r="Z23" i="14" s="1"/>
  <c r="D25" i="7"/>
  <c r="J44" i="2"/>
  <c r="Q44" i="2"/>
  <c r="R44" i="2"/>
  <c r="R19" i="2"/>
  <c r="Z35" i="14" s="1"/>
  <c r="Y44" i="2"/>
  <c r="X44" i="2"/>
  <c r="AB44" i="2"/>
  <c r="R54" i="4" s="1"/>
  <c r="X19" i="2"/>
  <c r="Y47" i="14" s="1"/>
  <c r="Y19" i="2"/>
  <c r="Z47" i="14" s="1"/>
  <c r="AE44" i="2"/>
  <c r="AF44" i="2"/>
  <c r="AF19" i="2"/>
  <c r="Z59" i="14" s="1"/>
  <c r="AF15" i="5"/>
  <c r="AV15" i="13"/>
  <c r="K43" i="2"/>
  <c r="K18" i="2"/>
  <c r="Z22" i="14" s="1"/>
  <c r="D24" i="7"/>
  <c r="J43" i="2"/>
  <c r="Q43" i="2"/>
  <c r="R43" i="2"/>
  <c r="R18" i="2"/>
  <c r="Z34" i="14" s="1"/>
  <c r="Y43" i="2"/>
  <c r="X43" i="2"/>
  <c r="AB43" i="2"/>
  <c r="R53" i="4" s="1"/>
  <c r="X18" i="2"/>
  <c r="Y46" i="14" s="1"/>
  <c r="Y18" i="2"/>
  <c r="Z46" i="14" s="1"/>
  <c r="AE43" i="2"/>
  <c r="AF43" i="2"/>
  <c r="AF18" i="2"/>
  <c r="Z58" i="14" s="1"/>
  <c r="AF14" i="5"/>
  <c r="AV14" i="13"/>
  <c r="K42" i="2"/>
  <c r="K17" i="2"/>
  <c r="Z21" i="14" s="1"/>
  <c r="D23" i="7"/>
  <c r="J42" i="2"/>
  <c r="Q42" i="2"/>
  <c r="R42" i="2"/>
  <c r="R17" i="2"/>
  <c r="Z33" i="14" s="1"/>
  <c r="Y42" i="2"/>
  <c r="X42" i="2"/>
  <c r="AB42" i="2"/>
  <c r="R52" i="4" s="1"/>
  <c r="X17" i="2"/>
  <c r="Y45" i="14" s="1"/>
  <c r="Y17" i="2"/>
  <c r="Z45" i="14" s="1"/>
  <c r="AE42" i="2"/>
  <c r="AF42" i="2"/>
  <c r="AF17" i="2"/>
  <c r="Z57" i="14" s="1"/>
  <c r="AF13" i="5"/>
  <c r="AV13" i="13"/>
  <c r="K41" i="2"/>
  <c r="K16" i="2"/>
  <c r="Z20" i="14" s="1"/>
  <c r="D22" i="7"/>
  <c r="J41" i="2"/>
  <c r="Q41" i="2"/>
  <c r="R41" i="2"/>
  <c r="R16" i="2"/>
  <c r="Z32" i="14" s="1"/>
  <c r="Y41" i="2"/>
  <c r="X41" i="2"/>
  <c r="AB41" i="2"/>
  <c r="R51" i="4" s="1"/>
  <c r="X16" i="2"/>
  <c r="Y44" i="14" s="1"/>
  <c r="Y16" i="2"/>
  <c r="Z44" i="14" s="1"/>
  <c r="AE41" i="2"/>
  <c r="AF41" i="2"/>
  <c r="AF16" i="2"/>
  <c r="Z56" i="14" s="1"/>
  <c r="AF12" i="5"/>
  <c r="AV12" i="13"/>
  <c r="K40" i="2"/>
  <c r="K15" i="2"/>
  <c r="Z19" i="14" s="1"/>
  <c r="D21" i="7"/>
  <c r="J40" i="2"/>
  <c r="Q40" i="2"/>
  <c r="R40" i="2"/>
  <c r="R15" i="2"/>
  <c r="Z31" i="14" s="1"/>
  <c r="Y40" i="2"/>
  <c r="X40" i="2"/>
  <c r="AB40" i="2"/>
  <c r="R50" i="4" s="1"/>
  <c r="X15" i="2"/>
  <c r="Y43" i="14" s="1"/>
  <c r="Y15" i="2"/>
  <c r="Z43" i="14" s="1"/>
  <c r="AE40" i="2"/>
  <c r="AF40" i="2"/>
  <c r="AF15" i="2"/>
  <c r="Z55" i="14" s="1"/>
  <c r="AF11" i="5"/>
  <c r="AV11" i="13"/>
  <c r="K39" i="2"/>
  <c r="K14" i="2"/>
  <c r="Z18" i="14" s="1"/>
  <c r="D20" i="7"/>
  <c r="J39" i="2"/>
  <c r="Q39" i="2"/>
  <c r="R39" i="2"/>
  <c r="R14" i="2"/>
  <c r="Z30" i="14" s="1"/>
  <c r="Y39" i="2"/>
  <c r="X39" i="2"/>
  <c r="AB39" i="2"/>
  <c r="R49" i="4" s="1"/>
  <c r="X14" i="2"/>
  <c r="Y42" i="14" s="1"/>
  <c r="Y14" i="2"/>
  <c r="Z42" i="14" s="1"/>
  <c r="AE39" i="2"/>
  <c r="AF39" i="2"/>
  <c r="AF14" i="2"/>
  <c r="Z54" i="14" s="1"/>
  <c r="AF10" i="5"/>
  <c r="AV10" i="13"/>
  <c r="K38" i="2"/>
  <c r="K13" i="2"/>
  <c r="Z17" i="14" s="1"/>
  <c r="D19" i="7"/>
  <c r="J38" i="2"/>
  <c r="Q38" i="2"/>
  <c r="R38" i="2"/>
  <c r="R13" i="2"/>
  <c r="Z29" i="14" s="1"/>
  <c r="Y38" i="2"/>
  <c r="X38" i="2"/>
  <c r="AB38" i="2"/>
  <c r="R48" i="4" s="1"/>
  <c r="X13" i="2"/>
  <c r="Y41" i="14" s="1"/>
  <c r="Y13" i="2"/>
  <c r="Z41" i="14" s="1"/>
  <c r="AE38" i="2"/>
  <c r="AF38" i="2"/>
  <c r="AF13" i="2"/>
  <c r="Z53" i="14" s="1"/>
  <c r="AF9" i="5"/>
  <c r="AV9" i="13"/>
  <c r="K37" i="2"/>
  <c r="K12" i="2"/>
  <c r="Z16" i="14" s="1"/>
  <c r="D18" i="7"/>
  <c r="J37" i="2"/>
  <c r="Q37" i="2"/>
  <c r="R37" i="2"/>
  <c r="R12" i="2"/>
  <c r="Z28" i="14" s="1"/>
  <c r="Y37" i="2"/>
  <c r="X37" i="2"/>
  <c r="AB37" i="2"/>
  <c r="R47" i="4" s="1"/>
  <c r="X12" i="2"/>
  <c r="Y40" i="14" s="1"/>
  <c r="Y12" i="2"/>
  <c r="Z40" i="14" s="1"/>
  <c r="AE37" i="2"/>
  <c r="AF37" i="2"/>
  <c r="AF12" i="2"/>
  <c r="Z52" i="14" s="1"/>
  <c r="AF8" i="5"/>
  <c r="AV8" i="13"/>
  <c r="K36" i="2"/>
  <c r="K11" i="2"/>
  <c r="Z15" i="14" s="1"/>
  <c r="D17" i="7"/>
  <c r="J36" i="2"/>
  <c r="Q36" i="2"/>
  <c r="R36" i="2"/>
  <c r="R11" i="2"/>
  <c r="Z27" i="14" s="1"/>
  <c r="Y36" i="2"/>
  <c r="X36" i="2"/>
  <c r="AB36" i="2"/>
  <c r="R46" i="4" s="1"/>
  <c r="X11" i="2"/>
  <c r="Y39" i="14" s="1"/>
  <c r="Y11" i="2"/>
  <c r="Z39" i="14" s="1"/>
  <c r="AE36" i="2"/>
  <c r="AF36" i="2"/>
  <c r="AF11" i="2"/>
  <c r="Z51" i="14" s="1"/>
  <c r="AF7" i="5"/>
  <c r="AV7" i="13"/>
  <c r="K35" i="2"/>
  <c r="K10" i="2" s="1"/>
  <c r="Z14" i="14" s="1"/>
  <c r="L47" i="2"/>
  <c r="M47" i="2"/>
  <c r="J35" i="2"/>
  <c r="J10" i="2" s="1"/>
  <c r="Y14" i="14" s="1"/>
  <c r="N35" i="2"/>
  <c r="H45" i="4" s="1"/>
  <c r="L22" i="2"/>
  <c r="M22" i="2"/>
  <c r="R35" i="2"/>
  <c r="S47" i="2"/>
  <c r="T47" i="2"/>
  <c r="Q35" i="2"/>
  <c r="U35" i="2"/>
  <c r="M45" i="4" s="1"/>
  <c r="S22" i="2"/>
  <c r="T22" i="2"/>
  <c r="Y35" i="2"/>
  <c r="AB35" i="2"/>
  <c r="R45" i="4" s="1"/>
  <c r="Z47" i="2"/>
  <c r="AA47" i="2"/>
  <c r="X47" i="2"/>
  <c r="Z22" i="2"/>
  <c r="AA22" i="2"/>
  <c r="AF35" i="2"/>
  <c r="AF10" i="2"/>
  <c r="Z50" i="14" s="1"/>
  <c r="AE35" i="2"/>
  <c r="AI35" i="2"/>
  <c r="W45" i="4" s="1"/>
  <c r="D35" i="2"/>
  <c r="E47" i="2"/>
  <c r="F47" i="2"/>
  <c r="C35" i="2"/>
  <c r="C10" i="2" s="1"/>
  <c r="G47" i="1"/>
  <c r="E22" i="2"/>
  <c r="F22" i="2"/>
  <c r="H47" i="1"/>
  <c r="I47" i="1"/>
  <c r="J47" i="1"/>
  <c r="K47" i="1"/>
  <c r="M47" i="1"/>
  <c r="N47" i="1"/>
  <c r="O47" i="1"/>
  <c r="P47" i="1"/>
  <c r="Q47" i="1"/>
  <c r="S47" i="1"/>
  <c r="T47" i="1"/>
  <c r="U47" i="1"/>
  <c r="V47" i="1"/>
  <c r="W47" i="1"/>
  <c r="P21" i="1"/>
  <c r="O21" i="1"/>
  <c r="U20" i="1"/>
  <c r="N21" i="1"/>
  <c r="T20" i="1"/>
  <c r="M21" i="1"/>
  <c r="L21" i="1"/>
  <c r="S20" i="1"/>
  <c r="P22" i="1"/>
  <c r="O22" i="1"/>
  <c r="U21" i="1"/>
  <c r="N22" i="1"/>
  <c r="T21" i="1"/>
  <c r="M22" i="1"/>
  <c r="L22" i="1"/>
  <c r="S21" i="1"/>
  <c r="P23" i="1"/>
  <c r="O23" i="1"/>
  <c r="U22" i="1"/>
  <c r="N23" i="1"/>
  <c r="T22" i="1"/>
  <c r="M23" i="1"/>
  <c r="L23" i="1"/>
  <c r="S22" i="1"/>
  <c r="P24" i="1"/>
  <c r="O24" i="1"/>
  <c r="U23" i="1"/>
  <c r="N24" i="1"/>
  <c r="T23" i="1"/>
  <c r="M24" i="1"/>
  <c r="L24" i="1"/>
  <c r="S23" i="1"/>
  <c r="V25" i="1"/>
  <c r="P25" i="1"/>
  <c r="O25" i="1"/>
  <c r="U24" i="1"/>
  <c r="N25" i="1"/>
  <c r="T24" i="1"/>
  <c r="M25" i="1"/>
  <c r="L25" i="1"/>
  <c r="S24" i="1"/>
  <c r="AG18" i="5"/>
  <c r="AW6" i="13"/>
  <c r="AW18" i="13"/>
  <c r="AH18" i="5"/>
  <c r="AX6" i="13"/>
  <c r="AX18" i="13"/>
  <c r="V18" i="13"/>
  <c r="D3" i="10"/>
  <c r="AG18" i="13"/>
  <c r="D20" i="10"/>
  <c r="D32" i="10"/>
  <c r="AR18" i="13"/>
  <c r="D37" i="10"/>
  <c r="D49" i="10"/>
  <c r="G35" i="2"/>
  <c r="AE11" i="2"/>
  <c r="Y51" i="14" s="1"/>
  <c r="AI36" i="2"/>
  <c r="W46" i="4" s="1"/>
  <c r="P9" i="12"/>
  <c r="P17" i="7"/>
  <c r="D36" i="11"/>
  <c r="O17" i="7"/>
  <c r="C36" i="11"/>
  <c r="O9" i="12"/>
  <c r="G36" i="11"/>
  <c r="AB11" i="2"/>
  <c r="J9" i="12"/>
  <c r="J17" i="7"/>
  <c r="Q11" i="2"/>
  <c r="Y27" i="14" s="1"/>
  <c r="U36" i="2"/>
  <c r="M46" i="4" s="1"/>
  <c r="J11" i="2"/>
  <c r="Y15" i="14" s="1"/>
  <c r="N11" i="2"/>
  <c r="N36" i="2"/>
  <c r="H46" i="4" s="1"/>
  <c r="AE12" i="2"/>
  <c r="Y52" i="14" s="1"/>
  <c r="AI37" i="2"/>
  <c r="W47" i="4" s="1"/>
  <c r="P10" i="12"/>
  <c r="P18" i="7"/>
  <c r="D37" i="11"/>
  <c r="O18" i="7"/>
  <c r="C37" i="11"/>
  <c r="O10" i="12"/>
  <c r="G37" i="11"/>
  <c r="AB12" i="2"/>
  <c r="J10" i="12"/>
  <c r="J18" i="7"/>
  <c r="Q12" i="2"/>
  <c r="Y28" i="14" s="1"/>
  <c r="U37" i="2"/>
  <c r="M47" i="4" s="1"/>
  <c r="J12" i="2"/>
  <c r="Y16" i="14" s="1"/>
  <c r="N12" i="2"/>
  <c r="N37" i="2"/>
  <c r="H47" i="4" s="1"/>
  <c r="AE13" i="2"/>
  <c r="Y53" i="14" s="1"/>
  <c r="AI38" i="2"/>
  <c r="W48" i="4" s="1"/>
  <c r="P11" i="12"/>
  <c r="P19" i="7"/>
  <c r="D38" i="11"/>
  <c r="O19" i="7"/>
  <c r="C38" i="11"/>
  <c r="O11" i="12"/>
  <c r="G38" i="11"/>
  <c r="AB13" i="2"/>
  <c r="J11" i="12"/>
  <c r="J19" i="7"/>
  <c r="Q13" i="2"/>
  <c r="Y29" i="14" s="1"/>
  <c r="U38" i="2"/>
  <c r="M48" i="4" s="1"/>
  <c r="J13" i="2"/>
  <c r="Y17" i="14" s="1"/>
  <c r="N13" i="2"/>
  <c r="N38" i="2"/>
  <c r="H48" i="4" s="1"/>
  <c r="AE14" i="2"/>
  <c r="Y54" i="14" s="1"/>
  <c r="AI39" i="2"/>
  <c r="W49" i="4" s="1"/>
  <c r="P12" i="12"/>
  <c r="P20" i="7"/>
  <c r="D39" i="11"/>
  <c r="O20" i="7"/>
  <c r="C39" i="11"/>
  <c r="O12" i="12"/>
  <c r="G39" i="11"/>
  <c r="AB14" i="2"/>
  <c r="J12" i="12"/>
  <c r="J20" i="7"/>
  <c r="Q14" i="2"/>
  <c r="Y30" i="14" s="1"/>
  <c r="U39" i="2"/>
  <c r="M49" i="4" s="1"/>
  <c r="J14" i="2"/>
  <c r="Y18" i="14" s="1"/>
  <c r="N14" i="2"/>
  <c r="N39" i="2"/>
  <c r="H49" i="4" s="1"/>
  <c r="AE15" i="2"/>
  <c r="Y55" i="14" s="1"/>
  <c r="AI40" i="2"/>
  <c r="W50" i="4" s="1"/>
  <c r="P13" i="12"/>
  <c r="P21" i="7"/>
  <c r="D40" i="11"/>
  <c r="O21" i="7"/>
  <c r="C40" i="11"/>
  <c r="O13" i="12"/>
  <c r="G40" i="11"/>
  <c r="AB15" i="2"/>
  <c r="J13" i="12"/>
  <c r="J21" i="7"/>
  <c r="Q15" i="2"/>
  <c r="Y31" i="14" s="1"/>
  <c r="U40" i="2"/>
  <c r="M50" i="4" s="1"/>
  <c r="J15" i="2"/>
  <c r="Y19" i="14" s="1"/>
  <c r="N15" i="2"/>
  <c r="N40" i="2"/>
  <c r="H50" i="4" s="1"/>
  <c r="AE16" i="2"/>
  <c r="Y56" i="14" s="1"/>
  <c r="AI41" i="2"/>
  <c r="W51" i="4" s="1"/>
  <c r="P14" i="12"/>
  <c r="P22" i="7"/>
  <c r="D41" i="11"/>
  <c r="O22" i="7"/>
  <c r="C41" i="11"/>
  <c r="O14" i="12"/>
  <c r="G41" i="11"/>
  <c r="AB16" i="2"/>
  <c r="J14" i="12"/>
  <c r="J22" i="7"/>
  <c r="Q16" i="2"/>
  <c r="Y32" i="14" s="1"/>
  <c r="U41" i="2"/>
  <c r="M51" i="4" s="1"/>
  <c r="J16" i="2"/>
  <c r="Y20" i="14" s="1"/>
  <c r="N16" i="2"/>
  <c r="N41" i="2"/>
  <c r="H51" i="4" s="1"/>
  <c r="AE17" i="2"/>
  <c r="Y57" i="14" s="1"/>
  <c r="AI42" i="2"/>
  <c r="W52" i="4" s="1"/>
  <c r="P15" i="12"/>
  <c r="P23" i="7"/>
  <c r="D42" i="11"/>
  <c r="O23" i="7"/>
  <c r="C42" i="11"/>
  <c r="O15" i="12"/>
  <c r="G42" i="11"/>
  <c r="AB17" i="2"/>
  <c r="J15" i="12"/>
  <c r="J23" i="7"/>
  <c r="Q17" i="2"/>
  <c r="Y33" i="14" s="1"/>
  <c r="U42" i="2"/>
  <c r="M52" i="4" s="1"/>
  <c r="J17" i="2"/>
  <c r="Y21" i="14" s="1"/>
  <c r="N17" i="2"/>
  <c r="N42" i="2"/>
  <c r="H52" i="4" s="1"/>
  <c r="AE18" i="2"/>
  <c r="Y58" i="14" s="1"/>
  <c r="AI43" i="2"/>
  <c r="W53" i="4" s="1"/>
  <c r="P16" i="12"/>
  <c r="P24" i="7"/>
  <c r="D43" i="11"/>
  <c r="O24" i="7"/>
  <c r="C43" i="11"/>
  <c r="O16" i="12"/>
  <c r="G43" i="11"/>
  <c r="AB18" i="2"/>
  <c r="J16" i="12"/>
  <c r="J24" i="7"/>
  <c r="Q18" i="2"/>
  <c r="Y34" i="14" s="1"/>
  <c r="U43" i="2"/>
  <c r="M53" i="4" s="1"/>
  <c r="J18" i="2"/>
  <c r="Y22" i="14" s="1"/>
  <c r="N18" i="2"/>
  <c r="N43" i="2"/>
  <c r="H53" i="4" s="1"/>
  <c r="AE19" i="2"/>
  <c r="Y59" i="14" s="1"/>
  <c r="AI44" i="2"/>
  <c r="W54" i="4" s="1"/>
  <c r="P17" i="12"/>
  <c r="P25" i="7"/>
  <c r="D44" i="11"/>
  <c r="O25" i="7"/>
  <c r="C44" i="11"/>
  <c r="O17" i="12"/>
  <c r="G44" i="11"/>
  <c r="AB19" i="2"/>
  <c r="J17" i="12"/>
  <c r="J25" i="7"/>
  <c r="Q19" i="2"/>
  <c r="Y35" i="14" s="1"/>
  <c r="U44" i="2"/>
  <c r="M54" i="4" s="1"/>
  <c r="J19" i="2"/>
  <c r="Y23" i="14" s="1"/>
  <c r="N19" i="2"/>
  <c r="N44" i="2"/>
  <c r="H54" i="4" s="1"/>
  <c r="AE20" i="2"/>
  <c r="Y60" i="14" s="1"/>
  <c r="AI45" i="2"/>
  <c r="W55" i="4" s="1"/>
  <c r="P18" i="12"/>
  <c r="P26" i="7"/>
  <c r="D45" i="11"/>
  <c r="O26" i="7"/>
  <c r="C45" i="11"/>
  <c r="O18" i="12"/>
  <c r="G45" i="11"/>
  <c r="AB20" i="2"/>
  <c r="J18" i="12"/>
  <c r="J26" i="7"/>
  <c r="Q20" i="2"/>
  <c r="Y36" i="14" s="1"/>
  <c r="U45" i="2"/>
  <c r="M55" i="4" s="1"/>
  <c r="J20" i="2"/>
  <c r="Y24" i="14" s="1"/>
  <c r="N20" i="2"/>
  <c r="N45" i="2"/>
  <c r="H55" i="4" s="1"/>
  <c r="AE21" i="2"/>
  <c r="Y61" i="14" s="1"/>
  <c r="AI46" i="2"/>
  <c r="W56" i="4" s="1"/>
  <c r="P19" i="12"/>
  <c r="P27" i="7"/>
  <c r="D46" i="11"/>
  <c r="O27" i="7"/>
  <c r="C46" i="11"/>
  <c r="O19" i="12"/>
  <c r="G46" i="11"/>
  <c r="AB21" i="2"/>
  <c r="J19" i="12"/>
  <c r="J27" i="7"/>
  <c r="Q21" i="2"/>
  <c r="Y37" i="14" s="1"/>
  <c r="U46" i="2"/>
  <c r="M56" i="4" s="1"/>
  <c r="J21" i="2"/>
  <c r="Y25" i="14" s="1"/>
  <c r="N21" i="2"/>
  <c r="N46" i="2"/>
  <c r="H56" i="4" s="1"/>
  <c r="R8" i="12"/>
  <c r="R20" i="12"/>
  <c r="F19" i="11"/>
  <c r="F31" i="11"/>
  <c r="L28" i="7"/>
  <c r="F3" i="11"/>
  <c r="F15" i="11"/>
  <c r="F28" i="7"/>
  <c r="E19" i="11"/>
  <c r="E31" i="11"/>
  <c r="K28" i="7"/>
  <c r="X6" i="5"/>
  <c r="AJ6" i="13"/>
  <c r="D9" i="12"/>
  <c r="D7" i="5"/>
  <c r="D7" i="13"/>
  <c r="C11" i="2"/>
  <c r="Y3" i="14" s="1"/>
  <c r="G36" i="2"/>
  <c r="C46" i="4" s="1"/>
  <c r="D10" i="12"/>
  <c r="D8" i="5"/>
  <c r="D8" i="13"/>
  <c r="C12" i="2"/>
  <c r="Y4" i="14" s="1"/>
  <c r="G37" i="2"/>
  <c r="C47" i="4" s="1"/>
  <c r="D11" i="12"/>
  <c r="D9" i="5"/>
  <c r="D9" i="13"/>
  <c r="C13" i="2"/>
  <c r="Y5" i="14" s="1"/>
  <c r="G38" i="2"/>
  <c r="C48" i="4" s="1"/>
  <c r="D12" i="12"/>
  <c r="D10" i="5"/>
  <c r="D10" i="13"/>
  <c r="C14" i="2"/>
  <c r="Y6" i="14" s="1"/>
  <c r="G39" i="2"/>
  <c r="C49" i="4" s="1"/>
  <c r="D13" i="12"/>
  <c r="D11" i="5"/>
  <c r="D11" i="13"/>
  <c r="C15" i="2"/>
  <c r="Y7" i="14" s="1"/>
  <c r="G40" i="2"/>
  <c r="C50" i="4" s="1"/>
  <c r="D14" i="12"/>
  <c r="D12" i="5"/>
  <c r="D12" i="13"/>
  <c r="C16" i="2"/>
  <c r="Y8" i="14" s="1"/>
  <c r="G41" i="2"/>
  <c r="C51" i="4" s="1"/>
  <c r="D15" i="12"/>
  <c r="D13" i="5"/>
  <c r="D13" i="13"/>
  <c r="C17" i="2"/>
  <c r="Y9" i="14" s="1"/>
  <c r="G42" i="2"/>
  <c r="C52" i="4" s="1"/>
  <c r="D16" i="12"/>
  <c r="D14" i="5"/>
  <c r="D14" i="13"/>
  <c r="C18" i="2"/>
  <c r="Y10" i="14" s="1"/>
  <c r="G43" i="2"/>
  <c r="C53" i="4" s="1"/>
  <c r="D17" i="12"/>
  <c r="D15" i="5"/>
  <c r="D15" i="13"/>
  <c r="C19" i="2"/>
  <c r="Y11" i="14" s="1"/>
  <c r="G44" i="2"/>
  <c r="C54" i="4" s="1"/>
  <c r="D18" i="12"/>
  <c r="D16" i="5"/>
  <c r="D16" i="13"/>
  <c r="C20" i="2"/>
  <c r="Y12" i="14" s="1"/>
  <c r="G45" i="2"/>
  <c r="C55" i="4" s="1"/>
  <c r="D19" i="12"/>
  <c r="D17" i="5"/>
  <c r="D17" i="13"/>
  <c r="C21" i="2"/>
  <c r="Y13" i="14" s="1"/>
  <c r="G46" i="2"/>
  <c r="C56" i="4" s="1"/>
  <c r="C47" i="2"/>
  <c r="D47" i="2"/>
  <c r="D10" i="2"/>
  <c r="Z2" i="14" s="1"/>
  <c r="AE47" i="2"/>
  <c r="AF25" i="2"/>
  <c r="AE10" i="2"/>
  <c r="Y50" i="14" s="1"/>
  <c r="AF6" i="5"/>
  <c r="AF22" i="2"/>
  <c r="Y47" i="2"/>
  <c r="AB47" i="2"/>
  <c r="Y10" i="2"/>
  <c r="Z38" i="14" s="1"/>
  <c r="Q47" i="2"/>
  <c r="Q10" i="2"/>
  <c r="R47" i="2"/>
  <c r="R10" i="2"/>
  <c r="Z26" i="14" s="1"/>
  <c r="J47" i="2"/>
  <c r="K47" i="2"/>
  <c r="Y7" i="5"/>
  <c r="P17" i="6" s="1"/>
  <c r="AK7" i="13"/>
  <c r="F38" i="10"/>
  <c r="X7" i="5"/>
  <c r="AJ7" i="13"/>
  <c r="R7" i="5"/>
  <c r="J17" i="6" s="1"/>
  <c r="Z7" i="13"/>
  <c r="D20" i="11"/>
  <c r="F21" i="10"/>
  <c r="Q7" i="5"/>
  <c r="I17" i="6" s="1"/>
  <c r="J7" i="5"/>
  <c r="N7" i="13"/>
  <c r="K7" i="5"/>
  <c r="O7" i="13"/>
  <c r="D4" i="11"/>
  <c r="Y8" i="5"/>
  <c r="P18" i="6" s="1"/>
  <c r="AK8" i="13"/>
  <c r="F39" i="10"/>
  <c r="X8" i="5"/>
  <c r="R8" i="5"/>
  <c r="J18" i="6" s="1"/>
  <c r="Z8" i="13"/>
  <c r="D21" i="11"/>
  <c r="F22" i="10"/>
  <c r="Q8" i="5"/>
  <c r="I18" i="6" s="1"/>
  <c r="J8" i="5"/>
  <c r="N8" i="13"/>
  <c r="K8" i="5"/>
  <c r="O8" i="13"/>
  <c r="D5" i="11"/>
  <c r="Y9" i="5"/>
  <c r="P19" i="6" s="1"/>
  <c r="AK9" i="13"/>
  <c r="F40" i="10"/>
  <c r="X9" i="5"/>
  <c r="R9" i="5"/>
  <c r="J19" i="6" s="1"/>
  <c r="Z9" i="13"/>
  <c r="D22" i="11"/>
  <c r="F23" i="10"/>
  <c r="Q9" i="5"/>
  <c r="I19" i="6" s="1"/>
  <c r="J9" i="5"/>
  <c r="N9" i="13"/>
  <c r="K9" i="5"/>
  <c r="O9" i="13"/>
  <c r="D6" i="11"/>
  <c r="Y10" i="5"/>
  <c r="P20" i="6" s="1"/>
  <c r="AK10" i="13"/>
  <c r="F41" i="10"/>
  <c r="X10" i="5"/>
  <c r="R10" i="5"/>
  <c r="J20" i="6" s="1"/>
  <c r="Z10" i="13"/>
  <c r="D23" i="11"/>
  <c r="F24" i="10"/>
  <c r="Q10" i="5"/>
  <c r="I20" i="6" s="1"/>
  <c r="J10" i="5"/>
  <c r="N10" i="13"/>
  <c r="K10" i="5"/>
  <c r="O10" i="13"/>
  <c r="D7" i="11"/>
  <c r="Y11" i="5"/>
  <c r="P21" i="6" s="1"/>
  <c r="AK11" i="13"/>
  <c r="F42" i="10"/>
  <c r="X11" i="5"/>
  <c r="R11" i="5"/>
  <c r="J21" i="6" s="1"/>
  <c r="Z11" i="13"/>
  <c r="D24" i="11"/>
  <c r="F25" i="10"/>
  <c r="Q11" i="5"/>
  <c r="I21" i="6" s="1"/>
  <c r="J11" i="5"/>
  <c r="N11" i="13"/>
  <c r="K11" i="5"/>
  <c r="O11" i="13"/>
  <c r="D8" i="11"/>
  <c r="Y12" i="5"/>
  <c r="P22" i="6" s="1"/>
  <c r="AK12" i="13"/>
  <c r="F43" i="10"/>
  <c r="X12" i="5"/>
  <c r="R12" i="5"/>
  <c r="J22" i="6" s="1"/>
  <c r="Z12" i="13"/>
  <c r="D25" i="11"/>
  <c r="F26" i="10"/>
  <c r="Q12" i="5"/>
  <c r="I22" i="6" s="1"/>
  <c r="J12" i="5"/>
  <c r="N12" i="13"/>
  <c r="K12" i="5"/>
  <c r="O12" i="13"/>
  <c r="D9" i="11"/>
  <c r="Y13" i="5"/>
  <c r="P23" i="6" s="1"/>
  <c r="AK13" i="13"/>
  <c r="F44" i="10"/>
  <c r="X13" i="5"/>
  <c r="R13" i="5"/>
  <c r="J23" i="6" s="1"/>
  <c r="Z13" i="13"/>
  <c r="D26" i="11"/>
  <c r="F27" i="10"/>
  <c r="Q13" i="5"/>
  <c r="I23" i="6" s="1"/>
  <c r="J13" i="5"/>
  <c r="N13" i="13"/>
  <c r="K13" i="5"/>
  <c r="O13" i="13"/>
  <c r="D10" i="11"/>
  <c r="Y14" i="5"/>
  <c r="P24" i="6" s="1"/>
  <c r="AK14" i="13"/>
  <c r="F45" i="10"/>
  <c r="X14" i="5"/>
  <c r="R14" i="5"/>
  <c r="J24" i="6" s="1"/>
  <c r="Z14" i="13"/>
  <c r="D27" i="11"/>
  <c r="F28" i="10"/>
  <c r="Q14" i="5"/>
  <c r="I24" i="6" s="1"/>
  <c r="J14" i="5"/>
  <c r="N14" i="13"/>
  <c r="K14" i="5"/>
  <c r="O14" i="13"/>
  <c r="D11" i="11"/>
  <c r="Y15" i="5"/>
  <c r="P25" i="6" s="1"/>
  <c r="AK15" i="13"/>
  <c r="F46" i="10"/>
  <c r="X15" i="5"/>
  <c r="R15" i="5"/>
  <c r="J25" i="6" s="1"/>
  <c r="Z15" i="13"/>
  <c r="D28" i="11"/>
  <c r="F29" i="10"/>
  <c r="Q15" i="5"/>
  <c r="I25" i="6" s="1"/>
  <c r="J15" i="5"/>
  <c r="N15" i="13"/>
  <c r="K15" i="5"/>
  <c r="O15" i="13"/>
  <c r="D12" i="11"/>
  <c r="Y16" i="5"/>
  <c r="P26" i="6" s="1"/>
  <c r="AK16" i="13"/>
  <c r="F47" i="10"/>
  <c r="X16" i="5"/>
  <c r="R16" i="5"/>
  <c r="J26" i="6" s="1"/>
  <c r="Z16" i="13"/>
  <c r="D29" i="11"/>
  <c r="F30" i="10"/>
  <c r="Q16" i="5"/>
  <c r="I26" i="6" s="1"/>
  <c r="J16" i="5"/>
  <c r="N16" i="13"/>
  <c r="K16" i="5"/>
  <c r="O16" i="13"/>
  <c r="D13" i="11"/>
  <c r="Y17" i="5"/>
  <c r="P27" i="6" s="1"/>
  <c r="AK17" i="13"/>
  <c r="F48" i="10"/>
  <c r="X17" i="5"/>
  <c r="R17" i="5"/>
  <c r="J27" i="6" s="1"/>
  <c r="Z17" i="13"/>
  <c r="D30" i="11"/>
  <c r="F31" i="10"/>
  <c r="Q17" i="5"/>
  <c r="I27" i="6" s="1"/>
  <c r="J17" i="5"/>
  <c r="N17" i="13"/>
  <c r="K17" i="5"/>
  <c r="O17" i="13"/>
  <c r="D14" i="11"/>
  <c r="AH47" i="2"/>
  <c r="AG47" i="2"/>
  <c r="AF47" i="2"/>
  <c r="AE25" i="2"/>
  <c r="AF21" i="5"/>
  <c r="Y25" i="2"/>
  <c r="R25" i="2"/>
  <c r="K25" i="2"/>
  <c r="D25" i="2"/>
  <c r="AM11" i="2"/>
  <c r="D22" i="2"/>
  <c r="X25" i="2"/>
  <c r="X22" i="2"/>
  <c r="Q22" i="2"/>
  <c r="J25" i="2"/>
  <c r="J22" i="2"/>
  <c r="C25" i="2"/>
  <c r="S25" i="1"/>
  <c r="T25" i="1"/>
  <c r="U25" i="1"/>
  <c r="D15" i="10"/>
  <c r="U17" i="5"/>
  <c r="Y17" i="13"/>
  <c r="AB17" i="5"/>
  <c r="AJ17" i="13"/>
  <c r="U16" i="5"/>
  <c r="Y16" i="13"/>
  <c r="AB16" i="5"/>
  <c r="AJ16" i="13"/>
  <c r="U15" i="5"/>
  <c r="Y15" i="13"/>
  <c r="AB15" i="5"/>
  <c r="AJ15" i="13"/>
  <c r="U14" i="5"/>
  <c r="Y14" i="13"/>
  <c r="AB14" i="5"/>
  <c r="AJ14" i="13"/>
  <c r="U13" i="5"/>
  <c r="Y13" i="13"/>
  <c r="AB13" i="5"/>
  <c r="AJ13" i="13"/>
  <c r="U12" i="5"/>
  <c r="Y12" i="13"/>
  <c r="AB12" i="5"/>
  <c r="AJ12" i="13"/>
  <c r="U11" i="5"/>
  <c r="Y11" i="13"/>
  <c r="AB11" i="5"/>
  <c r="AJ11" i="13"/>
  <c r="U10" i="5"/>
  <c r="Y10" i="13"/>
  <c r="AB10" i="5"/>
  <c r="AJ10" i="13"/>
  <c r="U9" i="5"/>
  <c r="Y9" i="13"/>
  <c r="AB9" i="5"/>
  <c r="AJ9" i="13"/>
  <c r="U8" i="5"/>
  <c r="Y8" i="13"/>
  <c r="AB8" i="5"/>
  <c r="AJ8" i="13"/>
  <c r="U7" i="5"/>
  <c r="Y7" i="13"/>
  <c r="AF18" i="5"/>
  <c r="AV6" i="13"/>
  <c r="AV18" i="13"/>
  <c r="AJ18" i="13"/>
  <c r="AI47" i="2"/>
  <c r="J6" i="5"/>
  <c r="N6" i="13"/>
  <c r="N18" i="13"/>
  <c r="N10" i="2"/>
  <c r="N47" i="2"/>
  <c r="J8" i="12"/>
  <c r="J20" i="12"/>
  <c r="J16" i="7"/>
  <c r="I8" i="12"/>
  <c r="G19" i="11" s="1"/>
  <c r="U10" i="2"/>
  <c r="U47" i="2"/>
  <c r="P8" i="12"/>
  <c r="P20" i="12"/>
  <c r="P16" i="7"/>
  <c r="D35" i="11"/>
  <c r="D47" i="11"/>
  <c r="AB10" i="2"/>
  <c r="AI10" i="2"/>
  <c r="O16" i="7"/>
  <c r="C35" i="11"/>
  <c r="O8" i="12"/>
  <c r="D8" i="12"/>
  <c r="D20" i="12"/>
  <c r="D16" i="7"/>
  <c r="D3" i="11"/>
  <c r="G47" i="2"/>
  <c r="C27" i="7"/>
  <c r="C14" i="11"/>
  <c r="C19" i="12"/>
  <c r="G14" i="11"/>
  <c r="G21" i="2"/>
  <c r="C17" i="5"/>
  <c r="C27" i="6" s="1"/>
  <c r="E14" i="10" s="1"/>
  <c r="C26" i="7"/>
  <c r="C13" i="11"/>
  <c r="C18" i="12"/>
  <c r="G13" i="11"/>
  <c r="G20" i="2"/>
  <c r="C16" i="5"/>
  <c r="C26" i="6" s="1"/>
  <c r="E13" i="10" s="1"/>
  <c r="C25" i="7"/>
  <c r="C12" i="11"/>
  <c r="C17" i="12"/>
  <c r="G12" i="11"/>
  <c r="G19" i="2"/>
  <c r="C15" i="5"/>
  <c r="C25" i="6" s="1"/>
  <c r="E12" i="10" s="1"/>
  <c r="C24" i="7"/>
  <c r="C11" i="11"/>
  <c r="C16" i="12"/>
  <c r="G11" i="11"/>
  <c r="G18" i="2"/>
  <c r="C14" i="5"/>
  <c r="C24" i="6" s="1"/>
  <c r="E11" i="10" s="1"/>
  <c r="C23" i="7"/>
  <c r="C10" i="11"/>
  <c r="C15" i="12"/>
  <c r="G10" i="11"/>
  <c r="G17" i="2"/>
  <c r="C13" i="5"/>
  <c r="C23" i="6" s="1"/>
  <c r="E10" i="10" s="1"/>
  <c r="C22" i="7"/>
  <c r="C9" i="11"/>
  <c r="C14" i="12"/>
  <c r="G9" i="11"/>
  <c r="G16" i="2"/>
  <c r="C12" i="5"/>
  <c r="C22" i="6" s="1"/>
  <c r="E9" i="10" s="1"/>
  <c r="C21" i="7"/>
  <c r="C8" i="11"/>
  <c r="C13" i="12"/>
  <c r="G8" i="11"/>
  <c r="G15" i="2"/>
  <c r="C11" i="5"/>
  <c r="C21" i="6" s="1"/>
  <c r="E8" i="10" s="1"/>
  <c r="C20" i="7"/>
  <c r="C7" i="11"/>
  <c r="C12" i="12"/>
  <c r="G7" i="11"/>
  <c r="G14" i="2"/>
  <c r="C10" i="5"/>
  <c r="C20" i="6" s="1"/>
  <c r="E7" i="10" s="1"/>
  <c r="C19" i="7"/>
  <c r="C6" i="11"/>
  <c r="C11" i="12"/>
  <c r="G6" i="11"/>
  <c r="G13" i="2"/>
  <c r="C9" i="5"/>
  <c r="C19" i="6" s="1"/>
  <c r="E6" i="10" s="1"/>
  <c r="C18" i="7"/>
  <c r="C5" i="11"/>
  <c r="C10" i="12"/>
  <c r="G5" i="11"/>
  <c r="G12" i="2"/>
  <c r="C8" i="5"/>
  <c r="C18" i="6" s="1"/>
  <c r="E5" i="10" s="1"/>
  <c r="C17" i="7"/>
  <c r="C4" i="11"/>
  <c r="C9" i="12"/>
  <c r="G4" i="11"/>
  <c r="G11" i="2"/>
  <c r="C7" i="5"/>
  <c r="C17" i="6" s="1"/>
  <c r="E4" i="10" s="1"/>
  <c r="I27" i="7"/>
  <c r="C30" i="11"/>
  <c r="E31" i="10"/>
  <c r="I19" i="12"/>
  <c r="G30" i="11"/>
  <c r="U21" i="2"/>
  <c r="H46" i="11"/>
  <c r="AE17" i="5"/>
  <c r="AI21" i="2"/>
  <c r="I26" i="7"/>
  <c r="C29" i="11"/>
  <c r="E30" i="10"/>
  <c r="I18" i="12"/>
  <c r="G29" i="11"/>
  <c r="U20" i="2"/>
  <c r="H45" i="11"/>
  <c r="AE16" i="5"/>
  <c r="AI20" i="2"/>
  <c r="I25" i="7"/>
  <c r="C28" i="11"/>
  <c r="E29" i="10"/>
  <c r="I17" i="12"/>
  <c r="G28" i="11"/>
  <c r="U19" i="2"/>
  <c r="H44" i="11"/>
  <c r="AE15" i="5"/>
  <c r="AI19" i="2"/>
  <c r="I24" i="7"/>
  <c r="C27" i="11"/>
  <c r="E28" i="10"/>
  <c r="I16" i="12"/>
  <c r="G27" i="11"/>
  <c r="U18" i="2"/>
  <c r="H43" i="11"/>
  <c r="AE14" i="5"/>
  <c r="AI18" i="2"/>
  <c r="I23" i="7"/>
  <c r="C26" i="11"/>
  <c r="E27" i="10"/>
  <c r="I15" i="12"/>
  <c r="G26" i="11"/>
  <c r="U17" i="2"/>
  <c r="H42" i="11"/>
  <c r="AE13" i="5"/>
  <c r="AI17" i="2"/>
  <c r="I22" i="7"/>
  <c r="C25" i="11"/>
  <c r="E26" i="10"/>
  <c r="I14" i="12"/>
  <c r="G25" i="11"/>
  <c r="U16" i="2"/>
  <c r="H41" i="11"/>
  <c r="AE12" i="5"/>
  <c r="AI16" i="2"/>
  <c r="I21" i="7"/>
  <c r="C24" i="11"/>
  <c r="E25" i="10"/>
  <c r="I13" i="12"/>
  <c r="G24" i="11"/>
  <c r="U15" i="2"/>
  <c r="H40" i="11"/>
  <c r="AE11" i="5"/>
  <c r="AI15" i="2"/>
  <c r="I20" i="7"/>
  <c r="C23" i="11"/>
  <c r="E24" i="10"/>
  <c r="I12" i="12"/>
  <c r="G23" i="11"/>
  <c r="U14" i="2"/>
  <c r="H39" i="11"/>
  <c r="AE10" i="5"/>
  <c r="AI14" i="2"/>
  <c r="I19" i="7"/>
  <c r="C22" i="11"/>
  <c r="E23" i="10"/>
  <c r="I11" i="12"/>
  <c r="G22" i="11"/>
  <c r="U13" i="2"/>
  <c r="H38" i="11"/>
  <c r="AE9" i="5"/>
  <c r="AI13" i="2"/>
  <c r="I18" i="7"/>
  <c r="C21" i="11"/>
  <c r="E22" i="10"/>
  <c r="I10" i="12"/>
  <c r="G21" i="11"/>
  <c r="U12" i="2"/>
  <c r="H37" i="11"/>
  <c r="AE8" i="5"/>
  <c r="AI12" i="2"/>
  <c r="I17" i="7"/>
  <c r="C20" i="11"/>
  <c r="E21" i="10"/>
  <c r="I9" i="12"/>
  <c r="G20" i="11"/>
  <c r="U11" i="2"/>
  <c r="H36" i="11"/>
  <c r="AE7" i="5"/>
  <c r="AI11" i="2"/>
  <c r="G10" i="2"/>
  <c r="E7" i="4" s="1"/>
  <c r="E13" i="8" s="1"/>
  <c r="H14" i="11"/>
  <c r="H13" i="11"/>
  <c r="H12" i="11"/>
  <c r="H11" i="11"/>
  <c r="H10" i="11"/>
  <c r="H9" i="11"/>
  <c r="H8" i="11"/>
  <c r="H7" i="11"/>
  <c r="H6" i="11"/>
  <c r="H5" i="11"/>
  <c r="D15" i="11"/>
  <c r="H4" i="11"/>
  <c r="E25" i="2"/>
  <c r="D21" i="5"/>
  <c r="L25" i="2"/>
  <c r="K21" i="5"/>
  <c r="Z25" i="2"/>
  <c r="Y21" i="5"/>
  <c r="N17" i="5"/>
  <c r="N16" i="5"/>
  <c r="N15" i="5"/>
  <c r="N14" i="5"/>
  <c r="N13" i="5"/>
  <c r="N12" i="5"/>
  <c r="N11" i="5"/>
  <c r="N10" i="5"/>
  <c r="N9" i="5"/>
  <c r="N8" i="5"/>
  <c r="N7" i="5"/>
  <c r="AB7" i="5"/>
  <c r="X18" i="5"/>
  <c r="K6" i="5"/>
  <c r="K22" i="2"/>
  <c r="N22" i="2"/>
  <c r="N6" i="5"/>
  <c r="J21" i="5"/>
  <c r="J18" i="5"/>
  <c r="R6" i="5"/>
  <c r="J16" i="6" s="1"/>
  <c r="F20" i="10"/>
  <c r="F32" i="10"/>
  <c r="R22" i="2"/>
  <c r="U22" i="2"/>
  <c r="Q6" i="5"/>
  <c r="I16" i="6" s="1"/>
  <c r="Y6" i="13"/>
  <c r="Y18" i="13"/>
  <c r="E20" i="10"/>
  <c r="Q25" i="2"/>
  <c r="Y6" i="5"/>
  <c r="P16" i="6" s="1"/>
  <c r="AK6" i="13"/>
  <c r="AK18" i="13"/>
  <c r="P28" i="7"/>
  <c r="Y22" i="2"/>
  <c r="AB22" i="2"/>
  <c r="AE6" i="5"/>
  <c r="AU6" i="13"/>
  <c r="AE22" i="2"/>
  <c r="AI22" i="2"/>
  <c r="O28" i="7"/>
  <c r="D6" i="5"/>
  <c r="D28" i="7"/>
  <c r="C6" i="5"/>
  <c r="C6" i="13"/>
  <c r="C22" i="2"/>
  <c r="G22" i="2"/>
  <c r="AG25" i="2"/>
  <c r="AM10" i="2"/>
  <c r="I28" i="6"/>
  <c r="J28" i="6"/>
  <c r="K28" i="6"/>
  <c r="L28" i="6"/>
  <c r="D18" i="5"/>
  <c r="D6" i="13"/>
  <c r="D18" i="13"/>
  <c r="R18" i="5"/>
  <c r="Z6" i="13"/>
  <c r="Z18" i="13"/>
  <c r="AC18" i="13"/>
  <c r="AD18" i="13"/>
  <c r="H7" i="4"/>
  <c r="I7" i="4"/>
  <c r="R6" i="13"/>
  <c r="K18" i="5"/>
  <c r="N18" i="5"/>
  <c r="O6" i="13"/>
  <c r="O18" i="13"/>
  <c r="R8" i="4"/>
  <c r="S8" i="4"/>
  <c r="AN7" i="13"/>
  <c r="H8" i="4"/>
  <c r="I8" i="4"/>
  <c r="R7" i="13"/>
  <c r="H9" i="4"/>
  <c r="I9" i="4"/>
  <c r="R8" i="13"/>
  <c r="H10" i="4"/>
  <c r="I10" i="4"/>
  <c r="R9" i="13"/>
  <c r="H11" i="4"/>
  <c r="I11" i="4"/>
  <c r="R10" i="13"/>
  <c r="H12" i="4"/>
  <c r="I12" i="4"/>
  <c r="R11" i="13"/>
  <c r="H13" i="4"/>
  <c r="I13" i="4"/>
  <c r="R12" i="13"/>
  <c r="H14" i="4"/>
  <c r="I14" i="4"/>
  <c r="R13" i="13"/>
  <c r="H15" i="4"/>
  <c r="I15" i="4"/>
  <c r="R14" i="13"/>
  <c r="H16" i="4"/>
  <c r="I16" i="4"/>
  <c r="R15" i="13"/>
  <c r="H17" i="4"/>
  <c r="I17" i="4"/>
  <c r="R16" i="13"/>
  <c r="H18" i="4"/>
  <c r="I18" i="4"/>
  <c r="R17" i="13"/>
  <c r="AI7" i="5"/>
  <c r="AU7" i="13"/>
  <c r="AI8" i="5"/>
  <c r="AU8" i="13"/>
  <c r="AI9" i="5"/>
  <c r="AU9" i="13"/>
  <c r="AI10" i="5"/>
  <c r="AU10" i="13"/>
  <c r="AI11" i="5"/>
  <c r="AU11" i="13"/>
  <c r="AI12" i="5"/>
  <c r="AU12" i="13"/>
  <c r="AI13" i="5"/>
  <c r="AU13" i="13"/>
  <c r="AI14" i="5"/>
  <c r="AU14" i="13"/>
  <c r="AI15" i="5"/>
  <c r="AU15" i="13"/>
  <c r="AI16" i="5"/>
  <c r="AU16" i="13"/>
  <c r="AI17" i="5"/>
  <c r="AU17" i="13"/>
  <c r="G7" i="5"/>
  <c r="C7" i="13"/>
  <c r="G8" i="5"/>
  <c r="C8" i="13"/>
  <c r="G9" i="5"/>
  <c r="C9" i="13"/>
  <c r="G10" i="5"/>
  <c r="C10" i="13"/>
  <c r="G11" i="5"/>
  <c r="C11" i="13"/>
  <c r="G12" i="5"/>
  <c r="C12" i="13"/>
  <c r="G13" i="5"/>
  <c r="C13" i="13"/>
  <c r="G14" i="5"/>
  <c r="C14" i="13"/>
  <c r="G15" i="5"/>
  <c r="C15" i="13"/>
  <c r="G16" i="5"/>
  <c r="C16" i="13"/>
  <c r="G17" i="5"/>
  <c r="C17" i="13"/>
  <c r="R18" i="13"/>
  <c r="AN18" i="13"/>
  <c r="AO18" i="13"/>
  <c r="M8" i="4"/>
  <c r="N8" i="4"/>
  <c r="AC7" i="13"/>
  <c r="R9" i="4"/>
  <c r="S9" i="4"/>
  <c r="AN8" i="13"/>
  <c r="M9" i="4"/>
  <c r="N9" i="4"/>
  <c r="AC8" i="13"/>
  <c r="R10" i="4"/>
  <c r="S10" i="4"/>
  <c r="AN9" i="13"/>
  <c r="M10" i="4"/>
  <c r="N10" i="4"/>
  <c r="AC9" i="13"/>
  <c r="R11" i="4"/>
  <c r="S11" i="4"/>
  <c r="AN10" i="13"/>
  <c r="M11" i="4"/>
  <c r="N11" i="4"/>
  <c r="AC10" i="13"/>
  <c r="R12" i="4"/>
  <c r="S12" i="4"/>
  <c r="AN11" i="13"/>
  <c r="M12" i="4"/>
  <c r="N12" i="4"/>
  <c r="AC11" i="13"/>
  <c r="R13" i="4"/>
  <c r="S13" i="4"/>
  <c r="AN12" i="13"/>
  <c r="M13" i="4"/>
  <c r="N13" i="4"/>
  <c r="AC12" i="13"/>
  <c r="R14" i="4"/>
  <c r="S14" i="4"/>
  <c r="AN13" i="13"/>
  <c r="M14" i="4"/>
  <c r="N14" i="4"/>
  <c r="AC13" i="13"/>
  <c r="R15" i="4"/>
  <c r="S15" i="4"/>
  <c r="AN14" i="13"/>
  <c r="M15" i="4"/>
  <c r="N15" i="4"/>
  <c r="AC14" i="13"/>
  <c r="R16" i="4"/>
  <c r="S16" i="4"/>
  <c r="AN15" i="13"/>
  <c r="M16" i="4"/>
  <c r="N16" i="4"/>
  <c r="AC15" i="13"/>
  <c r="R17" i="4"/>
  <c r="S17" i="4"/>
  <c r="AN16" i="13"/>
  <c r="M17" i="4"/>
  <c r="N17" i="4"/>
  <c r="AC16" i="13"/>
  <c r="R18" i="4"/>
  <c r="S18" i="4"/>
  <c r="AN17" i="13"/>
  <c r="M18" i="4"/>
  <c r="N18" i="4"/>
  <c r="AC17" i="13"/>
  <c r="N49" i="8"/>
  <c r="P21" i="10"/>
  <c r="M49" i="8"/>
  <c r="O21" i="10"/>
  <c r="R50" i="8"/>
  <c r="S50" i="8"/>
  <c r="N50" i="8"/>
  <c r="P22" i="10"/>
  <c r="M50" i="8"/>
  <c r="O22" i="10"/>
  <c r="R51" i="8"/>
  <c r="S51" i="8"/>
  <c r="N51" i="8"/>
  <c r="P23" i="10"/>
  <c r="M51" i="8"/>
  <c r="O23" i="10"/>
  <c r="R52" i="8"/>
  <c r="S52" i="8"/>
  <c r="N52" i="8"/>
  <c r="P24" i="10"/>
  <c r="M52" i="8"/>
  <c r="O24" i="10"/>
  <c r="R53" i="8"/>
  <c r="S53" i="8"/>
  <c r="N53" i="8"/>
  <c r="P25" i="10"/>
  <c r="M53" i="8"/>
  <c r="O25" i="10"/>
  <c r="R54" i="8"/>
  <c r="S54" i="8"/>
  <c r="N54" i="8"/>
  <c r="P26" i="10"/>
  <c r="M54" i="8"/>
  <c r="O26" i="10"/>
  <c r="R55" i="8"/>
  <c r="S55" i="8"/>
  <c r="N55" i="8"/>
  <c r="P27" i="10"/>
  <c r="M55" i="8"/>
  <c r="O27" i="10"/>
  <c r="R56" i="8"/>
  <c r="S56" i="8"/>
  <c r="N56" i="8"/>
  <c r="P28" i="10"/>
  <c r="M56" i="8"/>
  <c r="O28" i="10"/>
  <c r="R57" i="8"/>
  <c r="S57" i="8"/>
  <c r="N57" i="8"/>
  <c r="P29" i="10"/>
  <c r="M57" i="8"/>
  <c r="O29" i="10"/>
  <c r="R58" i="8"/>
  <c r="S58" i="8"/>
  <c r="N58" i="8"/>
  <c r="P30" i="10"/>
  <c r="M58" i="8"/>
  <c r="O30" i="10"/>
  <c r="R59" i="8"/>
  <c r="S59" i="8"/>
  <c r="N59" i="8"/>
  <c r="P31" i="10"/>
  <c r="M59" i="8"/>
  <c r="O31" i="10"/>
  <c r="H20" i="11"/>
  <c r="H21" i="11"/>
  <c r="H22" i="11"/>
  <c r="H23" i="11"/>
  <c r="H24" i="11"/>
  <c r="H25" i="11"/>
  <c r="H26" i="11"/>
  <c r="H27" i="11"/>
  <c r="H28" i="11"/>
  <c r="H29" i="11"/>
  <c r="H30" i="11"/>
  <c r="O20" i="12"/>
  <c r="G35" i="11"/>
  <c r="G47" i="11"/>
  <c r="C47" i="11"/>
  <c r="G31" i="11"/>
  <c r="I20" i="12"/>
  <c r="P28" i="6"/>
  <c r="F37" i="10"/>
  <c r="F49" i="10"/>
  <c r="J28" i="7"/>
  <c r="D19" i="11"/>
  <c r="E32" i="10"/>
  <c r="G6" i="5"/>
  <c r="D7" i="4" s="1"/>
  <c r="C21" i="5"/>
  <c r="C18" i="5"/>
  <c r="G18" i="5"/>
  <c r="AI6" i="5"/>
  <c r="AE21" i="5"/>
  <c r="AE18" i="5"/>
  <c r="AI18" i="5"/>
  <c r="Y18" i="5"/>
  <c r="AB6" i="5"/>
  <c r="X21" i="5"/>
  <c r="R21" i="5"/>
  <c r="AL7" i="5"/>
  <c r="S25" i="2"/>
  <c r="U6" i="5"/>
  <c r="Q21" i="5"/>
  <c r="Q18" i="5"/>
  <c r="U18" i="5"/>
  <c r="L22" i="5"/>
  <c r="L21" i="5"/>
  <c r="AB18" i="5"/>
  <c r="S42" i="8"/>
  <c r="S24" i="8"/>
  <c r="R42" i="8"/>
  <c r="R24" i="8"/>
  <c r="S41" i="8"/>
  <c r="S23" i="8"/>
  <c r="R41" i="8"/>
  <c r="R23" i="8"/>
  <c r="S40" i="8"/>
  <c r="S22" i="8"/>
  <c r="R40" i="8"/>
  <c r="R22" i="8"/>
  <c r="S39" i="8"/>
  <c r="S21" i="8"/>
  <c r="R39" i="8"/>
  <c r="R21" i="8"/>
  <c r="S38" i="8"/>
  <c r="S20" i="8"/>
  <c r="R38" i="8"/>
  <c r="R20" i="8"/>
  <c r="S37" i="8"/>
  <c r="S19" i="8"/>
  <c r="R37" i="8"/>
  <c r="R19" i="8"/>
  <c r="S36" i="8"/>
  <c r="S18" i="8"/>
  <c r="R36" i="8"/>
  <c r="R18" i="8"/>
  <c r="S35" i="8"/>
  <c r="S17" i="8"/>
  <c r="R35" i="8"/>
  <c r="R17" i="8"/>
  <c r="S34" i="8"/>
  <c r="S16" i="8"/>
  <c r="R34" i="8"/>
  <c r="R16" i="8"/>
  <c r="S33" i="8"/>
  <c r="S15" i="8"/>
  <c r="R33" i="8"/>
  <c r="R15" i="8"/>
  <c r="N42" i="8"/>
  <c r="M31" i="10"/>
  <c r="N24" i="8"/>
  <c r="J31" i="10"/>
  <c r="M42" i="8"/>
  <c r="L31" i="10"/>
  <c r="M24" i="8"/>
  <c r="I31" i="10"/>
  <c r="N41" i="8"/>
  <c r="M30" i="10"/>
  <c r="N23" i="8"/>
  <c r="J30" i="10"/>
  <c r="M41" i="8"/>
  <c r="L30" i="10"/>
  <c r="M23" i="8"/>
  <c r="I30" i="10"/>
  <c r="N40" i="8"/>
  <c r="M29" i="10"/>
  <c r="N22" i="8"/>
  <c r="J29" i="10"/>
  <c r="M40" i="8"/>
  <c r="L29" i="10"/>
  <c r="M22" i="8"/>
  <c r="I29" i="10"/>
  <c r="N39" i="8"/>
  <c r="M28" i="10"/>
  <c r="N21" i="8"/>
  <c r="J28" i="10"/>
  <c r="M39" i="8"/>
  <c r="L28" i="10"/>
  <c r="M21" i="8"/>
  <c r="I28" i="10"/>
  <c r="N38" i="8"/>
  <c r="M27" i="10"/>
  <c r="N20" i="8"/>
  <c r="J27" i="10"/>
  <c r="M38" i="8"/>
  <c r="L27" i="10"/>
  <c r="M20" i="8"/>
  <c r="I27" i="10"/>
  <c r="N37" i="8"/>
  <c r="M26" i="10"/>
  <c r="N19" i="8"/>
  <c r="J26" i="10"/>
  <c r="M37" i="8"/>
  <c r="L26" i="10"/>
  <c r="M19" i="8"/>
  <c r="I26" i="10"/>
  <c r="N36" i="8"/>
  <c r="M25" i="10"/>
  <c r="N18" i="8"/>
  <c r="J25" i="10"/>
  <c r="M36" i="8"/>
  <c r="L25" i="10"/>
  <c r="M18" i="8"/>
  <c r="I25" i="10"/>
  <c r="N35" i="8"/>
  <c r="M24" i="10"/>
  <c r="N17" i="8"/>
  <c r="J24" i="10"/>
  <c r="M35" i="8"/>
  <c r="L24" i="10"/>
  <c r="M17" i="8"/>
  <c r="I24" i="10"/>
  <c r="N34" i="8"/>
  <c r="M23" i="10"/>
  <c r="N16" i="8"/>
  <c r="J23" i="10"/>
  <c r="M34" i="8"/>
  <c r="L23" i="10"/>
  <c r="M16" i="8"/>
  <c r="I23" i="10"/>
  <c r="N33" i="8"/>
  <c r="M22" i="10"/>
  <c r="N15" i="8"/>
  <c r="J22" i="10"/>
  <c r="M33" i="8"/>
  <c r="L22" i="10"/>
  <c r="M15" i="8"/>
  <c r="I22" i="10"/>
  <c r="I42" i="8"/>
  <c r="I24" i="8"/>
  <c r="H42" i="8"/>
  <c r="H24" i="8"/>
  <c r="I41" i="8"/>
  <c r="I23" i="8"/>
  <c r="H41" i="8"/>
  <c r="H23" i="8"/>
  <c r="I40" i="8"/>
  <c r="I22" i="8"/>
  <c r="H40" i="8"/>
  <c r="H22" i="8"/>
  <c r="I39" i="8"/>
  <c r="I21" i="8"/>
  <c r="H39" i="8"/>
  <c r="H21" i="8"/>
  <c r="I38" i="8"/>
  <c r="I20" i="8"/>
  <c r="H38" i="8"/>
  <c r="H20" i="8"/>
  <c r="I37" i="8"/>
  <c r="I19" i="8"/>
  <c r="H37" i="8"/>
  <c r="H19" i="8"/>
  <c r="I36" i="8"/>
  <c r="I18" i="8"/>
  <c r="H36" i="8"/>
  <c r="H18" i="8"/>
  <c r="I35" i="8"/>
  <c r="I17" i="8"/>
  <c r="H35" i="8"/>
  <c r="H17" i="8"/>
  <c r="I34" i="8"/>
  <c r="I16" i="8"/>
  <c r="H34" i="8"/>
  <c r="H16" i="8"/>
  <c r="I33" i="8"/>
  <c r="I15" i="8"/>
  <c r="H33" i="8"/>
  <c r="H15" i="8"/>
  <c r="I32" i="8"/>
  <c r="I14" i="8"/>
  <c r="H32" i="8"/>
  <c r="H14" i="8"/>
  <c r="H13" i="8"/>
  <c r="N7" i="4"/>
  <c r="M7" i="4"/>
  <c r="AC6" i="13"/>
  <c r="S7" i="4"/>
  <c r="R7" i="4"/>
  <c r="AN6" i="13"/>
  <c r="X7" i="4"/>
  <c r="W7" i="4"/>
  <c r="AY6" i="13"/>
  <c r="C7" i="4"/>
  <c r="C13" i="8"/>
  <c r="G6" i="13"/>
  <c r="C18" i="4"/>
  <c r="D18" i="4"/>
  <c r="G17" i="13"/>
  <c r="C17" i="4"/>
  <c r="D17" i="4"/>
  <c r="G16" i="13"/>
  <c r="C16" i="4"/>
  <c r="D16" i="4"/>
  <c r="G15" i="13"/>
  <c r="C15" i="4"/>
  <c r="D15" i="4"/>
  <c r="G14" i="13"/>
  <c r="C14" i="4"/>
  <c r="D14" i="4"/>
  <c r="G13" i="13"/>
  <c r="C13" i="4"/>
  <c r="D13" i="4"/>
  <c r="G12" i="13"/>
  <c r="C12" i="4"/>
  <c r="D12" i="4"/>
  <c r="G11" i="13"/>
  <c r="C11" i="4"/>
  <c r="D11" i="4"/>
  <c r="G10" i="13"/>
  <c r="C10" i="4"/>
  <c r="D10" i="4"/>
  <c r="G9" i="13"/>
  <c r="C9" i="4"/>
  <c r="D9" i="4"/>
  <c r="G8" i="13"/>
  <c r="C18" i="13"/>
  <c r="G18" i="13"/>
  <c r="C8" i="4"/>
  <c r="D8" i="4"/>
  <c r="G7" i="13"/>
  <c r="W18" i="4"/>
  <c r="X18" i="4"/>
  <c r="AY17" i="13"/>
  <c r="W17" i="4"/>
  <c r="W24" i="8"/>
  <c r="X17" i="4"/>
  <c r="X24" i="8"/>
  <c r="AY16" i="13"/>
  <c r="W16" i="4"/>
  <c r="W23" i="8"/>
  <c r="X16" i="4"/>
  <c r="X23" i="8"/>
  <c r="AY15" i="13"/>
  <c r="W15" i="4"/>
  <c r="W22" i="8"/>
  <c r="X15" i="4"/>
  <c r="X22" i="8"/>
  <c r="AY14" i="13"/>
  <c r="W14" i="4"/>
  <c r="W21" i="8"/>
  <c r="X14" i="4"/>
  <c r="X21" i="8"/>
  <c r="AY13" i="13"/>
  <c r="W13" i="4"/>
  <c r="W20" i="8"/>
  <c r="X13" i="4"/>
  <c r="X20" i="8"/>
  <c r="AY12" i="13"/>
  <c r="W12" i="4"/>
  <c r="W19" i="8"/>
  <c r="X12" i="4"/>
  <c r="X19" i="8"/>
  <c r="AY11" i="13"/>
  <c r="W11" i="4"/>
  <c r="W18" i="8"/>
  <c r="X11" i="4"/>
  <c r="X18" i="8"/>
  <c r="AY10" i="13"/>
  <c r="W10" i="4"/>
  <c r="W17" i="8"/>
  <c r="X10" i="4"/>
  <c r="X17" i="8"/>
  <c r="AY9" i="13"/>
  <c r="W9" i="4"/>
  <c r="W16" i="8"/>
  <c r="X9" i="4"/>
  <c r="X16" i="8"/>
  <c r="AY8" i="13"/>
  <c r="AU18" i="13"/>
  <c r="AY18" i="13"/>
  <c r="AZ18" i="13"/>
  <c r="W8" i="4"/>
  <c r="W15" i="8"/>
  <c r="X8" i="4"/>
  <c r="X15" i="8"/>
  <c r="AY7" i="13"/>
  <c r="H18" i="13"/>
  <c r="I59" i="8"/>
  <c r="H59" i="8"/>
  <c r="I58" i="8"/>
  <c r="H58" i="8"/>
  <c r="I57" i="8"/>
  <c r="H57" i="8"/>
  <c r="I56" i="8"/>
  <c r="H56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R49" i="8"/>
  <c r="S49" i="8"/>
  <c r="I48" i="8"/>
  <c r="I60" i="8"/>
  <c r="I31" i="8"/>
  <c r="I13" i="8"/>
  <c r="I25" i="8"/>
  <c r="H48" i="8"/>
  <c r="H60" i="8"/>
  <c r="H31" i="8"/>
  <c r="C59" i="8"/>
  <c r="O14" i="10"/>
  <c r="D59" i="8"/>
  <c r="P14" i="10"/>
  <c r="C58" i="8"/>
  <c r="O13" i="10"/>
  <c r="D58" i="8"/>
  <c r="P13" i="10"/>
  <c r="C57" i="8"/>
  <c r="O12" i="10"/>
  <c r="D57" i="8"/>
  <c r="P12" i="10"/>
  <c r="C56" i="8"/>
  <c r="O11" i="10"/>
  <c r="D56" i="8"/>
  <c r="P11" i="10"/>
  <c r="C55" i="8"/>
  <c r="O10" i="10"/>
  <c r="D55" i="8"/>
  <c r="P10" i="10"/>
  <c r="C54" i="8"/>
  <c r="O9" i="10"/>
  <c r="D54" i="8"/>
  <c r="P9" i="10"/>
  <c r="C53" i="8"/>
  <c r="O8" i="10"/>
  <c r="D53" i="8"/>
  <c r="P8" i="10"/>
  <c r="C52" i="8"/>
  <c r="O7" i="10"/>
  <c r="D52" i="8"/>
  <c r="P7" i="10"/>
  <c r="C51" i="8"/>
  <c r="O6" i="10"/>
  <c r="D51" i="8"/>
  <c r="P6" i="10"/>
  <c r="C50" i="8"/>
  <c r="O5" i="10"/>
  <c r="D50" i="8"/>
  <c r="P5" i="10"/>
  <c r="C49" i="8"/>
  <c r="O4" i="10"/>
  <c r="D49" i="8"/>
  <c r="P4" i="10"/>
  <c r="D5" i="9"/>
  <c r="G2" i="14" s="1"/>
  <c r="D31" i="11"/>
  <c r="H25" i="8"/>
  <c r="I19" i="4"/>
  <c r="I43" i="8"/>
  <c r="H19" i="4"/>
  <c r="H43" i="8"/>
  <c r="S22" i="5"/>
  <c r="S21" i="5"/>
  <c r="Z22" i="5"/>
  <c r="Z21" i="5"/>
  <c r="AG22" i="5"/>
  <c r="AG21" i="5"/>
  <c r="AL6" i="5"/>
  <c r="X32" i="8"/>
  <c r="E22" i="5"/>
  <c r="E21" i="5"/>
  <c r="R32" i="8"/>
  <c r="R14" i="8"/>
  <c r="S32" i="8"/>
  <c r="S14" i="8"/>
  <c r="D33" i="8"/>
  <c r="M5" i="10"/>
  <c r="D15" i="8"/>
  <c r="J5" i="10"/>
  <c r="C33" i="8"/>
  <c r="L5" i="10"/>
  <c r="C15" i="8"/>
  <c r="I5" i="10"/>
  <c r="D34" i="8"/>
  <c r="M6" i="10"/>
  <c r="D16" i="8"/>
  <c r="J6" i="10"/>
  <c r="C34" i="8"/>
  <c r="L6" i="10"/>
  <c r="C16" i="8"/>
  <c r="I6" i="10"/>
  <c r="D35" i="8"/>
  <c r="M7" i="10"/>
  <c r="D17" i="8"/>
  <c r="J7" i="10"/>
  <c r="C35" i="8"/>
  <c r="L7" i="10"/>
  <c r="C17" i="8"/>
  <c r="I7" i="10"/>
  <c r="D36" i="8"/>
  <c r="M8" i="10"/>
  <c r="D18" i="8"/>
  <c r="J8" i="10"/>
  <c r="C36" i="8"/>
  <c r="L8" i="10"/>
  <c r="C18" i="8"/>
  <c r="I8" i="10"/>
  <c r="D37" i="8"/>
  <c r="M9" i="10"/>
  <c r="D19" i="8"/>
  <c r="J9" i="10"/>
  <c r="C37" i="8"/>
  <c r="L9" i="10"/>
  <c r="C19" i="8"/>
  <c r="I9" i="10"/>
  <c r="D38" i="8"/>
  <c r="M10" i="10"/>
  <c r="D20" i="8"/>
  <c r="J10" i="10"/>
  <c r="C38" i="8"/>
  <c r="L10" i="10"/>
  <c r="C20" i="8"/>
  <c r="I10" i="10"/>
  <c r="D39" i="8"/>
  <c r="M11" i="10"/>
  <c r="D21" i="8"/>
  <c r="J11" i="10"/>
  <c r="C39" i="8"/>
  <c r="L11" i="10"/>
  <c r="C21" i="8"/>
  <c r="I11" i="10"/>
  <c r="D40" i="8"/>
  <c r="M12" i="10"/>
  <c r="D22" i="8"/>
  <c r="J12" i="10"/>
  <c r="C40" i="8"/>
  <c r="L12" i="10"/>
  <c r="C22" i="8"/>
  <c r="I12" i="10"/>
  <c r="D41" i="8"/>
  <c r="M13" i="10"/>
  <c r="D23" i="8"/>
  <c r="J13" i="10"/>
  <c r="C41" i="8"/>
  <c r="L13" i="10"/>
  <c r="C23" i="8"/>
  <c r="I13" i="10"/>
  <c r="D42" i="8"/>
  <c r="D24" i="8"/>
  <c r="J14" i="10"/>
  <c r="C42" i="8"/>
  <c r="C24" i="8"/>
  <c r="I14" i="10"/>
  <c r="C14" i="8"/>
  <c r="C32" i="8"/>
  <c r="L4" i="10"/>
  <c r="C31" i="8"/>
  <c r="D32" i="8"/>
  <c r="M4" i="10"/>
  <c r="D14" i="8"/>
  <c r="W14" i="8"/>
  <c r="X14" i="8"/>
  <c r="M32" i="8"/>
  <c r="M14" i="8"/>
  <c r="I21" i="10"/>
  <c r="N32" i="8"/>
  <c r="N14" i="8"/>
  <c r="J21" i="10"/>
  <c r="X49" i="8"/>
  <c r="P38" i="10"/>
  <c r="J38" i="10"/>
  <c r="I38" i="10"/>
  <c r="W49" i="8"/>
  <c r="O38" i="10"/>
  <c r="X33" i="8"/>
  <c r="M39" i="10"/>
  <c r="X50" i="8"/>
  <c r="P39" i="10"/>
  <c r="J39" i="10"/>
  <c r="I39" i="10"/>
  <c r="W33" i="8"/>
  <c r="L39" i="10"/>
  <c r="W50" i="8"/>
  <c r="O39" i="10"/>
  <c r="X34" i="8"/>
  <c r="M40" i="10"/>
  <c r="X51" i="8"/>
  <c r="P40" i="10"/>
  <c r="J40" i="10"/>
  <c r="I40" i="10"/>
  <c r="W34" i="8"/>
  <c r="L40" i="10"/>
  <c r="W51" i="8"/>
  <c r="O40" i="10"/>
  <c r="X35" i="8"/>
  <c r="M41" i="10"/>
  <c r="X52" i="8"/>
  <c r="P41" i="10"/>
  <c r="J41" i="10"/>
  <c r="I41" i="10"/>
  <c r="W35" i="8"/>
  <c r="L41" i="10"/>
  <c r="W52" i="8"/>
  <c r="O41" i="10"/>
  <c r="X36" i="8"/>
  <c r="M42" i="10"/>
  <c r="X53" i="8"/>
  <c r="P42" i="10"/>
  <c r="J42" i="10"/>
  <c r="I42" i="10"/>
  <c r="W36" i="8"/>
  <c r="L42" i="10"/>
  <c r="W53" i="8"/>
  <c r="O42" i="10"/>
  <c r="X37" i="8"/>
  <c r="M43" i="10"/>
  <c r="X54" i="8"/>
  <c r="P43" i="10"/>
  <c r="J43" i="10"/>
  <c r="I43" i="10"/>
  <c r="W37" i="8"/>
  <c r="L43" i="10"/>
  <c r="W54" i="8"/>
  <c r="O43" i="10"/>
  <c r="X38" i="8"/>
  <c r="M44" i="10"/>
  <c r="X55" i="8"/>
  <c r="P44" i="10"/>
  <c r="J44" i="10"/>
  <c r="I44" i="10"/>
  <c r="W38" i="8"/>
  <c r="L44" i="10"/>
  <c r="W55" i="8"/>
  <c r="O44" i="10"/>
  <c r="X39" i="8"/>
  <c r="M45" i="10"/>
  <c r="X56" i="8"/>
  <c r="P45" i="10"/>
  <c r="J45" i="10"/>
  <c r="I45" i="10"/>
  <c r="W39" i="8"/>
  <c r="L45" i="10"/>
  <c r="W56" i="8"/>
  <c r="O45" i="10"/>
  <c r="X40" i="8"/>
  <c r="M46" i="10"/>
  <c r="X57" i="8"/>
  <c r="P46" i="10"/>
  <c r="J46" i="10"/>
  <c r="I46" i="10"/>
  <c r="W40" i="8"/>
  <c r="L46" i="10"/>
  <c r="W57" i="8"/>
  <c r="O46" i="10"/>
  <c r="X41" i="8"/>
  <c r="M47" i="10"/>
  <c r="X58" i="8"/>
  <c r="P47" i="10"/>
  <c r="J47" i="10"/>
  <c r="I47" i="10"/>
  <c r="W41" i="8"/>
  <c r="L47" i="10"/>
  <c r="W58" i="8"/>
  <c r="O47" i="10"/>
  <c r="X42" i="8"/>
  <c r="M48" i="10"/>
  <c r="X59" i="8"/>
  <c r="P48" i="10"/>
  <c r="J48" i="10"/>
  <c r="I48" i="10"/>
  <c r="W42" i="8"/>
  <c r="L48" i="10"/>
  <c r="W59" i="8"/>
  <c r="O48" i="10"/>
  <c r="I4" i="10"/>
  <c r="J4" i="10"/>
  <c r="W31" i="8"/>
  <c r="W32" i="8"/>
  <c r="R31" i="8"/>
  <c r="R48" i="8"/>
  <c r="R60" i="8"/>
  <c r="L38" i="10"/>
  <c r="S19" i="4"/>
  <c r="S48" i="8"/>
  <c r="S60" i="8"/>
  <c r="S31" i="8"/>
  <c r="S13" i="8"/>
  <c r="S25" i="8"/>
  <c r="M38" i="10"/>
  <c r="N19" i="4"/>
  <c r="N48" i="8"/>
  <c r="N31" i="8"/>
  <c r="N13" i="8"/>
  <c r="M21" i="10"/>
  <c r="M31" i="8"/>
  <c r="M48" i="8"/>
  <c r="L21" i="10"/>
  <c r="E48" i="8"/>
  <c r="Q3" i="10"/>
  <c r="E31" i="8"/>
  <c r="W48" i="8"/>
  <c r="X19" i="4"/>
  <c r="X48" i="8"/>
  <c r="X31" i="8"/>
  <c r="X13" i="8"/>
  <c r="C48" i="8"/>
  <c r="I3" i="10"/>
  <c r="D19" i="4"/>
  <c r="M14" i="10"/>
  <c r="D48" i="8"/>
  <c r="D31" i="8"/>
  <c r="D13" i="8"/>
  <c r="C19" i="4"/>
  <c r="L14" i="10"/>
  <c r="C25" i="8"/>
  <c r="W19" i="4"/>
  <c r="W13" i="8"/>
  <c r="R19" i="4"/>
  <c r="R13" i="8"/>
  <c r="R25" i="8"/>
  <c r="M19" i="4"/>
  <c r="M13" i="8"/>
  <c r="M25" i="8"/>
  <c r="I20" i="10"/>
  <c r="N3" i="10"/>
  <c r="O20" i="10"/>
  <c r="O32" i="10"/>
  <c r="M60" i="8"/>
  <c r="L20" i="10"/>
  <c r="L32" i="10"/>
  <c r="M43" i="8"/>
  <c r="J20" i="10"/>
  <c r="J32" i="10"/>
  <c r="N25" i="8"/>
  <c r="M20" i="10"/>
  <c r="M32" i="10"/>
  <c r="N43" i="8"/>
  <c r="P20" i="10"/>
  <c r="P32" i="10"/>
  <c r="N60" i="8"/>
  <c r="S43" i="8"/>
  <c r="R43" i="8"/>
  <c r="W25" i="8"/>
  <c r="I37" i="10"/>
  <c r="J37" i="10"/>
  <c r="J49" i="10"/>
  <c r="X25" i="8"/>
  <c r="M37" i="10"/>
  <c r="M49" i="10"/>
  <c r="X43" i="8"/>
  <c r="P37" i="10"/>
  <c r="P49" i="10"/>
  <c r="X60" i="8"/>
  <c r="L37" i="10"/>
  <c r="L49" i="10"/>
  <c r="W43" i="8"/>
  <c r="O37" i="10"/>
  <c r="O49" i="10"/>
  <c r="W60" i="8"/>
  <c r="J3" i="10"/>
  <c r="D25" i="8"/>
  <c r="M3" i="10"/>
  <c r="M15" i="10"/>
  <c r="D43" i="8"/>
  <c r="P3" i="10"/>
  <c r="P15" i="10"/>
  <c r="D60" i="8"/>
  <c r="I15" i="10"/>
  <c r="L3" i="10"/>
  <c r="C43" i="8"/>
  <c r="O3" i="10"/>
  <c r="O15" i="10"/>
  <c r="C60" i="8"/>
  <c r="J15" i="10"/>
  <c r="I32" i="10"/>
  <c r="I49" i="10"/>
  <c r="L15" i="10"/>
  <c r="O27" i="6" l="1"/>
  <c r="E48" i="10" s="1"/>
  <c r="O26" i="6"/>
  <c r="E47" i="10" s="1"/>
  <c r="O25" i="6"/>
  <c r="E46" i="10" s="1"/>
  <c r="O24" i="6"/>
  <c r="E45" i="10" s="1"/>
  <c r="O23" i="6"/>
  <c r="E44" i="10" s="1"/>
  <c r="O22" i="6"/>
  <c r="E43" i="10" s="1"/>
  <c r="O21" i="6"/>
  <c r="E42" i="10" s="1"/>
  <c r="O20" i="6"/>
  <c r="E41" i="10" s="1"/>
  <c r="O19" i="6"/>
  <c r="E40" i="10" s="1"/>
  <c r="O18" i="6"/>
  <c r="E39" i="10" s="1"/>
  <c r="O17" i="6"/>
  <c r="E38" i="10" s="1"/>
  <c r="Y26" i="14"/>
  <c r="I16" i="7"/>
  <c r="D27" i="6"/>
  <c r="F14" i="10" s="1"/>
  <c r="D26" i="6"/>
  <c r="F13" i="10" s="1"/>
  <c r="D25" i="6"/>
  <c r="F12" i="10" s="1"/>
  <c r="D24" i="6"/>
  <c r="F11" i="10" s="1"/>
  <c r="D23" i="6"/>
  <c r="F10" i="10" s="1"/>
  <c r="D22" i="6"/>
  <c r="F9" i="10" s="1"/>
  <c r="D21" i="6"/>
  <c r="F8" i="10" s="1"/>
  <c r="D20" i="6"/>
  <c r="F7" i="10" s="1"/>
  <c r="D19" i="6"/>
  <c r="F6" i="10" s="1"/>
  <c r="D18" i="6"/>
  <c r="F5" i="10" s="1"/>
  <c r="D17" i="6"/>
  <c r="F4" i="10" s="1"/>
  <c r="O16" i="6"/>
  <c r="Y2" i="14"/>
  <c r="C8" i="12"/>
  <c r="C16" i="7"/>
  <c r="R16" i="6"/>
  <c r="Q16" i="6"/>
  <c r="R17" i="6"/>
  <c r="H38" i="10" s="1"/>
  <c r="Q17" i="6"/>
  <c r="G38" i="10" s="1"/>
  <c r="R18" i="6"/>
  <c r="H39" i="10" s="1"/>
  <c r="Q18" i="6"/>
  <c r="G39" i="10" s="1"/>
  <c r="R19" i="6"/>
  <c r="H40" i="10" s="1"/>
  <c r="Q19" i="6"/>
  <c r="G40" i="10" s="1"/>
  <c r="R20" i="6"/>
  <c r="H41" i="10" s="1"/>
  <c r="Q20" i="6"/>
  <c r="G41" i="10" s="1"/>
  <c r="R21" i="6"/>
  <c r="H42" i="10" s="1"/>
  <c r="Q21" i="6"/>
  <c r="G42" i="10" s="1"/>
  <c r="R22" i="6"/>
  <c r="H43" i="10" s="1"/>
  <c r="Q22" i="6"/>
  <c r="G43" i="10" s="1"/>
  <c r="R23" i="6"/>
  <c r="H44" i="10" s="1"/>
  <c r="Q23" i="6"/>
  <c r="G44" i="10" s="1"/>
  <c r="R24" i="6"/>
  <c r="H45" i="10" s="1"/>
  <c r="Q24" i="6"/>
  <c r="G45" i="10" s="1"/>
  <c r="R25" i="6"/>
  <c r="H46" i="10" s="1"/>
  <c r="Q25" i="6"/>
  <c r="G46" i="10" s="1"/>
  <c r="R26" i="6"/>
  <c r="H47" i="10" s="1"/>
  <c r="Q26" i="6"/>
  <c r="G47" i="10" s="1"/>
  <c r="R27" i="6"/>
  <c r="H48" i="10" s="1"/>
  <c r="Q27" i="6"/>
  <c r="G48" i="10" s="1"/>
  <c r="AB38" i="14"/>
  <c r="R16" i="7"/>
  <c r="C16" i="6"/>
  <c r="AA2" i="14"/>
  <c r="E16" i="7"/>
  <c r="F16" i="6"/>
  <c r="E16" i="6"/>
  <c r="D16" i="6"/>
  <c r="F35" i="11" l="1"/>
  <c r="R28" i="7"/>
  <c r="Q28" i="6"/>
  <c r="G37" i="10"/>
  <c r="G49" i="10" s="1"/>
  <c r="R28" i="6"/>
  <c r="H37" i="10"/>
  <c r="H49" i="10" s="1"/>
  <c r="C3" i="11"/>
  <c r="C15" i="11" s="1"/>
  <c r="C28" i="7"/>
  <c r="G3" i="11"/>
  <c r="G15" i="11" s="1"/>
  <c r="C20" i="12"/>
  <c r="O28" i="6"/>
  <c r="E37" i="10"/>
  <c r="E49" i="10" s="1"/>
  <c r="C19" i="11"/>
  <c r="I28" i="7"/>
  <c r="E18" i="4"/>
  <c r="E59" i="8" s="1"/>
  <c r="Q14" i="10" s="1"/>
  <c r="D16" i="9"/>
  <c r="G13" i="14" s="1"/>
  <c r="E17" i="4"/>
  <c r="D15" i="9"/>
  <c r="G12" i="14" s="1"/>
  <c r="E16" i="4"/>
  <c r="D14" i="9"/>
  <c r="G11" i="14" s="1"/>
  <c r="E15" i="4"/>
  <c r="D13" i="9"/>
  <c r="G10" i="14" s="1"/>
  <c r="E14" i="4"/>
  <c r="D12" i="9"/>
  <c r="G9" i="14" s="1"/>
  <c r="E13" i="4"/>
  <c r="D11" i="9"/>
  <c r="G8" i="14" s="1"/>
  <c r="E12" i="4"/>
  <c r="D10" i="9"/>
  <c r="G7" i="14" s="1"/>
  <c r="E11" i="4"/>
  <c r="D9" i="9"/>
  <c r="G6" i="14" s="1"/>
  <c r="E10" i="4"/>
  <c r="D8" i="9"/>
  <c r="G5" i="14" s="1"/>
  <c r="E9" i="4"/>
  <c r="D7" i="9"/>
  <c r="G4" i="14" s="1"/>
  <c r="E8" i="4"/>
  <c r="D6" i="9"/>
  <c r="C41" i="4"/>
  <c r="O7" i="4"/>
  <c r="N5" i="9"/>
  <c r="M41" i="4"/>
  <c r="O18" i="4"/>
  <c r="O59" i="8" s="1"/>
  <c r="Q31" i="10" s="1"/>
  <c r="N16" i="9"/>
  <c r="O17" i="4"/>
  <c r="N15" i="9"/>
  <c r="O16" i="4"/>
  <c r="N14" i="9"/>
  <c r="O15" i="4"/>
  <c r="N13" i="9"/>
  <c r="O14" i="4"/>
  <c r="N12" i="9"/>
  <c r="O13" i="4"/>
  <c r="N11" i="9"/>
  <c r="O12" i="4"/>
  <c r="N10" i="9"/>
  <c r="O11" i="4"/>
  <c r="N9" i="9"/>
  <c r="N8" i="9"/>
  <c r="O10" i="4"/>
  <c r="O9" i="4"/>
  <c r="N7" i="9"/>
  <c r="O8" i="4"/>
  <c r="N6" i="9"/>
  <c r="T7" i="4"/>
  <c r="S5" i="9"/>
  <c r="R41" i="4"/>
  <c r="T18" i="4"/>
  <c r="T59" i="8" s="1"/>
  <c r="S16" i="9"/>
  <c r="T17" i="4"/>
  <c r="S15" i="9"/>
  <c r="T16" i="4"/>
  <c r="S14" i="9"/>
  <c r="T15" i="4"/>
  <c r="S13" i="9"/>
  <c r="T14" i="4"/>
  <c r="S12" i="9"/>
  <c r="T13" i="4"/>
  <c r="S11" i="9"/>
  <c r="T12" i="4"/>
  <c r="S10" i="9"/>
  <c r="T11" i="4"/>
  <c r="S9" i="9"/>
  <c r="T10" i="4"/>
  <c r="S8" i="9"/>
  <c r="T9" i="4"/>
  <c r="S7" i="9"/>
  <c r="T8" i="4"/>
  <c r="S6" i="9"/>
  <c r="X5" i="9"/>
  <c r="Y7" i="4"/>
  <c r="W41" i="4"/>
  <c r="X16" i="9"/>
  <c r="G61" i="14" s="1"/>
  <c r="Y18" i="4"/>
  <c r="X15" i="9"/>
  <c r="G60" i="14" s="1"/>
  <c r="Y17" i="4"/>
  <c r="X14" i="9"/>
  <c r="G59" i="14" s="1"/>
  <c r="Y16" i="4"/>
  <c r="X13" i="9"/>
  <c r="G58" i="14" s="1"/>
  <c r="Y15" i="4"/>
  <c r="X12" i="9"/>
  <c r="G57" i="14" s="1"/>
  <c r="Y14" i="4"/>
  <c r="X11" i="9"/>
  <c r="G56" i="14" s="1"/>
  <c r="Y13" i="4"/>
  <c r="X10" i="9"/>
  <c r="G55" i="14" s="1"/>
  <c r="Y12" i="4"/>
  <c r="X9" i="9"/>
  <c r="G54" i="14" s="1"/>
  <c r="Y11" i="4"/>
  <c r="X8" i="9"/>
  <c r="G53" i="14" s="1"/>
  <c r="Y10" i="4"/>
  <c r="X7" i="9"/>
  <c r="G52" i="14" s="1"/>
  <c r="Y9" i="4"/>
  <c r="X6" i="9"/>
  <c r="G51" i="14" s="1"/>
  <c r="Y8" i="4"/>
  <c r="E3" i="11"/>
  <c r="E28" i="7"/>
  <c r="H3" i="10"/>
  <c r="H15" i="10" s="1"/>
  <c r="F28" i="6"/>
  <c r="G3" i="10"/>
  <c r="G15" i="10" s="1"/>
  <c r="E28" i="6"/>
  <c r="F3" i="10"/>
  <c r="F15" i="10" s="1"/>
  <c r="D28" i="6"/>
  <c r="E3" i="10"/>
  <c r="E15" i="10" s="1"/>
  <c r="C28" i="6"/>
  <c r="J7" i="4"/>
  <c r="I5" i="9"/>
  <c r="C6" i="9"/>
  <c r="H6" i="9"/>
  <c r="F15" i="14" s="1"/>
  <c r="M6" i="9"/>
  <c r="R6" i="9"/>
  <c r="W6" i="9"/>
  <c r="F51" i="14" s="1"/>
  <c r="H19" i="11" l="1"/>
  <c r="C31" i="11"/>
  <c r="H31" i="11" s="1"/>
  <c r="F47" i="11"/>
  <c r="H47" i="11" s="1"/>
  <c r="H35" i="11"/>
  <c r="Y15" i="8"/>
  <c r="Y32" i="8"/>
  <c r="Y49" i="8"/>
  <c r="Y50" i="8"/>
  <c r="Y33" i="8"/>
  <c r="Y16" i="8"/>
  <c r="Y51" i="8"/>
  <c r="Y34" i="8"/>
  <c r="Y17" i="8"/>
  <c r="Y52" i="8"/>
  <c r="Y35" i="8"/>
  <c r="Y18" i="8"/>
  <c r="Y53" i="8"/>
  <c r="Y36" i="8"/>
  <c r="Y19" i="8"/>
  <c r="Y54" i="8"/>
  <c r="Y37" i="8"/>
  <c r="Y20" i="8"/>
  <c r="Y55" i="8"/>
  <c r="Y38" i="8"/>
  <c r="Y21" i="8"/>
  <c r="Y56" i="8"/>
  <c r="Y39" i="8"/>
  <c r="Y22" i="8"/>
  <c r="Y57" i="8"/>
  <c r="Y40" i="8"/>
  <c r="Y23" i="8"/>
  <c r="Y58" i="8"/>
  <c r="Y41" i="8"/>
  <c r="Y24" i="8"/>
  <c r="Y59" i="8"/>
  <c r="Y42" i="8"/>
  <c r="Y14" i="8"/>
  <c r="Y48" i="8"/>
  <c r="Y31" i="8"/>
  <c r="Y13" i="8"/>
  <c r="Y19" i="4"/>
  <c r="G50" i="14"/>
  <c r="X17" i="9"/>
  <c r="G39" i="14"/>
  <c r="S38" i="10"/>
  <c r="T33" i="8"/>
  <c r="N39" i="10" s="1"/>
  <c r="T15" i="8"/>
  <c r="K39" i="10" s="1"/>
  <c r="T49" i="8"/>
  <c r="Q38" i="10" s="1"/>
  <c r="I36" i="11" s="1"/>
  <c r="J36" i="11" s="1"/>
  <c r="P4" i="11" s="1"/>
  <c r="G40" i="14"/>
  <c r="S39" i="10"/>
  <c r="T50" i="8"/>
  <c r="Q39" i="10" s="1"/>
  <c r="I37" i="11" s="1"/>
  <c r="J37" i="11" s="1"/>
  <c r="T34" i="8"/>
  <c r="N40" i="10" s="1"/>
  <c r="T16" i="8"/>
  <c r="K40" i="10" s="1"/>
  <c r="G41" i="14"/>
  <c r="S40" i="10"/>
  <c r="T51" i="8"/>
  <c r="Q40" i="10" s="1"/>
  <c r="I38" i="11" s="1"/>
  <c r="J38" i="11" s="1"/>
  <c r="P6" i="11" s="1"/>
  <c r="T35" i="8"/>
  <c r="N41" i="10" s="1"/>
  <c r="T17" i="8"/>
  <c r="K41" i="10" s="1"/>
  <c r="G42" i="14"/>
  <c r="S41" i="10"/>
  <c r="T52" i="8"/>
  <c r="Q41" i="10" s="1"/>
  <c r="I39" i="11" s="1"/>
  <c r="J39" i="11" s="1"/>
  <c r="P7" i="11" s="1"/>
  <c r="T36" i="8"/>
  <c r="N42" i="10" s="1"/>
  <c r="T18" i="8"/>
  <c r="K42" i="10" s="1"/>
  <c r="G43" i="14"/>
  <c r="S42" i="10"/>
  <c r="T53" i="8"/>
  <c r="Q42" i="10" s="1"/>
  <c r="I40" i="11" s="1"/>
  <c r="J40" i="11" s="1"/>
  <c r="P8" i="11" s="1"/>
  <c r="T37" i="8"/>
  <c r="N43" i="10" s="1"/>
  <c r="T19" i="8"/>
  <c r="K43" i="10" s="1"/>
  <c r="G44" i="14"/>
  <c r="S43" i="10"/>
  <c r="T54" i="8"/>
  <c r="Q43" i="10" s="1"/>
  <c r="I41" i="11" s="1"/>
  <c r="J41" i="11" s="1"/>
  <c r="P9" i="11" s="1"/>
  <c r="T38" i="8"/>
  <c r="N44" i="10" s="1"/>
  <c r="T20" i="8"/>
  <c r="K44" i="10" s="1"/>
  <c r="G45" i="14"/>
  <c r="S44" i="10"/>
  <c r="T55" i="8"/>
  <c r="Q44" i="10" s="1"/>
  <c r="I42" i="11" s="1"/>
  <c r="J42" i="11" s="1"/>
  <c r="P10" i="11" s="1"/>
  <c r="T39" i="8"/>
  <c r="N45" i="10" s="1"/>
  <c r="T21" i="8"/>
  <c r="K45" i="10" s="1"/>
  <c r="G46" i="14"/>
  <c r="S45" i="10"/>
  <c r="T56" i="8"/>
  <c r="Q45" i="10" s="1"/>
  <c r="I43" i="11" s="1"/>
  <c r="J43" i="11" s="1"/>
  <c r="P11" i="11" s="1"/>
  <c r="T40" i="8"/>
  <c r="N46" i="10" s="1"/>
  <c r="T22" i="8"/>
  <c r="K46" i="10" s="1"/>
  <c r="G47" i="14"/>
  <c r="S46" i="10"/>
  <c r="T57" i="8"/>
  <c r="Q46" i="10" s="1"/>
  <c r="I44" i="11" s="1"/>
  <c r="J44" i="11" s="1"/>
  <c r="P12" i="11" s="1"/>
  <c r="T41" i="8"/>
  <c r="N47" i="10" s="1"/>
  <c r="T23" i="8"/>
  <c r="K47" i="10" s="1"/>
  <c r="G48" i="14"/>
  <c r="S47" i="10"/>
  <c r="T58" i="8"/>
  <c r="Q47" i="10" s="1"/>
  <c r="I45" i="11" s="1"/>
  <c r="J45" i="11" s="1"/>
  <c r="P13" i="11" s="1"/>
  <c r="T42" i="8"/>
  <c r="N48" i="10" s="1"/>
  <c r="T24" i="8"/>
  <c r="K48" i="10" s="1"/>
  <c r="G49" i="14"/>
  <c r="S48" i="10"/>
  <c r="Q48" i="10"/>
  <c r="I46" i="11" s="1"/>
  <c r="J46" i="11" s="1"/>
  <c r="P14" i="11" s="1"/>
  <c r="G38" i="14"/>
  <c r="S37" i="10"/>
  <c r="S49" i="10" s="1"/>
  <c r="S17" i="9"/>
  <c r="T32" i="8"/>
  <c r="N38" i="10" s="1"/>
  <c r="T14" i="8"/>
  <c r="K38" i="10" s="1"/>
  <c r="T48" i="8"/>
  <c r="T31" i="8"/>
  <c r="T13" i="8"/>
  <c r="T19" i="4"/>
  <c r="G27" i="14"/>
  <c r="S21" i="10"/>
  <c r="O33" i="8"/>
  <c r="N22" i="10" s="1"/>
  <c r="O15" i="8"/>
  <c r="K22" i="10" s="1"/>
  <c r="O49" i="8"/>
  <c r="Q21" i="10" s="1"/>
  <c r="G28" i="14"/>
  <c r="S22" i="10"/>
  <c r="O50" i="8"/>
  <c r="Q22" i="10" s="1"/>
  <c r="O34" i="8"/>
  <c r="N23" i="10" s="1"/>
  <c r="O16" i="8"/>
  <c r="K23" i="10" s="1"/>
  <c r="O51" i="8"/>
  <c r="Q23" i="10" s="1"/>
  <c r="O35" i="8"/>
  <c r="N24" i="10" s="1"/>
  <c r="O17" i="8"/>
  <c r="K24" i="10" s="1"/>
  <c r="G29" i="14"/>
  <c r="S23" i="10"/>
  <c r="G30" i="14"/>
  <c r="S24" i="10"/>
  <c r="O52" i="8"/>
  <c r="Q24" i="10" s="1"/>
  <c r="O36" i="8"/>
  <c r="N25" i="10" s="1"/>
  <c r="O18" i="8"/>
  <c r="K25" i="10" s="1"/>
  <c r="G31" i="14"/>
  <c r="S25" i="10"/>
  <c r="O53" i="8"/>
  <c r="Q25" i="10" s="1"/>
  <c r="O37" i="8"/>
  <c r="N26" i="10" s="1"/>
  <c r="O19" i="8"/>
  <c r="K26" i="10" s="1"/>
  <c r="G32" i="14"/>
  <c r="S26" i="10"/>
  <c r="O54" i="8"/>
  <c r="Q26" i="10" s="1"/>
  <c r="O38" i="8"/>
  <c r="N27" i="10" s="1"/>
  <c r="O20" i="8"/>
  <c r="K27" i="10" s="1"/>
  <c r="G33" i="14"/>
  <c r="S27" i="10"/>
  <c r="O55" i="8"/>
  <c r="Q27" i="10" s="1"/>
  <c r="O39" i="8"/>
  <c r="N28" i="10" s="1"/>
  <c r="O21" i="8"/>
  <c r="K28" i="10" s="1"/>
  <c r="G34" i="14"/>
  <c r="S28" i="10"/>
  <c r="O56" i="8"/>
  <c r="Q28" i="10" s="1"/>
  <c r="O40" i="8"/>
  <c r="N29" i="10" s="1"/>
  <c r="O22" i="8"/>
  <c r="K29" i="10" s="1"/>
  <c r="G35" i="14"/>
  <c r="S29" i="10"/>
  <c r="O57" i="8"/>
  <c r="Q29" i="10" s="1"/>
  <c r="O41" i="8"/>
  <c r="N30" i="10" s="1"/>
  <c r="O23" i="8"/>
  <c r="K30" i="10" s="1"/>
  <c r="G36" i="14"/>
  <c r="S30" i="10"/>
  <c r="O58" i="8"/>
  <c r="Q30" i="10" s="1"/>
  <c r="O42" i="8"/>
  <c r="N31" i="10" s="1"/>
  <c r="O24" i="8"/>
  <c r="K31" i="10" s="1"/>
  <c r="G37" i="14"/>
  <c r="S31" i="10"/>
  <c r="G26" i="14"/>
  <c r="S20" i="10"/>
  <c r="S32" i="10" s="1"/>
  <c r="N17" i="9"/>
  <c r="O32" i="8"/>
  <c r="N21" i="10" s="1"/>
  <c r="O14" i="8"/>
  <c r="K21" i="10" s="1"/>
  <c r="O48" i="8"/>
  <c r="O31" i="8"/>
  <c r="O13" i="8"/>
  <c r="O19" i="4"/>
  <c r="G3" i="14"/>
  <c r="D17" i="9"/>
  <c r="E33" i="8"/>
  <c r="N5" i="10" s="1"/>
  <c r="E15" i="8"/>
  <c r="E32" i="8"/>
  <c r="E14" i="8"/>
  <c r="E49" i="8"/>
  <c r="E19" i="4"/>
  <c r="E34" i="8"/>
  <c r="N6" i="10" s="1"/>
  <c r="E16" i="8"/>
  <c r="E50" i="8"/>
  <c r="Q5" i="10" s="1"/>
  <c r="E51" i="8"/>
  <c r="Q6" i="10" s="1"/>
  <c r="E35" i="8"/>
  <c r="N7" i="10" s="1"/>
  <c r="E17" i="8"/>
  <c r="E36" i="8"/>
  <c r="N8" i="10" s="1"/>
  <c r="E18" i="8"/>
  <c r="E52" i="8"/>
  <c r="Q7" i="10" s="1"/>
  <c r="E37" i="8"/>
  <c r="N9" i="10" s="1"/>
  <c r="E19" i="8"/>
  <c r="E53" i="8"/>
  <c r="Q8" i="10" s="1"/>
  <c r="E38" i="8"/>
  <c r="N10" i="10" s="1"/>
  <c r="E20" i="8"/>
  <c r="E54" i="8"/>
  <c r="Q9" i="10" s="1"/>
  <c r="E39" i="8"/>
  <c r="N11" i="10" s="1"/>
  <c r="E21" i="8"/>
  <c r="E55" i="8"/>
  <c r="Q10" i="10" s="1"/>
  <c r="E40" i="8"/>
  <c r="N12" i="10" s="1"/>
  <c r="E22" i="8"/>
  <c r="E56" i="8"/>
  <c r="Q11" i="10" s="1"/>
  <c r="E41" i="8"/>
  <c r="N13" i="10" s="1"/>
  <c r="E23" i="8"/>
  <c r="E57" i="8"/>
  <c r="Q12" i="10" s="1"/>
  <c r="E42" i="8"/>
  <c r="N14" i="10" s="1"/>
  <c r="E24" i="8"/>
  <c r="E58" i="8"/>
  <c r="Q13" i="10" s="1"/>
  <c r="E15" i="11"/>
  <c r="H15" i="11" s="1"/>
  <c r="H3" i="11"/>
  <c r="G14" i="14"/>
  <c r="S3" i="10"/>
  <c r="J48" i="8"/>
  <c r="J31" i="8"/>
  <c r="J13" i="8"/>
  <c r="J8" i="4"/>
  <c r="I6" i="9"/>
  <c r="W7" i="9"/>
  <c r="F52" i="14" s="1"/>
  <c r="W5" i="9"/>
  <c r="R7" i="9"/>
  <c r="F39" i="14"/>
  <c r="R38" i="10"/>
  <c r="T38" i="10" s="1"/>
  <c r="R5" i="9"/>
  <c r="M7" i="9"/>
  <c r="F27" i="14"/>
  <c r="R21" i="10"/>
  <c r="T21" i="10" s="1"/>
  <c r="I20" i="11" s="1"/>
  <c r="J20" i="11" s="1"/>
  <c r="O4" i="11" s="1"/>
  <c r="M5" i="9"/>
  <c r="H7" i="9"/>
  <c r="F16" i="14" s="1"/>
  <c r="H5" i="9"/>
  <c r="C7" i="9"/>
  <c r="F3" i="14"/>
  <c r="R4" i="10"/>
  <c r="C5" i="9"/>
  <c r="Q4" i="10" l="1"/>
  <c r="Q15" i="10" s="1"/>
  <c r="E60" i="8"/>
  <c r="R2" i="14" a="1"/>
  <c r="R2" i="14" s="1"/>
  <c r="E25" i="8"/>
  <c r="N4" i="10"/>
  <c r="N15" i="10" s="1"/>
  <c r="E43" i="8"/>
  <c r="O2" i="14" a="1"/>
  <c r="O2" i="14" s="1"/>
  <c r="L2" i="14" a="1"/>
  <c r="L2" i="14" s="1"/>
  <c r="K20" i="10"/>
  <c r="K32" i="10" s="1"/>
  <c r="O25" i="8"/>
  <c r="L26" i="14" a="1"/>
  <c r="L26" i="14" s="1"/>
  <c r="N20" i="10"/>
  <c r="N32" i="10" s="1"/>
  <c r="O43" i="8"/>
  <c r="O26" i="14" a="1"/>
  <c r="O26" i="14" s="1"/>
  <c r="Q20" i="10"/>
  <c r="Q32" i="10" s="1"/>
  <c r="O60" i="8"/>
  <c r="R26" i="14" a="1"/>
  <c r="R26" i="14" s="1"/>
  <c r="K37" i="10"/>
  <c r="K49" i="10" s="1"/>
  <c r="T25" i="8"/>
  <c r="L38" i="14" a="1"/>
  <c r="L38" i="14" s="1"/>
  <c r="N37" i="10"/>
  <c r="N49" i="10" s="1"/>
  <c r="T43" i="8"/>
  <c r="O38" i="14" a="1"/>
  <c r="O38" i="14" s="1"/>
  <c r="Q37" i="10"/>
  <c r="T60" i="8"/>
  <c r="R38" i="14" a="1"/>
  <c r="R38" i="14" s="1"/>
  <c r="Y25" i="8"/>
  <c r="L50" i="14" a="1"/>
  <c r="L50" i="14" s="1"/>
  <c r="Y43" i="8"/>
  <c r="O50" i="14" a="1"/>
  <c r="O50" i="14" s="1"/>
  <c r="Y60" i="8"/>
  <c r="R50" i="14" a="1"/>
  <c r="R50" i="14" s="1"/>
  <c r="G15" i="14"/>
  <c r="S4" i="10"/>
  <c r="J49" i="8"/>
  <c r="J32" i="8"/>
  <c r="J14" i="8"/>
  <c r="K4" i="10" s="1"/>
  <c r="T4" i="10" s="1"/>
  <c r="I4" i="11" s="1"/>
  <c r="J4" i="11" s="1"/>
  <c r="N4" i="11" s="1"/>
  <c r="Q4" i="11" s="1"/>
  <c r="J9" i="4"/>
  <c r="I7" i="9"/>
  <c r="K3" i="10"/>
  <c r="F2" i="14"/>
  <c r="R3" i="10"/>
  <c r="F4" i="14"/>
  <c r="R5" i="10"/>
  <c r="F14" i="14"/>
  <c r="F26" i="14"/>
  <c r="R20" i="10"/>
  <c r="F28" i="14"/>
  <c r="R22" i="10"/>
  <c r="T22" i="10" s="1"/>
  <c r="I21" i="11" s="1"/>
  <c r="J21" i="11" s="1"/>
  <c r="O5" i="11" s="1"/>
  <c r="F38" i="14"/>
  <c r="R37" i="10"/>
  <c r="F40" i="14"/>
  <c r="R39" i="10"/>
  <c r="T39" i="10" s="1"/>
  <c r="F50" i="14"/>
  <c r="I35" i="11" l="1"/>
  <c r="J35" i="11" s="1"/>
  <c r="Q49" i="10"/>
  <c r="T3" i="10"/>
  <c r="G16" i="14"/>
  <c r="S5" i="10"/>
  <c r="J50" i="8"/>
  <c r="J33" i="8"/>
  <c r="J15" i="8"/>
  <c r="J10" i="4"/>
  <c r="I8" i="9"/>
  <c r="W9" i="9"/>
  <c r="F54" i="14" s="1"/>
  <c r="W8" i="9"/>
  <c r="R9" i="9"/>
  <c r="R8" i="9"/>
  <c r="T37" i="10"/>
  <c r="M9" i="9"/>
  <c r="M8" i="9"/>
  <c r="T20" i="10"/>
  <c r="H9" i="9"/>
  <c r="F18" i="14" s="1"/>
  <c r="H8" i="9"/>
  <c r="C9" i="9"/>
  <c r="C8" i="9"/>
  <c r="P3" i="11" l="1"/>
  <c r="J47" i="11"/>
  <c r="G17" i="14"/>
  <c r="S6" i="10"/>
  <c r="J51" i="8"/>
  <c r="J34" i="8"/>
  <c r="J16" i="8"/>
  <c r="K6" i="10" s="1"/>
  <c r="J11" i="4"/>
  <c r="I9" i="9"/>
  <c r="K5" i="10"/>
  <c r="I3" i="11"/>
  <c r="J3" i="11" s="1"/>
  <c r="F5" i="14"/>
  <c r="R6" i="10"/>
  <c r="F6" i="14"/>
  <c r="R7" i="10"/>
  <c r="F17" i="14"/>
  <c r="I19" i="11"/>
  <c r="J19" i="11" s="1"/>
  <c r="F29" i="14"/>
  <c r="R23" i="10"/>
  <c r="F30" i="14"/>
  <c r="R24" i="10"/>
  <c r="T24" i="10" s="1"/>
  <c r="I23" i="11" s="1"/>
  <c r="J23" i="11" s="1"/>
  <c r="O7" i="11" s="1"/>
  <c r="F41" i="14"/>
  <c r="R40" i="10"/>
  <c r="F42" i="14"/>
  <c r="R41" i="10"/>
  <c r="T41" i="10" s="1"/>
  <c r="F53" i="14"/>
  <c r="N3" i="11" l="1"/>
  <c r="T5" i="10"/>
  <c r="G18" i="14"/>
  <c r="S7" i="10"/>
  <c r="J52" i="8"/>
  <c r="J35" i="8"/>
  <c r="J17" i="8"/>
  <c r="J12" i="4"/>
  <c r="I10" i="9"/>
  <c r="T6" i="10"/>
  <c r="I6" i="11" s="1"/>
  <c r="J6" i="11" s="1"/>
  <c r="N6" i="11" s="1"/>
  <c r="W11" i="9"/>
  <c r="F56" i="14" s="1"/>
  <c r="W10" i="9"/>
  <c r="R11" i="9"/>
  <c r="R10" i="9"/>
  <c r="T40" i="10"/>
  <c r="M11" i="9"/>
  <c r="M10" i="9"/>
  <c r="T23" i="10"/>
  <c r="O3" i="11"/>
  <c r="H11" i="9"/>
  <c r="F20" i="14" s="1"/>
  <c r="H10" i="9"/>
  <c r="C11" i="9"/>
  <c r="C10" i="9"/>
  <c r="Q3" i="11" l="1"/>
  <c r="G19" i="14"/>
  <c r="S8" i="10"/>
  <c r="J53" i="8"/>
  <c r="J36" i="8"/>
  <c r="J18" i="8"/>
  <c r="K8" i="10" s="1"/>
  <c r="J13" i="4"/>
  <c r="I11" i="9"/>
  <c r="K7" i="10"/>
  <c r="I5" i="11"/>
  <c r="J5" i="11" s="1"/>
  <c r="F7" i="14"/>
  <c r="R8" i="10"/>
  <c r="F8" i="14"/>
  <c r="R9" i="10"/>
  <c r="F19" i="14"/>
  <c r="I22" i="11"/>
  <c r="J22" i="11" s="1"/>
  <c r="F31" i="14"/>
  <c r="R25" i="10"/>
  <c r="F32" i="14"/>
  <c r="R26" i="10"/>
  <c r="T26" i="10" s="1"/>
  <c r="I25" i="11" s="1"/>
  <c r="J25" i="11" s="1"/>
  <c r="O9" i="11" s="1"/>
  <c r="F43" i="14"/>
  <c r="R42" i="10"/>
  <c r="F44" i="14"/>
  <c r="R43" i="10"/>
  <c r="T43" i="10" s="1"/>
  <c r="F55" i="14"/>
  <c r="N5" i="11" l="1"/>
  <c r="T7" i="10"/>
  <c r="G20" i="14"/>
  <c r="S9" i="10"/>
  <c r="J54" i="8"/>
  <c r="J37" i="8"/>
  <c r="J19" i="8"/>
  <c r="J14" i="4"/>
  <c r="I12" i="9"/>
  <c r="T8" i="10"/>
  <c r="I8" i="11" s="1"/>
  <c r="J8" i="11" s="1"/>
  <c r="N8" i="11" s="1"/>
  <c r="W13" i="9"/>
  <c r="F58" i="14" s="1"/>
  <c r="W12" i="9"/>
  <c r="R13" i="9"/>
  <c r="R12" i="9"/>
  <c r="T42" i="10"/>
  <c r="M13" i="9"/>
  <c r="M12" i="9"/>
  <c r="T25" i="10"/>
  <c r="O6" i="11"/>
  <c r="H13" i="9"/>
  <c r="F22" i="14" s="1"/>
  <c r="H12" i="9"/>
  <c r="C13" i="9"/>
  <c r="C12" i="9"/>
  <c r="Q6" i="11" l="1"/>
  <c r="G21" i="14"/>
  <c r="S10" i="10"/>
  <c r="J55" i="8"/>
  <c r="J38" i="8"/>
  <c r="J20" i="8"/>
  <c r="K10" i="10" s="1"/>
  <c r="J15" i="4"/>
  <c r="I13" i="9"/>
  <c r="K9" i="10"/>
  <c r="I7" i="11"/>
  <c r="J7" i="11" s="1"/>
  <c r="Q5" i="11"/>
  <c r="F9" i="14"/>
  <c r="R10" i="10"/>
  <c r="F10" i="14"/>
  <c r="R11" i="10"/>
  <c r="F21" i="14"/>
  <c r="I24" i="11"/>
  <c r="J24" i="11" s="1"/>
  <c r="F33" i="14"/>
  <c r="R27" i="10"/>
  <c r="F34" i="14"/>
  <c r="R28" i="10"/>
  <c r="T28" i="10" s="1"/>
  <c r="I27" i="11" s="1"/>
  <c r="J27" i="11" s="1"/>
  <c r="O11" i="11" s="1"/>
  <c r="F45" i="14"/>
  <c r="R44" i="10"/>
  <c r="F46" i="14"/>
  <c r="R45" i="10"/>
  <c r="T45" i="10" s="1"/>
  <c r="F57" i="14"/>
  <c r="N7" i="11" l="1"/>
  <c r="T9" i="10"/>
  <c r="G22" i="14"/>
  <c r="S11" i="10"/>
  <c r="J56" i="8"/>
  <c r="J39" i="8"/>
  <c r="J21" i="8"/>
  <c r="J16" i="4"/>
  <c r="I14" i="9"/>
  <c r="T10" i="10"/>
  <c r="I10" i="11" s="1"/>
  <c r="J10" i="11" s="1"/>
  <c r="N10" i="11" s="1"/>
  <c r="W15" i="9"/>
  <c r="F60" i="14" s="1"/>
  <c r="W14" i="9"/>
  <c r="R15" i="9"/>
  <c r="R14" i="9"/>
  <c r="T44" i="10"/>
  <c r="M15" i="9"/>
  <c r="M14" i="9"/>
  <c r="T27" i="10"/>
  <c r="O8" i="11"/>
  <c r="Q8" i="11" s="1"/>
  <c r="H15" i="9"/>
  <c r="F24" i="14" s="1"/>
  <c r="H14" i="9"/>
  <c r="C15" i="9"/>
  <c r="C14" i="9"/>
  <c r="G23" i="14" l="1"/>
  <c r="S12" i="10"/>
  <c r="J57" i="8"/>
  <c r="J40" i="8"/>
  <c r="J22" i="8"/>
  <c r="K12" i="10" s="1"/>
  <c r="J17" i="4"/>
  <c r="I15" i="9"/>
  <c r="H41" i="4"/>
  <c r="K11" i="10"/>
  <c r="I9" i="11"/>
  <c r="J9" i="11" s="1"/>
  <c r="Q7" i="11"/>
  <c r="F11" i="14"/>
  <c r="R12" i="10"/>
  <c r="F12" i="14"/>
  <c r="R13" i="10"/>
  <c r="F23" i="14"/>
  <c r="I26" i="11"/>
  <c r="J26" i="11" s="1"/>
  <c r="F35" i="14"/>
  <c r="R29" i="10"/>
  <c r="F36" i="14"/>
  <c r="R30" i="10"/>
  <c r="T30" i="10" s="1"/>
  <c r="I29" i="11" s="1"/>
  <c r="J29" i="11" s="1"/>
  <c r="O13" i="11" s="1"/>
  <c r="F47" i="14"/>
  <c r="R46" i="10"/>
  <c r="F48" i="14"/>
  <c r="R47" i="10"/>
  <c r="T47" i="10" s="1"/>
  <c r="I47" i="11" s="1"/>
  <c r="F59" i="14"/>
  <c r="N9" i="11" l="1"/>
  <c r="T11" i="10"/>
  <c r="G24" i="14"/>
  <c r="S13" i="10"/>
  <c r="J58" i="8"/>
  <c r="J41" i="8"/>
  <c r="J23" i="8"/>
  <c r="J18" i="4"/>
  <c r="I16" i="9"/>
  <c r="T12" i="10"/>
  <c r="I12" i="11" s="1"/>
  <c r="J12" i="11" s="1"/>
  <c r="N12" i="11" s="1"/>
  <c r="W16" i="9"/>
  <c r="W57" i="4"/>
  <c r="R16" i="9"/>
  <c r="R57" i="4"/>
  <c r="T46" i="10"/>
  <c r="M16" i="9"/>
  <c r="M57" i="4"/>
  <c r="T29" i="10"/>
  <c r="O10" i="11"/>
  <c r="H16" i="9"/>
  <c r="H57" i="4"/>
  <c r="C16" i="9"/>
  <c r="C57" i="4"/>
  <c r="Q10" i="11" l="1"/>
  <c r="G25" i="14"/>
  <c r="S14" i="10"/>
  <c r="I17" i="9"/>
  <c r="J59" i="8"/>
  <c r="J42" i="8"/>
  <c r="J24" i="8"/>
  <c r="K14" i="10" s="1"/>
  <c r="J19" i="4"/>
  <c r="J43" i="8" s="1"/>
  <c r="K13" i="10"/>
  <c r="J25" i="8"/>
  <c r="L14" i="14" a="1"/>
  <c r="L14" i="14" s="1"/>
  <c r="O14" i="14" a="1"/>
  <c r="O14" i="14" s="1"/>
  <c r="J60" i="8"/>
  <c r="R14" i="14" a="1"/>
  <c r="R14" i="14" s="1"/>
  <c r="S15" i="10"/>
  <c r="I11" i="11"/>
  <c r="J11" i="11" s="1"/>
  <c r="Q9" i="11"/>
  <c r="F13" i="14"/>
  <c r="R14" i="10"/>
  <c r="R15" i="10" s="1"/>
  <c r="C17" i="9"/>
  <c r="F25" i="14"/>
  <c r="H17" i="9"/>
  <c r="I28" i="11"/>
  <c r="J28" i="11" s="1"/>
  <c r="F37" i="14"/>
  <c r="R31" i="10"/>
  <c r="M17" i="9"/>
  <c r="F49" i="14"/>
  <c r="R48" i="10"/>
  <c r="R17" i="9"/>
  <c r="F61" i="14"/>
  <c r="W17" i="9"/>
  <c r="N11" i="11" l="1"/>
  <c r="T13" i="10"/>
  <c r="K15" i="10"/>
  <c r="T14" i="10"/>
  <c r="I14" i="11" s="1"/>
  <c r="J14" i="11" s="1"/>
  <c r="N14" i="11" s="1"/>
  <c r="T48" i="10"/>
  <c r="T49" i="10" s="1"/>
  <c r="R49" i="10"/>
  <c r="T31" i="10"/>
  <c r="R32" i="10"/>
  <c r="O12" i="11"/>
  <c r="Q12" i="11" l="1"/>
  <c r="I13" i="11"/>
  <c r="J13" i="11" s="1"/>
  <c r="T15" i="10"/>
  <c r="I15" i="11" s="1"/>
  <c r="Q11" i="11"/>
  <c r="I30" i="11"/>
  <c r="J30" i="11" s="1"/>
  <c r="I31" i="11"/>
  <c r="T32" i="10"/>
  <c r="N13" i="11" l="1"/>
  <c r="J15" i="11"/>
  <c r="O14" i="11"/>
  <c r="Q14" i="11" s="1"/>
  <c r="J31" i="11"/>
  <c r="N15" i="11" l="1"/>
  <c r="Q1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<sst xmlns="http://schemas.openxmlformats.org/spreadsheetml/2006/main" count="1820" uniqueCount="252">
  <si>
    <t>DEMANDA MÉDIA 2025 1:</t>
  </si>
  <si>
    <t>VALOR DA FRANQUIA PARA ATUAÇÃO NAS REGIÕES DO BRASIL</t>
  </si>
  <si>
    <t>DEMANDA ANUAL NACIONAL - PESQUISA DE CADA EMPRESA</t>
  </si>
  <si>
    <t>REGIÃO</t>
  </si>
  <si>
    <t xml:space="preserve">VALOR </t>
  </si>
  <si>
    <t>APÓS A PESQUISA DE DEMANDA SERÁ DEFINIDA A DEMANDA MÉDIA NACIONAL. A DEMANDA REGIONAL E POR APARELHOS SERÁ DEFINIDA POR CADA EMPRESA.</t>
  </si>
  <si>
    <t>SUL/SUDESTE</t>
  </si>
  <si>
    <t>NORDESTE</t>
  </si>
  <si>
    <t>PREÇOS DOS CELULARES - PESQUISA DE CADA EMPRESA.</t>
  </si>
  <si>
    <t>NORTE/C.OESTE</t>
  </si>
  <si>
    <t>APÓS A PESQUISA DE PREÇOS DOS CELULARES, SERÁ DEFINIDO O PREÇO ÚNICO DE COMPRA NACIONAL PARA CADA UM DOS 4 APARELHOS. O PREÇO DE VENDA REGIONAL SERÁ DEFINIDO POR CADA EMPRESA.</t>
  </si>
  <si>
    <t>CUSTO ARMAZÉM</t>
  </si>
  <si>
    <t>1 LOTE = 5000 CELULARES</t>
  </si>
  <si>
    <t>CÂMBIO E INFLAÇÃO PODEM SER UTILIZADOS OS VALORES E PROJEÇÕES DESTE ANO DE 2024</t>
  </si>
  <si>
    <t>CAPACIDADE ARMAZÉM Nº LOTES</t>
  </si>
  <si>
    <t xml:space="preserve">AQUISIÇÃO </t>
  </si>
  <si>
    <t>MANUTENÇÃO MENSAL</t>
  </si>
  <si>
    <t>CUSTO EQUIPES FUNCIONÁRIOS</t>
  </si>
  <si>
    <t>1 EQUIPE = 10 FUNCIONÁRIOS</t>
  </si>
  <si>
    <t>CONTRATAÇÃO</t>
  </si>
  <si>
    <t>TREINAMENTO</t>
  </si>
  <si>
    <t>SALÁRIO MENSAL</t>
  </si>
  <si>
    <t>LOGÍSTICA</t>
  </si>
  <si>
    <t>COMERCIAL</t>
  </si>
  <si>
    <t>INFRAESTRUTURA</t>
  </si>
  <si>
    <t>1 EQUIPE LOGÍSTICA MOVIMENTA 10 LOTES</t>
  </si>
  <si>
    <t>1 EQUIPE COMERCIAL VENDE 5 LOTES</t>
  </si>
  <si>
    <t>1 EQUIPE INFRAESTRUTURA INSTALA E MANTÉM 5 ERBs/MÊS</t>
  </si>
  <si>
    <t>VALOR DOS PACOTES DE SERVIÇO</t>
  </si>
  <si>
    <t>POSTO DE ATENDIMENTO (PA)</t>
  </si>
  <si>
    <t>NÍVEL DE SERVIÇO GERAL É A MÉDIA GERAL ENTRE OS DOIS NÍVEIS DE SERVIÇO</t>
  </si>
  <si>
    <t>1 PA = 10 ATENDENTES</t>
  </si>
  <si>
    <t>NÍVEL DE SERVIÇO PAs</t>
  </si>
  <si>
    <t>NÍVEL DE OCUPAÇÃO</t>
  </si>
  <si>
    <t>escolha</t>
  </si>
  <si>
    <t>ocupação</t>
  </si>
  <si>
    <t>MODELO CELULAR</t>
  </si>
  <si>
    <t>VALOR</t>
  </si>
  <si>
    <t>NÍVEL 5</t>
  </si>
  <si>
    <t>&lt; 49%</t>
  </si>
  <si>
    <t>IMPORTADO + CARO</t>
  </si>
  <si>
    <t>CUSTO MÊS 1 PA</t>
  </si>
  <si>
    <t>NÍVEL 4</t>
  </si>
  <si>
    <t>ENTRE 50 E 64%</t>
  </si>
  <si>
    <t>NACIONAL + CARO</t>
  </si>
  <si>
    <t>1 PA ATENDE 27.000 CLIENTES</t>
  </si>
  <si>
    <t>NÍVEL 3</t>
  </si>
  <si>
    <t>ENTRE 65 E 74%</t>
  </si>
  <si>
    <t>IMPORTADO + BARATO</t>
  </si>
  <si>
    <t>NÍVEL 2</t>
  </si>
  <si>
    <t>ENTRE 75 A 89%</t>
  </si>
  <si>
    <t>NACIONAL + BARATO</t>
  </si>
  <si>
    <t>NÍVEL 1</t>
  </si>
  <si>
    <t>&gt; 90%</t>
  </si>
  <si>
    <t>ERB (ESTAÇÃO RÁDIO BASE)</t>
  </si>
  <si>
    <t>CUSTO DE INSTALAÇÃO 1 ERB</t>
  </si>
  <si>
    <t>NÍVEL DE SERVIÇO ERBs</t>
  </si>
  <si>
    <t>EXCELENTE</t>
  </si>
  <si>
    <t>=SE(MARRED('Pesquisa de mercado'!$K35*'Pesquisa de mercado'!B$11,5000)&gt;$B$3*,MARRED('Pesquisa de mercado'!$K35*'Pesquisa de mercado'!B$11,5000), 0)</t>
  </si>
  <si>
    <t>VARIAÇÃO PREÇO DE VENDA</t>
  </si>
  <si>
    <t>&lt; 50%</t>
  </si>
  <si>
    <t>BOM</t>
  </si>
  <si>
    <t>Máximo</t>
  </si>
  <si>
    <t>até 30% maior do que o preço médio</t>
  </si>
  <si>
    <t>QTDE DE CLIENTES SUPORTADOS POR UMA ERB POR REGIÃO</t>
  </si>
  <si>
    <t>ENTRE 50,01 E 60%</t>
  </si>
  <si>
    <t>REGULAR</t>
  </si>
  <si>
    <t>Minímo</t>
  </si>
  <si>
    <t>até 10% menor do que o preço médio</t>
  </si>
  <si>
    <t>QTD CELULARES</t>
  </si>
  <si>
    <t>ENTRE 60,01 E 75%</t>
  </si>
  <si>
    <t>RUIM</t>
  </si>
  <si>
    <t>SUL / SUDESTE</t>
  </si>
  <si>
    <t>ENTRE 75,01 A 85%</t>
  </si>
  <si>
    <t>PÉSSIMO</t>
  </si>
  <si>
    <t>Valor de impostos:</t>
  </si>
  <si>
    <t>30% do preço de compra nacional</t>
  </si>
  <si>
    <t>&gt; 85,01%</t>
  </si>
  <si>
    <t>40% do preço de compra importado</t>
  </si>
  <si>
    <t>CENTRO-OESTE / NORTE</t>
  </si>
  <si>
    <t>PROPORÇÃO ENTRE PREÇO DE COMPRA E VENDA</t>
  </si>
  <si>
    <t>Aparelho</t>
  </si>
  <si>
    <t>Preço de Venda Médio</t>
  </si>
  <si>
    <t>Preço de Compra</t>
  </si>
  <si>
    <t>Nacional mais barato</t>
  </si>
  <si>
    <t>Importado mais barato</t>
  </si>
  <si>
    <t>Nacional mais caro</t>
  </si>
  <si>
    <t>Importado mais caro</t>
  </si>
  <si>
    <t>PROJ INTEG I - GPI -  2025 1</t>
  </si>
  <si>
    <t>Demanda Nacional 2025</t>
  </si>
  <si>
    <t>Previsão do número total de celulares em unidade a serem comercializados no país neste ano corrente.</t>
  </si>
  <si>
    <t>=MARRED('Pesquisa de mercado'!G35*'Pesquisa de mercado'!11,5000)</t>
  </si>
  <si>
    <t xml:space="preserve">Fonte(s): </t>
  </si>
  <si>
    <t>https://pt.tradingeconomics.com/brazil/population#:~:text=A%20população%20no%20Brasil%20deverá,e%20as%20expectativas%20dos%20analistas.</t>
  </si>
  <si>
    <t>https://www.meioemensagem.com.br/marketing/moveis-e-celulares-o-que-os-brasileiros-desejam-comprar-em-2025#:~:text=Segundo%20o%20estudo%2C%2063%25%20dos,na%20pesquisa%20planejam%20comprar%20móveis.</t>
  </si>
  <si>
    <t>Pesquisa de Preços</t>
  </si>
  <si>
    <t>No Jogo será:</t>
  </si>
  <si>
    <t xml:space="preserve">Fonte: </t>
  </si>
  <si>
    <t>IPHONE 16 PRO MAX</t>
  </si>
  <si>
    <t>SAMSUNG GALAXY S25 ULTRA</t>
  </si>
  <si>
    <t xml:space="preserve">Motorola Edge 50 </t>
  </si>
  <si>
    <t>Motorola Moto G54</t>
  </si>
  <si>
    <t>O Importado mais caro</t>
  </si>
  <si>
    <t>https://www.apple.com/br/shop/buy-iphone/iphone-16-pro</t>
  </si>
  <si>
    <t>O Nacional mais caro</t>
  </si>
  <si>
    <t>https://shop.samsung.com/br/galaxy-s25-ultra/p?_gl=1*wwut9y*_gcl_au*MTc2MDExMzI1Ni4xNzQzNTQ3MzEz*FPAU*MTc2MDExMzI1Ni4xNzQzNTQ3MzEz</t>
  </si>
  <si>
    <t>O Importado mais barato</t>
  </si>
  <si>
    <t>https://www.motorola.com.br/smartphone-motorola-edge-50-pro/p?idsku=1522&amp;gad_source=1&amp;gclid=Cj0KCQjwna6_BhCbARIsALId2Z0ohB4xSVgcci7BZGt12feOPnKfH5uHSuJca-RZ0f5wRFYZWMJ6HqAaAuX-EALw_wcB</t>
  </si>
  <si>
    <t>O Nacional mais barato</t>
  </si>
  <si>
    <t>https://www.mercadolivre.com.br/smartphone-motorola-moto-g54-5g-256-gb-azul-8-gb-ram/p/MLB34113229?pdp_filters=item_id%3AMLB5332740318&amp;from=gshop&amp;matt_tool=33167885&amp;matt_word=&amp;matt_source=google&amp;matt_campaign_id=22127560717&amp;matt_ad_group_id=172644202239&amp;matt_match_type=&amp;matt_network=g&amp;matt_device=c&amp;matt_creative=728942948133&amp;matt_keyword=&amp;matt_ad_position=&amp;matt_ad_type=pla&amp;matt_merchant_id=735125422&amp;matt_product_id=MLB34113229-product&amp;matt_product_partition_id=2413654277914&amp;matt_target_id=pla-2413654277914&amp;cq_src=google_ads&amp;cq_cmp=22127560717&amp;cq_net=g&amp;cq_plt=gp&amp;cq_med=pla&amp;gad_source=1&amp;gclid=Cj0KCQjwna6_BhCbARIsALId2Z0gMHucq0jT_BqXPca18dUwS8MjMfxTyvvpP_WBxTZjln9AVEaoHRwaAjT-EALw_wcB</t>
  </si>
  <si>
    <t>Obs: ordenar os preços de 1 a 4 por ordem de valor, sendo o 1 mais caro e o 4 mais barato</t>
  </si>
  <si>
    <t>=</t>
  </si>
  <si>
    <t>Demografia e dados Sócio-Econômicos</t>
  </si>
  <si>
    <t>Classes sociais em %</t>
  </si>
  <si>
    <t>Regiões</t>
  </si>
  <si>
    <t>possível quantidade de compradores</t>
  </si>
  <si>
    <t>celulares premium</t>
  </si>
  <si>
    <t>celular custo  Beneficio C</t>
  </si>
  <si>
    <t>celular custo  Beneficio D e E</t>
  </si>
  <si>
    <t>População</t>
  </si>
  <si>
    <t>%</t>
  </si>
  <si>
    <t>A</t>
  </si>
  <si>
    <t>B</t>
  </si>
  <si>
    <t>C</t>
  </si>
  <si>
    <t>D</t>
  </si>
  <si>
    <t>E</t>
  </si>
  <si>
    <t>1) Região Sul</t>
  </si>
  <si>
    <t>2) Região Sudeste</t>
  </si>
  <si>
    <t>3) Região Nordeste</t>
  </si>
  <si>
    <t xml:space="preserve">4) Região Cento-Oeste </t>
  </si>
  <si>
    <t>5) Região Norte</t>
  </si>
  <si>
    <t>Total</t>
  </si>
  <si>
    <t>Fonte(s):</t>
  </si>
  <si>
    <t>https://ftp.ibge.gov.br/Estimativas_de_Populacao/Estimativas_2024/POP2024_20241230.pdf</t>
  </si>
  <si>
    <t>https://gente.globo.com/infografico-pesquisa-panorama-das-classes-abcde/</t>
  </si>
  <si>
    <t>Obs: Para o desenvolvimento do Planejamento Estratégico da Empresa, pesquisem mais informações que considerarem relevantes!</t>
  </si>
  <si>
    <t>Sazonalidade</t>
  </si>
  <si>
    <t>A e B</t>
  </si>
  <si>
    <t xml:space="preserve"> D e E</t>
  </si>
  <si>
    <t>Comportamento de vendas ao longo do ano no varejo.  Considerando datas comemorativas e períodos especifícos (janeiro menos circulação de dinheiro e dezembro mais, por exemplo).</t>
  </si>
  <si>
    <t>Mês</t>
  </si>
  <si>
    <t>Qtde</t>
  </si>
  <si>
    <t>% trimestre</t>
  </si>
  <si>
    <t>mês</t>
  </si>
  <si>
    <t>Qant região sul</t>
  </si>
  <si>
    <t>Sudeste</t>
  </si>
  <si>
    <t>Nordeste</t>
  </si>
  <si>
    <t xml:space="preserve">Cento-Oeste </t>
  </si>
  <si>
    <t>Norte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</si>
  <si>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</si>
  <si>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</si>
  <si>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</si>
  <si>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</si>
  <si>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</si>
  <si>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</si>
  <si>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</si>
  <si>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</si>
  <si>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</si>
  <si>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</si>
  <si>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</si>
  <si>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</si>
  <si>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aproximadas</t>
  </si>
  <si>
    <t>https://www.ibge.gov.br/estatisticas/economicas/comercio/9227-pesquisa-mensal-de-comercio.html?edicao=39983&amp;t=resultados</t>
  </si>
  <si>
    <t>Obs: Ao inserir as porcentagens mensais, a soma deve corresponder a 100% da Demanda!</t>
  </si>
  <si>
    <t>Na coluna Qtde será realizada o cálculo automático sobre o item 1 da pesquisa</t>
  </si>
  <si>
    <t>MARKET SHARE</t>
  </si>
  <si>
    <t>Com estes números pesquisados proponha um valor inicial de Market Share Nacional para a sua Empresa.</t>
  </si>
  <si>
    <t>Empresa</t>
  </si>
  <si>
    <t>WaveLink</t>
  </si>
  <si>
    <t>Se já definiu o nome</t>
  </si>
  <si>
    <t>Obs: No desenvolvimento do Planej. Estratégico vcs definirão em algumas semanas o valor definitivo a ser colocado como objetivo!</t>
  </si>
  <si>
    <t>Market Share</t>
  </si>
  <si>
    <t xml:space="preserve">Lotes
</t>
  </si>
  <si>
    <t>Sul</t>
  </si>
  <si>
    <t>Suldeste</t>
  </si>
  <si>
    <t>Mercado</t>
  </si>
  <si>
    <t>Total atendido</t>
  </si>
  <si>
    <t>Total previsto</t>
  </si>
  <si>
    <t>total</t>
  </si>
  <si>
    <t>total de celulares</t>
  </si>
  <si>
    <t>Vendas aproximadas</t>
  </si>
  <si>
    <t>Diferença</t>
  </si>
  <si>
    <t>esse valor está compativél?</t>
  </si>
  <si>
    <t>armazem</t>
  </si>
  <si>
    <t>Armazem</t>
  </si>
  <si>
    <t>custo de aquisição</t>
  </si>
  <si>
    <t>Manutenção</t>
  </si>
  <si>
    <t>Contratação</t>
  </si>
  <si>
    <t>Centro-oeste</t>
  </si>
  <si>
    <t>qualidade</t>
  </si>
  <si>
    <t>ERBs a Instalar no Mês</t>
  </si>
  <si>
    <t>qualidade no Mês</t>
  </si>
  <si>
    <t>Infraestrutura</t>
  </si>
  <si>
    <t>Markup de venda</t>
  </si>
  <si>
    <t>Imposto</t>
  </si>
  <si>
    <t>preço de compra nacional</t>
  </si>
  <si>
    <t>preço de compra (UN)</t>
  </si>
  <si>
    <t>preço de compra importado</t>
  </si>
  <si>
    <t>imposto (UN)</t>
  </si>
  <si>
    <t>Preço de compra (Lote)</t>
  </si>
  <si>
    <t>preço de venda</t>
  </si>
  <si>
    <t>Porcentagem de venda</t>
  </si>
  <si>
    <t>Lucro</t>
  </si>
  <si>
    <t xml:space="preserve">Compras
</t>
  </si>
  <si>
    <t>Sul e Suldeste</t>
  </si>
  <si>
    <t>Cento-Oeste e Norte</t>
  </si>
  <si>
    <t xml:space="preserve">Vendas
</t>
  </si>
  <si>
    <t>Celulares</t>
  </si>
  <si>
    <t>contratação</t>
  </si>
  <si>
    <t>Treinamento</t>
  </si>
  <si>
    <t>Sul e Sudeste</t>
  </si>
  <si>
    <t>franquia de atuação (1x)</t>
  </si>
  <si>
    <t>franquia armazem</t>
  </si>
  <si>
    <t>PA's</t>
  </si>
  <si>
    <t>ERB's</t>
  </si>
  <si>
    <t>Pacotes</t>
  </si>
  <si>
    <t>Custo</t>
  </si>
  <si>
    <t>Centro oeste e Norte</t>
  </si>
  <si>
    <t>lucro mensal</t>
  </si>
  <si>
    <t>lucro total</t>
  </si>
  <si>
    <t>Numero minimo</t>
  </si>
  <si>
    <t>Esse numero define o quanto o valor desejado de arredondamento</t>
  </si>
  <si>
    <t>Ex: vendas prevista 2500, quero que arredonde para cima somente quando as vendas forem 70% de 5000. Logo ele só arredondará para cima, quando as unidades previstas forem no minimo 3500</t>
  </si>
  <si>
    <t xml:space="preserve">Vendas arredondas
</t>
  </si>
  <si>
    <t>Lote =</t>
  </si>
  <si>
    <t>as vendas foram arredondadas para multiplos de 5000, por isso gera uma diferença de lotes</t>
  </si>
  <si>
    <t xml:space="preserve">Vendas sem arredondar
</t>
  </si>
  <si>
    <t>numeros reais de possíveis celulares atendidos</t>
  </si>
  <si>
    <t>numero mês</t>
  </si>
  <si>
    <t>região</t>
  </si>
  <si>
    <t>Franquia de atuação</t>
  </si>
  <si>
    <t>Compra IPHONE 16 PRO MAX</t>
  </si>
  <si>
    <t xml:space="preserve"> Compra SAMSUNG GALAXY S25 ULTRA</t>
  </si>
  <si>
    <t xml:space="preserve">Compra Motorola Edge 50 </t>
  </si>
  <si>
    <t>Compra Motorola Moto G54</t>
  </si>
  <si>
    <t>Contratação Logistica</t>
  </si>
  <si>
    <t>Contratação Comercial</t>
  </si>
  <si>
    <t>Contratação Infraestrutura</t>
  </si>
  <si>
    <t>Treinamento Logistica</t>
  </si>
  <si>
    <t>Treinamento Comercial</t>
  </si>
  <si>
    <t>Treinamento Infraestrutura</t>
  </si>
  <si>
    <t>Salário Mensal Logistica</t>
  </si>
  <si>
    <t>Salário Mensal Comercial</t>
  </si>
  <si>
    <t>Salário Mensal Infraestrutura</t>
  </si>
  <si>
    <t>Venda IPHONE 16 PRO MAX</t>
  </si>
  <si>
    <t>Venda SAMSUNG GALAXY S25 ULTRA</t>
  </si>
  <si>
    <t xml:space="preserve">Venda Motorola Edge 50 </t>
  </si>
  <si>
    <t>Venda Motorola Moto G54</t>
  </si>
  <si>
    <t>Plano  IPHONE 16 PRO MAX</t>
  </si>
  <si>
    <t>Plano  SAMSUNG GALAXY S25 ULTRA</t>
  </si>
  <si>
    <t xml:space="preserve">Plano Motorola Edge 50 </t>
  </si>
  <si>
    <t>Plano  Motorola Moto 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</si>
</sst>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R$-416]\ #,##0.00"/>
    <numFmt numFmtId="167" formatCode="0.00000%"/>
    <numFmt numFmtId="168" formatCode="0.000%"/>
    <numFmt numFmtId="169" formatCode="0.0%"/>
    <numFmt numFmtId="170" formatCode="_-[$R$-416]\ * #,##0.00_-;\-[$R$-416]\ * #,##0.00_-;_-[$R$-416]\ * \-??_-;_-@_-"/>
    <numFmt numFmtId="171" formatCode="_-[$R$-416]\ * #,##0.00_-;\-[$R$-416]\ * #,##0.00_-;_-[$R$-416]\ * &quot;-&quot;??_-;_-@_-"/>
    <numFmt numFmtId="172" formatCode="&quot;R$&quot;#,##0.00"/>
    <numFmt numFmtId="173" formatCode="&quot;R$ &quot;#,##0.00;[Red]&quot;-R$ &quot;#,##0.00"/>
    <numFmt numFmtId="174" formatCode="&quot;R$&quot;\ #.##"/>
    <numFmt numFmtId="175" formatCode="0.000"/>
    <numFmt numFmtId="176" formatCode="[$RF-487]\ #,##0.00"/>
    <numFmt numFmtId="177" formatCode="&quot;R$&quot;\ #,##0.00"/>
  </numFmts>
  <fonts count="38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Segoe UI"/>
      <family val="2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9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9"/>
      <color rgb="FF242424"/>
      <name val="Aptos Narrow"/>
      <charset val="1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charset val="1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E49EDD"/>
      <name val="Aptos Narrow"/>
      <family val="2"/>
      <scheme val="minor"/>
    </font>
    <font>
      <b/>
      <sz val="11"/>
      <color rgb="FFE49EDD"/>
      <name val="Aptos Narrow"/>
      <family val="2"/>
      <scheme val="minor"/>
    </font>
    <font>
      <b/>
      <u/>
      <sz val="11"/>
      <color rgb="FF000000"/>
      <name val="Calibri"/>
      <family val="2"/>
      <charset val="1"/>
    </font>
    <font>
      <b/>
      <u/>
      <sz val="11"/>
      <color theme="1"/>
      <name val="Calibri"/>
      <family val="2"/>
      <charset val="1"/>
    </font>
    <font>
      <b/>
      <u/>
      <sz val="9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9" tint="0.59987182226020086"/>
        <bgColor rgb="FFC9C9C9"/>
      </patternFill>
    </fill>
    <fill>
      <patternFill patternType="solid">
        <fgColor theme="5" tint="0.59987182226020086"/>
        <bgColor rgb="FFFFE699"/>
      </patternFill>
    </fill>
    <fill>
      <patternFill patternType="solid">
        <fgColor theme="6" tint="0.39988402966399123"/>
        <bgColor rgb="FFBDD7EE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59987182226020086"/>
        <bgColor rgb="FFC9C9C9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4"/>
        <bgColor rgb="FFF8CBAD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2CAEC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2" borderId="11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2" borderId="12" xfId="0" applyFill="1" applyBorder="1"/>
    <xf numFmtId="2" fontId="0" fillId="0" borderId="0" xfId="0" applyNumberFormat="1"/>
    <xf numFmtId="10" fontId="0" fillId="0" borderId="0" xfId="0" applyNumberFormat="1"/>
    <xf numFmtId="164" fontId="0" fillId="0" borderId="0" xfId="1" applyFont="1" applyFill="1"/>
    <xf numFmtId="1" fontId="0" fillId="0" borderId="0" xfId="0" applyNumberFormat="1"/>
    <xf numFmtId="3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7" fillId="0" borderId="9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0" fontId="0" fillId="0" borderId="9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8" fontId="0" fillId="0" borderId="0" xfId="0" applyNumberFormat="1"/>
    <xf numFmtId="0" fontId="3" fillId="2" borderId="2" xfId="3" applyFill="1" applyBorder="1"/>
    <xf numFmtId="0" fontId="3" fillId="2" borderId="5" xfId="3" applyFill="1" applyBorder="1"/>
    <xf numFmtId="0" fontId="9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9" fontId="10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9" fontId="11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9" fontId="0" fillId="0" borderId="2" xfId="0" applyNumberForma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10" fontId="1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textRotation="45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66" fontId="0" fillId="0" borderId="9" xfId="1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3" fontId="0" fillId="0" borderId="1" xfId="0" applyNumberFormat="1" applyBorder="1"/>
    <xf numFmtId="0" fontId="0" fillId="0" borderId="0" xfId="0" applyAlignment="1">
      <alignment vertical="center"/>
    </xf>
    <xf numFmtId="0" fontId="20" fillId="0" borderId="1" xfId="0" applyFont="1" applyBorder="1" applyAlignment="1">
      <alignment horizontal="center" vertical="center"/>
    </xf>
    <xf numFmtId="3" fontId="19" fillId="0" borderId="1" xfId="0" applyNumberFormat="1" applyFont="1" applyBorder="1" applyAlignment="1">
      <alignment horizontal="center" vertical="center"/>
    </xf>
    <xf numFmtId="0" fontId="21" fillId="5" borderId="0" xfId="0" applyFont="1" applyFill="1"/>
    <xf numFmtId="1" fontId="22" fillId="5" borderId="0" xfId="0" applyNumberFormat="1" applyFont="1" applyFill="1" applyAlignment="1">
      <alignment horizontal="right"/>
    </xf>
    <xf numFmtId="165" fontId="0" fillId="0" borderId="0" xfId="0" applyNumberFormat="1"/>
    <xf numFmtId="0" fontId="22" fillId="7" borderId="16" xfId="0" applyFont="1" applyFill="1" applyBorder="1" applyAlignment="1">
      <alignment horizontal="left" indent="1"/>
    </xf>
    <xf numFmtId="0" fontId="22" fillId="7" borderId="17" xfId="0" applyFont="1" applyFill="1" applyBorder="1"/>
    <xf numFmtId="0" fontId="22" fillId="7" borderId="18" xfId="0" applyFont="1" applyFill="1" applyBorder="1"/>
    <xf numFmtId="0" fontId="22" fillId="7" borderId="19" xfId="0" applyFont="1" applyFill="1" applyBorder="1"/>
    <xf numFmtId="0" fontId="22" fillId="7" borderId="0" xfId="0" applyFont="1" applyFill="1"/>
    <xf numFmtId="0" fontId="22" fillId="7" borderId="20" xfId="0" applyFont="1" applyFill="1" applyBorder="1"/>
    <xf numFmtId="0" fontId="22" fillId="6" borderId="19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left" vertical="center" indent="1"/>
    </xf>
    <xf numFmtId="170" fontId="0" fillId="6" borderId="20" xfId="0" applyNumberFormat="1" applyFill="1" applyBorder="1" applyAlignment="1">
      <alignment horizontal="left" vertical="center"/>
    </xf>
    <xf numFmtId="0" fontId="22" fillId="7" borderId="19" xfId="0" applyFont="1" applyFill="1" applyBorder="1" applyAlignment="1">
      <alignment horizontal="left" indent="1"/>
    </xf>
    <xf numFmtId="0" fontId="0" fillId="6" borderId="22" xfId="0" applyFill="1" applyBorder="1" applyAlignment="1">
      <alignment horizontal="left" vertical="center" indent="1"/>
    </xf>
    <xf numFmtId="170" fontId="0" fillId="6" borderId="23" xfId="0" applyNumberFormat="1" applyFill="1" applyBorder="1" applyAlignment="1">
      <alignment horizontal="left" vertical="center"/>
    </xf>
    <xf numFmtId="0" fontId="22" fillId="8" borderId="19" xfId="0" applyFont="1" applyFill="1" applyBorder="1" applyAlignment="1">
      <alignment horizontal="left" vertical="center" indent="1"/>
    </xf>
    <xf numFmtId="0" fontId="0" fillId="8" borderId="0" xfId="0" applyFill="1"/>
    <xf numFmtId="0" fontId="0" fillId="8" borderId="20" xfId="0" applyFill="1" applyBorder="1"/>
    <xf numFmtId="0" fontId="22" fillId="7" borderId="19" xfId="0" applyFont="1" applyFill="1" applyBorder="1" applyAlignment="1">
      <alignment horizontal="left" vertical="top"/>
    </xf>
    <xf numFmtId="0" fontId="22" fillId="7" borderId="0" xfId="0" applyFont="1" applyFill="1" applyAlignment="1">
      <alignment horizontal="left" vertical="top"/>
    </xf>
    <xf numFmtId="0" fontId="22" fillId="7" borderId="20" xfId="0" applyFont="1" applyFill="1" applyBorder="1" applyAlignment="1">
      <alignment horizontal="left" vertical="top"/>
    </xf>
    <xf numFmtId="0" fontId="0" fillId="8" borderId="19" xfId="0" applyFill="1" applyBorder="1"/>
    <xf numFmtId="171" fontId="0" fillId="8" borderId="0" xfId="0" applyNumberFormat="1" applyFill="1"/>
    <xf numFmtId="0" fontId="22" fillId="7" borderId="22" xfId="0" applyFont="1" applyFill="1" applyBorder="1" applyAlignment="1">
      <alignment horizontal="left" indent="1"/>
    </xf>
    <xf numFmtId="0" fontId="22" fillId="7" borderId="24" xfId="0" applyFont="1" applyFill="1" applyBorder="1"/>
    <xf numFmtId="0" fontId="22" fillId="7" borderId="23" xfId="0" applyFont="1" applyFill="1" applyBorder="1"/>
    <xf numFmtId="0" fontId="22" fillId="8" borderId="19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164" fontId="0" fillId="8" borderId="0" xfId="1" applyFont="1" applyFill="1" applyBorder="1" applyAlignment="1" applyProtection="1">
      <alignment horizontal="center" vertical="center"/>
    </xf>
    <xf numFmtId="164" fontId="0" fillId="8" borderId="20" xfId="1" applyFont="1" applyFill="1" applyBorder="1" applyAlignment="1" applyProtection="1">
      <alignment horizontal="center" vertical="center"/>
    </xf>
    <xf numFmtId="0" fontId="22" fillId="9" borderId="19" xfId="0" applyFont="1" applyFill="1" applyBorder="1" applyAlignment="1">
      <alignment horizontal="left" vertical="center" indent="1"/>
    </xf>
    <xf numFmtId="0" fontId="0" fillId="9" borderId="0" xfId="0" applyFill="1" applyAlignment="1">
      <alignment vertical="center"/>
    </xf>
    <xf numFmtId="0" fontId="0" fillId="9" borderId="20" xfId="0" applyFill="1" applyBorder="1" applyAlignment="1">
      <alignment vertical="center"/>
    </xf>
    <xf numFmtId="0" fontId="0" fillId="9" borderId="19" xfId="0" applyFill="1" applyBorder="1" applyAlignment="1">
      <alignment vertical="center"/>
    </xf>
    <xf numFmtId="0" fontId="22" fillId="9" borderId="0" xfId="0" applyFont="1" applyFill="1" applyAlignment="1">
      <alignment horizontal="center" vertical="center"/>
    </xf>
    <xf numFmtId="0" fontId="22" fillId="9" borderId="20" xfId="0" applyFont="1" applyFill="1" applyBorder="1" applyAlignment="1">
      <alignment horizontal="center" vertical="center"/>
    </xf>
    <xf numFmtId="0" fontId="22" fillId="9" borderId="19" xfId="0" applyFont="1" applyFill="1" applyBorder="1" applyAlignment="1">
      <alignment horizontal="left" vertical="center" indent="8"/>
    </xf>
    <xf numFmtId="0" fontId="22" fillId="9" borderId="0" xfId="0" applyFont="1" applyFill="1" applyAlignment="1">
      <alignment horizontal="left" vertical="center" indent="1"/>
    </xf>
    <xf numFmtId="0" fontId="22" fillId="9" borderId="0" xfId="0" applyFont="1" applyFill="1" applyAlignment="1">
      <alignment vertical="center"/>
    </xf>
    <xf numFmtId="0" fontId="0" fillId="8" borderId="22" xfId="0" applyFill="1" applyBorder="1" applyAlignment="1">
      <alignment horizontal="center" vertical="center"/>
    </xf>
    <xf numFmtId="164" fontId="0" fillId="8" borderId="24" xfId="1" applyFont="1" applyFill="1" applyBorder="1" applyAlignment="1" applyProtection="1">
      <alignment horizontal="center" vertical="center"/>
    </xf>
    <xf numFmtId="164" fontId="0" fillId="8" borderId="23" xfId="1" applyFont="1" applyFill="1" applyBorder="1" applyAlignment="1" applyProtection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22" fillId="9" borderId="22" xfId="0" applyFont="1" applyFill="1" applyBorder="1" applyAlignment="1">
      <alignment horizontal="left" vertical="center" indent="1"/>
    </xf>
    <xf numFmtId="0" fontId="22" fillId="9" borderId="24" xfId="0" applyFont="1" applyFill="1" applyBorder="1" applyAlignment="1">
      <alignment horizontal="left" vertical="center" indent="1"/>
    </xf>
    <xf numFmtId="0" fontId="22" fillId="9" borderId="24" xfId="0" applyFont="1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22" fillId="11" borderId="16" xfId="0" applyFont="1" applyFill="1" applyBorder="1" applyAlignment="1">
      <alignment horizontal="left" indent="1"/>
    </xf>
    <xf numFmtId="0" fontId="0" fillId="11" borderId="17" xfId="0" applyFill="1" applyBorder="1"/>
    <xf numFmtId="0" fontId="0" fillId="12" borderId="11" xfId="0" applyFill="1" applyBorder="1"/>
    <xf numFmtId="0" fontId="0" fillId="12" borderId="4" xfId="0" applyFill="1" applyBorder="1"/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0" borderId="19" xfId="0" applyFill="1" applyBorder="1"/>
    <xf numFmtId="0" fontId="0" fillId="10" borderId="0" xfId="0" applyFill="1"/>
    <xf numFmtId="0" fontId="0" fillId="10" borderId="20" xfId="0" applyFill="1" applyBorder="1"/>
    <xf numFmtId="0" fontId="0" fillId="11" borderId="19" xfId="0" applyFill="1" applyBorder="1" applyAlignment="1">
      <alignment horizontal="left" indent="1"/>
    </xf>
    <xf numFmtId="0" fontId="0" fillId="11" borderId="0" xfId="0" applyFill="1"/>
    <xf numFmtId="0" fontId="22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12" xfId="0" applyFont="1" applyFill="1" applyBorder="1"/>
    <xf numFmtId="0" fontId="0" fillId="11" borderId="0" xfId="0" applyFill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22" fillId="10" borderId="2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0" fontId="0" fillId="12" borderId="12" xfId="0" applyNumberFormat="1" applyFill="1" applyBorder="1"/>
    <xf numFmtId="0" fontId="0" fillId="12" borderId="0" xfId="0" applyFill="1"/>
    <xf numFmtId="0" fontId="0" fillId="12" borderId="12" xfId="0" applyFill="1" applyBorder="1"/>
    <xf numFmtId="0" fontId="0" fillId="11" borderId="19" xfId="0" applyFill="1" applyBorder="1"/>
    <xf numFmtId="172" fontId="0" fillId="0" borderId="0" xfId="0" applyNumberFormat="1"/>
    <xf numFmtId="0" fontId="22" fillId="11" borderId="19" xfId="0" applyFont="1" applyFill="1" applyBorder="1" applyAlignment="1">
      <alignment horizontal="left" indent="1"/>
    </xf>
    <xf numFmtId="0" fontId="0" fillId="11" borderId="0" xfId="0" applyFill="1" applyAlignment="1">
      <alignment horizontal="center"/>
    </xf>
    <xf numFmtId="0" fontId="0" fillId="11" borderId="20" xfId="0" applyFill="1" applyBorder="1"/>
    <xf numFmtId="0" fontId="22" fillId="11" borderId="0" xfId="0" applyFont="1" applyFill="1"/>
    <xf numFmtId="0" fontId="0" fillId="12" borderId="0" xfId="0" applyFill="1" applyAlignment="1">
      <alignment vertical="center"/>
    </xf>
    <xf numFmtId="0" fontId="22" fillId="11" borderId="19" xfId="0" applyFont="1" applyFill="1" applyBorder="1" applyAlignment="1">
      <alignment horizontal="center" vertical="center"/>
    </xf>
    <xf numFmtId="3" fontId="0" fillId="11" borderId="0" xfId="0" applyNumberFormat="1" applyFill="1" applyAlignment="1">
      <alignment horizontal="center" vertical="center"/>
    </xf>
    <xf numFmtId="0" fontId="0" fillId="11" borderId="22" xfId="0" applyFill="1" applyBorder="1"/>
    <xf numFmtId="0" fontId="0" fillId="11" borderId="24" xfId="0" applyFill="1" applyBorder="1"/>
    <xf numFmtId="0" fontId="0" fillId="12" borderId="7" xfId="0" applyFill="1" applyBorder="1"/>
    <xf numFmtId="0" fontId="0" fillId="12" borderId="6" xfId="0" applyFill="1" applyBorder="1"/>
    <xf numFmtId="0" fontId="0" fillId="11" borderId="23" xfId="0" applyFill="1" applyBorder="1"/>
    <xf numFmtId="0" fontId="24" fillId="14" borderId="19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4" fillId="14" borderId="20" xfId="0" applyFont="1" applyFill="1" applyBorder="1" applyAlignment="1">
      <alignment horizontal="center" vertical="center"/>
    </xf>
    <xf numFmtId="0" fontId="24" fillId="14" borderId="19" xfId="0" applyFont="1" applyFill="1" applyBorder="1"/>
    <xf numFmtId="173" fontId="24" fillId="14" borderId="0" xfId="0" applyNumberFormat="1" applyFont="1" applyFill="1"/>
    <xf numFmtId="173" fontId="24" fillId="14" borderId="20" xfId="0" applyNumberFormat="1" applyFont="1" applyFill="1" applyBorder="1"/>
    <xf numFmtId="174" fontId="0" fillId="0" borderId="0" xfId="0" applyNumberFormat="1"/>
    <xf numFmtId="0" fontId="24" fillId="14" borderId="22" xfId="0" applyFont="1" applyFill="1" applyBorder="1"/>
    <xf numFmtId="173" fontId="24" fillId="14" borderId="24" xfId="0" applyNumberFormat="1" applyFont="1" applyFill="1" applyBorder="1"/>
    <xf numFmtId="173" fontId="24" fillId="14" borderId="23" xfId="0" applyNumberFormat="1" applyFont="1" applyFill="1" applyBorder="1"/>
    <xf numFmtId="173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indent="8"/>
    </xf>
    <xf numFmtId="0" fontId="25" fillId="4" borderId="1" xfId="0" applyFont="1" applyFill="1" applyBorder="1" applyAlignment="1">
      <alignment horizontal="center" vertical="center" indent="8"/>
    </xf>
    <xf numFmtId="0" fontId="0" fillId="0" borderId="1" xfId="0" applyBorder="1"/>
    <xf numFmtId="0" fontId="5" fillId="0" borderId="3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textRotation="45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wrapText="1"/>
    </xf>
    <xf numFmtId="0" fontId="18" fillId="0" borderId="0" xfId="0" applyFont="1"/>
    <xf numFmtId="0" fontId="17" fillId="0" borderId="0" xfId="0" applyFont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 applyProtection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13" borderId="0" xfId="0" applyFill="1"/>
    <xf numFmtId="0" fontId="0" fillId="13" borderId="3" xfId="0" applyFill="1" applyBorder="1" applyAlignment="1">
      <alignment horizontal="left" indent="4"/>
    </xf>
    <xf numFmtId="0" fontId="0" fillId="13" borderId="11" xfId="0" applyFill="1" applyBorder="1"/>
    <xf numFmtId="0" fontId="0" fillId="13" borderId="4" xfId="0" applyFill="1" applyBorder="1"/>
    <xf numFmtId="0" fontId="0" fillId="13" borderId="14" xfId="0" applyFill="1" applyBorder="1" applyAlignment="1">
      <alignment horizontal="right" indent="4"/>
    </xf>
    <xf numFmtId="0" fontId="0" fillId="13" borderId="12" xfId="0" applyFill="1" applyBorder="1"/>
    <xf numFmtId="0" fontId="0" fillId="13" borderId="14" xfId="0" applyFill="1" applyBorder="1" applyAlignment="1">
      <alignment horizontal="left" indent="4"/>
    </xf>
    <xf numFmtId="0" fontId="0" fillId="13" borderId="12" xfId="0" applyFill="1" applyBorder="1" applyAlignment="1">
      <alignment wrapText="1"/>
    </xf>
    <xf numFmtId="0" fontId="0" fillId="13" borderId="5" xfId="0" applyFill="1" applyBorder="1"/>
    <xf numFmtId="0" fontId="0" fillId="13" borderId="6" xfId="0" applyFill="1" applyBorder="1"/>
    <xf numFmtId="0" fontId="0" fillId="13" borderId="0" xfId="0" applyFill="1" applyAlignment="1">
      <alignment horizontal="left" wrapText="1"/>
    </xf>
    <xf numFmtId="0" fontId="0" fillId="13" borderId="7" xfId="0" applyFill="1" applyBorder="1" applyAlignment="1">
      <alignment horizontal="left"/>
    </xf>
    <xf numFmtId="0" fontId="22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166" fontId="0" fillId="0" borderId="0" xfId="0" applyNumberFormat="1"/>
    <xf numFmtId="1" fontId="22" fillId="0" borderId="1" xfId="0" applyNumberFormat="1" applyFont="1" applyBorder="1" applyAlignment="1">
      <alignment horizontal="center" vertical="center" indent="8"/>
    </xf>
    <xf numFmtId="0" fontId="15" fillId="4" borderId="2" xfId="0" applyFont="1" applyFill="1" applyBorder="1" applyAlignment="1">
      <alignment horizontal="center" vertical="center" textRotation="45" wrapText="1"/>
    </xf>
    <xf numFmtId="1" fontId="0" fillId="0" borderId="1" xfId="0" applyNumberFormat="1" applyBorder="1"/>
    <xf numFmtId="0" fontId="22" fillId="4" borderId="1" xfId="0" applyFont="1" applyFill="1" applyBorder="1" applyAlignment="1">
      <alignment horizontal="center" vertical="center" indent="1"/>
    </xf>
    <xf numFmtId="0" fontId="22" fillId="4" borderId="1" xfId="0" applyFont="1" applyFill="1" applyBorder="1" applyAlignment="1">
      <alignment vertical="center" indent="1"/>
    </xf>
    <xf numFmtId="0" fontId="5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6" fontId="22" fillId="4" borderId="1" xfId="0" applyNumberFormat="1" applyFont="1" applyFill="1" applyBorder="1" applyAlignment="1">
      <alignment horizontal="center" vertical="center" indent="8"/>
    </xf>
    <xf numFmtId="166" fontId="25" fillId="4" borderId="1" xfId="0" applyNumberFormat="1" applyFont="1" applyFill="1" applyBorder="1" applyAlignment="1">
      <alignment horizontal="center" vertical="center" indent="8"/>
    </xf>
    <xf numFmtId="166" fontId="22" fillId="0" borderId="1" xfId="0" applyNumberFormat="1" applyFont="1" applyBorder="1" applyAlignment="1">
      <alignment horizontal="center" vertical="center" indent="8"/>
    </xf>
    <xf numFmtId="166" fontId="5" fillId="0" borderId="1" xfId="0" applyNumberFormat="1" applyFont="1" applyBorder="1" applyAlignment="1">
      <alignment horizontal="center" vertical="center"/>
    </xf>
    <xf numFmtId="166" fontId="0" fillId="0" borderId="1" xfId="0" applyNumberFormat="1" applyBorder="1"/>
    <xf numFmtId="166" fontId="9" fillId="4" borderId="3" xfId="0" applyNumberFormat="1" applyFont="1" applyFill="1" applyBorder="1" applyAlignment="1">
      <alignment horizontal="center" vertical="center"/>
    </xf>
    <xf numFmtId="166" fontId="22" fillId="4" borderId="13" xfId="0" applyNumberFormat="1" applyFont="1" applyFill="1" applyBorder="1" applyAlignment="1">
      <alignment horizontal="center" vertical="center" indent="8"/>
    </xf>
    <xf numFmtId="166" fontId="25" fillId="4" borderId="13" xfId="0" applyNumberFormat="1" applyFont="1" applyFill="1" applyBorder="1" applyAlignment="1">
      <alignment horizontal="center" vertical="center" indent="8"/>
    </xf>
    <xf numFmtId="166" fontId="0" fillId="0" borderId="0" xfId="0" applyNumberFormat="1" applyAlignment="1">
      <alignment horizontal="center" vertical="center"/>
    </xf>
    <xf numFmtId="0" fontId="16" fillId="0" borderId="0" xfId="0" applyFont="1"/>
    <xf numFmtId="166" fontId="0" fillId="3" borderId="1" xfId="0" applyNumberFormat="1" applyFill="1" applyBorder="1" applyAlignment="1">
      <alignment horizontal="center" vertical="center"/>
    </xf>
    <xf numFmtId="166" fontId="22" fillId="0" borderId="0" xfId="0" applyNumberFormat="1" applyFont="1" applyAlignment="1">
      <alignment horizontal="center" vertical="center" indent="8"/>
    </xf>
    <xf numFmtId="1" fontId="4" fillId="4" borderId="1" xfId="0" applyNumberFormat="1" applyFont="1" applyFill="1" applyBorder="1" applyAlignment="1">
      <alignment horizontal="center" vertical="center"/>
    </xf>
    <xf numFmtId="175" fontId="4" fillId="4" borderId="1" xfId="0" applyNumberFormat="1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textRotation="45" wrapText="1"/>
    </xf>
    <xf numFmtId="166" fontId="0" fillId="0" borderId="2" xfId="0" applyNumberFormat="1" applyBorder="1"/>
    <xf numFmtId="166" fontId="9" fillId="4" borderId="1" xfId="0" applyNumberFormat="1" applyFont="1" applyFill="1" applyBorder="1" applyAlignment="1">
      <alignment horizontal="center" vertical="center"/>
    </xf>
    <xf numFmtId="166" fontId="31" fillId="4" borderId="1" xfId="0" applyNumberFormat="1" applyFont="1" applyFill="1" applyBorder="1" applyAlignment="1">
      <alignment horizontal="center" vertical="center" textRotation="45" wrapText="1"/>
    </xf>
    <xf numFmtId="166" fontId="22" fillId="4" borderId="10" xfId="0" applyNumberFormat="1" applyFont="1" applyFill="1" applyBorder="1" applyAlignment="1">
      <alignment horizontal="center" vertical="center" indent="8"/>
    </xf>
    <xf numFmtId="166" fontId="25" fillId="4" borderId="10" xfId="0" applyNumberFormat="1" applyFont="1" applyFill="1" applyBorder="1" applyAlignment="1">
      <alignment horizontal="center" vertical="center" indent="8"/>
    </xf>
    <xf numFmtId="166" fontId="9" fillId="4" borderId="1" xfId="0" applyNumberFormat="1" applyFont="1" applyFill="1" applyBorder="1" applyAlignment="1">
      <alignment horizontal="center" vertical="center" wrapText="1"/>
    </xf>
    <xf numFmtId="166" fontId="9" fillId="4" borderId="2" xfId="0" applyNumberFormat="1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4" borderId="19" xfId="0" applyFont="1" applyFill="1" applyBorder="1"/>
    <xf numFmtId="173" fontId="24" fillId="4" borderId="0" xfId="0" applyNumberFormat="1" applyFont="1" applyFill="1"/>
    <xf numFmtId="173" fontId="24" fillId="4" borderId="20" xfId="0" applyNumberFormat="1" applyFont="1" applyFill="1" applyBorder="1"/>
    <xf numFmtId="0" fontId="24" fillId="4" borderId="22" xfId="0" applyFont="1" applyFill="1" applyBorder="1"/>
    <xf numFmtId="173" fontId="24" fillId="4" borderId="24" xfId="0" applyNumberFormat="1" applyFont="1" applyFill="1" applyBorder="1"/>
    <xf numFmtId="173" fontId="24" fillId="4" borderId="23" xfId="0" applyNumberFormat="1" applyFont="1" applyFill="1" applyBorder="1"/>
    <xf numFmtId="166" fontId="0" fillId="0" borderId="0" xfId="1" applyNumberFormat="1" applyFont="1" applyFill="1" applyBorder="1" applyAlignment="1" applyProtection="1">
      <alignment horizontal="center" vertical="center"/>
    </xf>
    <xf numFmtId="0" fontId="2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center" vertical="center"/>
    </xf>
    <xf numFmtId="173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2" fillId="15" borderId="10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10" fontId="0" fillId="0" borderId="1" xfId="1" applyNumberFormat="1" applyFont="1" applyFill="1" applyBorder="1" applyAlignment="1" applyProtection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/>
    <xf numFmtId="0" fontId="5" fillId="0" borderId="10" xfId="0" applyFont="1" applyBorder="1" applyAlignment="1">
      <alignment horizontal="center" vertical="center"/>
    </xf>
    <xf numFmtId="166" fontId="0" fillId="9" borderId="0" xfId="1" applyNumberFormat="1" applyFont="1" applyFill="1" applyBorder="1" applyAlignment="1" applyProtection="1">
      <alignment horizontal="center" vertical="center"/>
    </xf>
    <xf numFmtId="166" fontId="0" fillId="9" borderId="20" xfId="1" applyNumberFormat="1" applyFont="1" applyFill="1" applyBorder="1" applyAlignment="1" applyProtection="1">
      <alignment horizontal="center" vertical="center"/>
    </xf>
    <xf numFmtId="166" fontId="0" fillId="16" borderId="0" xfId="1" applyNumberFormat="1" applyFont="1" applyFill="1" applyBorder="1" applyAlignment="1" applyProtection="1">
      <alignment horizontal="center" vertical="center"/>
    </xf>
    <xf numFmtId="0" fontId="22" fillId="0" borderId="0" xfId="0" applyFont="1" applyAlignment="1">
      <alignment horizontal="left" vertical="center" indent="8"/>
    </xf>
    <xf numFmtId="166" fontId="22" fillId="4" borderId="4" xfId="0" applyNumberFormat="1" applyFont="1" applyFill="1" applyBorder="1" applyAlignment="1">
      <alignment horizontal="center" vertical="center" indent="8"/>
    </xf>
    <xf numFmtId="166" fontId="5" fillId="0" borderId="10" xfId="0" applyNumberFormat="1" applyFont="1" applyBorder="1" applyAlignment="1">
      <alignment horizontal="center" vertical="center"/>
    </xf>
    <xf numFmtId="166" fontId="5" fillId="4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 indent="8"/>
    </xf>
    <xf numFmtId="166" fontId="0" fillId="10" borderId="20" xfId="1" applyNumberFormat="1" applyFont="1" applyFill="1" applyBorder="1" applyProtection="1"/>
    <xf numFmtId="166" fontId="0" fillId="10" borderId="23" xfId="1" applyNumberFormat="1" applyFont="1" applyFill="1" applyBorder="1" applyProtection="1"/>
    <xf numFmtId="177" fontId="0" fillId="0" borderId="13" xfId="0" applyNumberFormat="1" applyBorder="1" applyAlignment="1">
      <alignment horizontal="center"/>
    </xf>
    <xf numFmtId="0" fontId="29" fillId="4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2" fillId="4" borderId="2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177" fontId="22" fillId="15" borderId="10" xfId="0" applyNumberFormat="1" applyFont="1" applyFill="1" applyBorder="1" applyAlignment="1">
      <alignment horizontal="center" vertical="center"/>
    </xf>
    <xf numFmtId="10" fontId="22" fillId="15" borderId="10" xfId="0" applyNumberFormat="1" applyFont="1" applyFill="1" applyBorder="1" applyAlignment="1">
      <alignment horizontal="center" vertical="center"/>
    </xf>
    <xf numFmtId="177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 indent="8"/>
    </xf>
    <xf numFmtId="0" fontId="5" fillId="3" borderId="2" xfId="0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2" xfId="3" applyFill="1" applyBorder="1" applyAlignment="1">
      <alignment vertical="center"/>
    </xf>
    <xf numFmtId="0" fontId="3" fillId="2" borderId="7" xfId="3" applyFill="1" applyBorder="1" applyAlignment="1">
      <alignment vertical="center"/>
    </xf>
    <xf numFmtId="0" fontId="3" fillId="2" borderId="8" xfId="3" applyFill="1" applyBorder="1" applyAlignment="1">
      <alignment vertical="center"/>
    </xf>
    <xf numFmtId="0" fontId="3" fillId="2" borderId="9" xfId="3" applyFill="1" applyBorder="1" applyAlignment="1">
      <alignment vertical="center"/>
    </xf>
    <xf numFmtId="0" fontId="3" fillId="3" borderId="0" xfId="3" applyFill="1" applyAlignment="1"/>
    <xf numFmtId="0" fontId="3" fillId="2" borderId="1" xfId="3" applyFill="1" applyBorder="1" applyAlignment="1"/>
    <xf numFmtId="0" fontId="3" fillId="2" borderId="8" xfId="3" applyFill="1" applyBorder="1"/>
    <xf numFmtId="0" fontId="3" fillId="2" borderId="9" xfId="3" applyFill="1" applyBorder="1"/>
    <xf numFmtId="0" fontId="3" fillId="2" borderId="7" xfId="3" applyFill="1" applyBorder="1" applyAlignment="1"/>
    <xf numFmtId="0" fontId="3" fillId="2" borderId="6" xfId="3" applyFill="1" applyBorder="1" applyAlignment="1"/>
    <xf numFmtId="10" fontId="3" fillId="0" borderId="0" xfId="3" applyNumberFormat="1" applyFill="1" applyBorder="1" applyAlignment="1"/>
    <xf numFmtId="0" fontId="3" fillId="0" borderId="0" xfId="3" applyFill="1" applyAlignment="1"/>
    <xf numFmtId="10" fontId="3" fillId="0" borderId="0" xfId="3" applyNumberFormat="1" applyFill="1" applyAlignment="1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166" fontId="4" fillId="0" borderId="1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66" fontId="4" fillId="0" borderId="0" xfId="0" applyNumberFormat="1" applyFont="1"/>
    <xf numFmtId="166" fontId="5" fillId="0" borderId="0" xfId="0" applyNumberFormat="1" applyFont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/>
    <xf numFmtId="166" fontId="5" fillId="4" borderId="0" xfId="0" applyNumberFormat="1" applyFont="1" applyFill="1" applyAlignment="1">
      <alignment horizontal="center" vertical="center"/>
    </xf>
    <xf numFmtId="1" fontId="7" fillId="0" borderId="1" xfId="0" applyNumberFormat="1" applyFont="1" applyBorder="1"/>
    <xf numFmtId="0" fontId="4" fillId="4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4" fillId="0" borderId="0" xfId="0" applyFont="1"/>
    <xf numFmtId="173" fontId="24" fillId="0" borderId="0" xfId="0" applyNumberFormat="1" applyFont="1"/>
    <xf numFmtId="0" fontId="10" fillId="0" borderId="0" xfId="0" applyFont="1"/>
    <xf numFmtId="0" fontId="33" fillId="4" borderId="0" xfId="0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22" fillId="4" borderId="2" xfId="0" applyFont="1" applyFill="1" applyBorder="1" applyAlignment="1">
      <alignment vertical="center" indent="1"/>
    </xf>
    <xf numFmtId="1" fontId="32" fillId="0" borderId="2" xfId="0" applyNumberFormat="1" applyFont="1" applyBorder="1" applyAlignment="1">
      <alignment horizontal="center" vertical="center" indent="8"/>
    </xf>
    <xf numFmtId="1" fontId="0" fillId="3" borderId="2" xfId="0" applyNumberFormat="1" applyFill="1" applyBorder="1" applyAlignment="1">
      <alignment horizontal="center" vertical="center"/>
    </xf>
    <xf numFmtId="177" fontId="7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177" fontId="8" fillId="0" borderId="9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7" fontId="35" fillId="0" borderId="1" xfId="0" applyNumberFormat="1" applyFont="1" applyBorder="1" applyAlignment="1">
      <alignment horizontal="center" vertical="center" wrapText="1" indent="1"/>
    </xf>
    <xf numFmtId="177" fontId="36" fillId="0" borderId="1" xfId="0" applyNumberFormat="1" applyFont="1" applyBorder="1" applyAlignment="1">
      <alignment horizontal="center" vertical="center" wrapText="1" indent="1"/>
    </xf>
    <xf numFmtId="177" fontId="37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/>
    </xf>
    <xf numFmtId="0" fontId="8" fillId="0" borderId="0" xfId="0" applyFont="1"/>
    <xf numFmtId="166" fontId="9" fillId="0" borderId="9" xfId="0" applyNumberFormat="1" applyFont="1" applyBorder="1" applyAlignment="1">
      <alignment horizontal="center" vertical="center"/>
    </xf>
    <xf numFmtId="0" fontId="7" fillId="0" borderId="0" xfId="0" applyFont="1"/>
    <xf numFmtId="177" fontId="7" fillId="0" borderId="6" xfId="0" applyNumberFormat="1" applyFont="1" applyBorder="1"/>
    <xf numFmtId="177" fontId="7" fillId="0" borderId="10" xfId="0" applyNumberFormat="1" applyFont="1" applyBorder="1" applyAlignment="1">
      <alignment horizontal="center"/>
    </xf>
    <xf numFmtId="177" fontId="7" fillId="0" borderId="10" xfId="0" applyNumberFormat="1" applyFont="1" applyBorder="1"/>
    <xf numFmtId="177" fontId="7" fillId="0" borderId="9" xfId="0" applyNumberFormat="1" applyFont="1" applyBorder="1"/>
    <xf numFmtId="177" fontId="7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24" fillId="14" borderId="16" xfId="0" applyFont="1" applyFill="1" applyBorder="1" applyAlignment="1">
      <alignment horizontal="center"/>
    </xf>
    <xf numFmtId="0" fontId="22" fillId="10" borderId="19" xfId="0" applyFont="1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23" fillId="10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left" wrapText="1" indent="1"/>
    </xf>
    <xf numFmtId="0" fontId="22" fillId="7" borderId="21" xfId="0" applyFont="1" applyFill="1" applyBorder="1" applyAlignment="1">
      <alignment horizontal="left" vertical="top" wrapText="1" indent="1"/>
    </xf>
    <xf numFmtId="0" fontId="23" fillId="8" borderId="15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5" fillId="2" borderId="1" xfId="2" applyNumberFormat="1" applyFont="1" applyFill="1" applyBorder="1" applyAlignment="1">
      <alignment horizontal="center"/>
    </xf>
    <xf numFmtId="3" fontId="5" fillId="2" borderId="3" xfId="2" applyNumberFormat="1" applyFont="1" applyFill="1" applyBorder="1" applyAlignment="1">
      <alignment horizontal="center"/>
    </xf>
    <xf numFmtId="10" fontId="4" fillId="2" borderId="5" xfId="2" applyNumberFormat="1" applyFont="1" applyFill="1" applyBorder="1" applyAlignment="1">
      <alignment horizontal="center" vertical="center" wrapText="1"/>
    </xf>
    <xf numFmtId="10" fontId="4" fillId="2" borderId="2" xfId="2" applyNumberFormat="1" applyFont="1" applyFill="1" applyBorder="1" applyAlignment="1">
      <alignment horizontal="center" vertical="center" wrapText="1"/>
    </xf>
    <xf numFmtId="0" fontId="3" fillId="2" borderId="10" xfId="3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169" fontId="0" fillId="0" borderId="3" xfId="0" applyNumberFormat="1" applyBorder="1" applyAlignment="1">
      <alignment horizontal="center" vertical="center"/>
    </xf>
    <xf numFmtId="169" fontId="0" fillId="0" borderId="14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4" borderId="1" xfId="0" applyFont="1" applyFill="1" applyBorder="1" applyAlignment="1">
      <alignment horizontal="center" wrapText="1"/>
    </xf>
    <xf numFmtId="0" fontId="18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8" fillId="4" borderId="2" xfId="0" applyFont="1" applyFill="1" applyBorder="1" applyAlignment="1">
      <alignment horizontal="center" wrapText="1"/>
    </xf>
    <xf numFmtId="0" fontId="18" fillId="4" borderId="8" xfId="0" applyFont="1" applyFill="1" applyBorder="1" applyAlignment="1">
      <alignment horizontal="center" wrapText="1"/>
    </xf>
    <xf numFmtId="0" fontId="18" fillId="4" borderId="9" xfId="0" applyFont="1" applyFill="1" applyBorder="1" applyAlignment="1">
      <alignment horizontal="center" wrapText="1"/>
    </xf>
    <xf numFmtId="0" fontId="20" fillId="0" borderId="2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22" fillId="4" borderId="14" xfId="0" applyFont="1" applyFill="1" applyBorder="1" applyAlignment="1">
      <alignment horizontal="center" vertical="center" indent="1"/>
    </xf>
    <xf numFmtId="0" fontId="22" fillId="4" borderId="0" xfId="0" applyFont="1" applyFill="1" applyAlignment="1">
      <alignment horizontal="center" vertical="center" indent="1"/>
    </xf>
    <xf numFmtId="0" fontId="22" fillId="4" borderId="12" xfId="0" applyFont="1" applyFill="1" applyBorder="1" applyAlignment="1">
      <alignment horizontal="center" vertical="center" indent="1"/>
    </xf>
    <xf numFmtId="0" fontId="22" fillId="4" borderId="1" xfId="0" applyFont="1" applyFill="1" applyBorder="1" applyAlignment="1">
      <alignment horizontal="center" vertical="center" indent="1"/>
    </xf>
    <xf numFmtId="0" fontId="22" fillId="4" borderId="2" xfId="0" applyFont="1" applyFill="1" applyBorder="1" applyAlignment="1">
      <alignment horizontal="center" vertical="center" indent="1"/>
    </xf>
    <xf numFmtId="0" fontId="22" fillId="4" borderId="9" xfId="0" applyFont="1" applyFill="1" applyBorder="1" applyAlignment="1">
      <alignment horizontal="center" vertical="center" indent="1"/>
    </xf>
    <xf numFmtId="0" fontId="29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4" fillId="4" borderId="16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15" borderId="2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wrapText="1"/>
    </xf>
    <xf numFmtId="0" fontId="18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8" fillId="4" borderId="2" xfId="0" applyFont="1" applyFill="1" applyBorder="1" applyAlignment="1">
      <alignment horizontal="center" vertical="center"/>
    </xf>
    <xf numFmtId="166" fontId="5" fillId="4" borderId="3" xfId="0" applyNumberFormat="1" applyFont="1" applyFill="1" applyBorder="1" applyAlignment="1">
      <alignment horizontal="center" vertical="center"/>
    </xf>
    <xf numFmtId="166" fontId="5" fillId="4" borderId="11" xfId="0" applyNumberFormat="1" applyFont="1" applyFill="1" applyBorder="1" applyAlignment="1">
      <alignment horizontal="center" vertical="center"/>
    </xf>
    <xf numFmtId="166" fontId="5" fillId="4" borderId="4" xfId="0" applyNumberFormat="1" applyFont="1" applyFill="1" applyBorder="1" applyAlignment="1">
      <alignment horizontal="center" vertical="center"/>
    </xf>
    <xf numFmtId="166" fontId="0" fillId="4" borderId="3" xfId="0" applyNumberFormat="1" applyFill="1" applyBorder="1" applyAlignment="1">
      <alignment horizontal="center"/>
    </xf>
    <xf numFmtId="166" fontId="0" fillId="4" borderId="11" xfId="0" applyNumberFormat="1" applyFill="1" applyBorder="1" applyAlignment="1">
      <alignment horizontal="center"/>
    </xf>
    <xf numFmtId="177" fontId="0" fillId="0" borderId="10" xfId="0" applyNumberFormat="1" applyFont="1" applyBorder="1"/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E49EDD"/>
      <color rgb="FF82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nte.globo.com/infografico-pesquisa-panorama-das-classes-abcde/" TargetMode="External"/><Relationship Id="rId3" Type="http://schemas.openxmlformats.org/officeDocument/2006/relationships/hyperlink" Target="https://www.apple.com/br/shop/buy-iphone/iphone-16-pro" TargetMode="External"/><Relationship Id="rId7" Type="http://schemas.openxmlformats.org/officeDocument/2006/relationships/hyperlink" Target="https://ftp.ibge.gov.br/Estimativas_de_Populacao/Estimativas_2024/POP2024_20241230.pdf" TargetMode="External"/><Relationship Id="rId2" Type="http://schemas.openxmlformats.org/officeDocument/2006/relationships/hyperlink" Target="https://shop.samsung.com/br/galaxy-s25-ultra/p?_gl=1*wwut9y*_gcl_au*MTc2MDExMzI1Ni4xNzQzNTQ3MzEz*FPAU*MTc2MDExMzI1Ni4xNzQzNTQ3MzEz" TargetMode="External"/><Relationship Id="rId1" Type="http://schemas.openxmlformats.org/officeDocument/2006/relationships/hyperlink" Target="https://pt.tradingeconomics.com/brazil/population" TargetMode="External"/><Relationship Id="rId6" Type="http://schemas.openxmlformats.org/officeDocument/2006/relationships/hyperlink" Target="https://www.ibge.gov.br/estatisticas/economicas/comercio/9227-pesquisa-mensal-de-comercio.html?edicao=39983&amp;t=resultados" TargetMode="External"/><Relationship Id="rId5" Type="http://schemas.openxmlformats.org/officeDocument/2006/relationships/hyperlink" Target="https://www.motorola.com.br/smartphone-motorola-edge-50-pro/p?idsku=1522&amp;gad_source=1&amp;gclid=Cj0KCQjwna6_BhCbARIsALId2Z0ohB4xSVgcci7BZGt12feOPnKfH5uHSuJca-RZ0f5wRFYZWMJ6HqAaAuX-EALw_wcB" TargetMode="External"/><Relationship Id="rId10" Type="http://schemas.openxmlformats.org/officeDocument/2006/relationships/hyperlink" Target="https://www.meioemensagem.com.br/marketing/moveis-e-celulares-o-que-os-brasileiros-desejam-comprar-em-2025" TargetMode="External"/><Relationship Id="rId4" Type="http://schemas.openxmlformats.org/officeDocument/2006/relationships/hyperlink" Target="https://www.mercadolivre.com.br/smartphone-motorola-moto-g54-5g-256-gb-azul-8-gb-ram/p/MLB34113229?pdp_filters=item_id%3AMLB5332740318&amp;from=gshop&amp;matt_tool=33167885&amp;matt_word=&amp;matt_source=google&amp;matt_campaign_id=22127560717&amp;matt_ad_group_id=172644202239&amp;matt_match_type=&amp;matt_network=g&amp;matt_device=c&amp;matt_creative=728942948133&amp;matt_keyword=&amp;matt_ad_position=&amp;matt_ad_type=pla&amp;matt_merchant_id=735125422&amp;matt_product_id=MLB34113229-product&amp;matt_product_partition_id=2413654277914&amp;matt_target_id=pla-2413654277914&amp;cq_src=google_ads&amp;cq_cmp=22127560717&amp;cq_net=g&amp;cq_plt=gp&amp;cq_med=pla&amp;gad_source=1&amp;gclid=Cj0KCQjwna6_BhCbARIsALId2Z0gMHucq0jT_BqXPca18dUwS8MjMfxTyvvpP_WBxTZjln9AVEaoHRwaAjT-EALw_wcB" TargetMode="External"/><Relationship Id="rId9" Type="http://schemas.openxmlformats.org/officeDocument/2006/relationships/hyperlink" Target="https://www.meioemensagem.com.br/marketing/moveis-e-celulares-o-que-os-brasileiros-desejam-comprar-em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C98D-2319-4029-B3C1-144550E8376E}">
  <dimension ref="B2:AF63"/>
  <sheetViews>
    <sheetView topLeftCell="C1" workbookViewId="0">
      <selection activeCell="C2" sqref="C2"/>
    </sheetView>
  </sheetViews>
  <sheetFormatPr defaultColWidth="8.7109375" defaultRowHeight="15"/>
  <cols>
    <col min="2" max="2" width="30.85546875" bestFit="1" customWidth="1"/>
    <col min="3" max="3" width="33.7109375" bestFit="1" customWidth="1"/>
    <col min="4" max="4" width="18" customWidth="1"/>
    <col min="5" max="5" width="7.7109375" customWidth="1"/>
    <col min="6" max="6" width="84.7109375" bestFit="1" customWidth="1"/>
    <col min="7" max="7" width="16" bestFit="1" customWidth="1"/>
    <col min="8" max="8" width="14.28515625" bestFit="1" customWidth="1"/>
    <col min="9" max="9" width="21.85546875" bestFit="1" customWidth="1"/>
    <col min="10" max="10" width="19.5703125" bestFit="1" customWidth="1"/>
    <col min="11" max="11" width="16" customWidth="1"/>
    <col min="12" max="12" width="10.28515625" customWidth="1"/>
    <col min="13" max="13" width="10.5703125" bestFit="1" customWidth="1"/>
    <col min="14" max="14" width="10.5703125" customWidth="1"/>
    <col min="15" max="15" width="13" customWidth="1"/>
  </cols>
  <sheetData>
    <row r="2" spans="2:12">
      <c r="B2" s="73" t="s">
        <v>0</v>
      </c>
      <c r="C2" s="74">
        <v>78000000</v>
      </c>
      <c r="D2" s="75"/>
    </row>
    <row r="5" spans="2:12">
      <c r="B5" s="355" t="s">
        <v>1</v>
      </c>
      <c r="C5" s="355"/>
      <c r="F5" s="76" t="s">
        <v>2</v>
      </c>
      <c r="G5" s="77"/>
      <c r="H5" s="77"/>
      <c r="I5" s="77"/>
      <c r="J5" s="77"/>
      <c r="K5" s="77"/>
      <c r="L5" s="78"/>
    </row>
    <row r="6" spans="2:12">
      <c r="B6" s="355"/>
      <c r="C6" s="355"/>
      <c r="F6" s="79"/>
      <c r="G6" s="80"/>
      <c r="H6" s="80"/>
      <c r="I6" s="80"/>
      <c r="J6" s="80"/>
      <c r="K6" s="80"/>
      <c r="L6" s="81"/>
    </row>
    <row r="7" spans="2:12">
      <c r="B7" s="82" t="s">
        <v>3</v>
      </c>
      <c r="C7" s="83" t="s">
        <v>4</v>
      </c>
      <c r="F7" s="356" t="s">
        <v>5</v>
      </c>
      <c r="G7" s="356"/>
      <c r="H7" s="356"/>
      <c r="I7" s="356"/>
      <c r="J7" s="356"/>
      <c r="K7" s="356"/>
      <c r="L7" s="356"/>
    </row>
    <row r="8" spans="2:12">
      <c r="B8" s="84" t="s">
        <v>6</v>
      </c>
      <c r="C8" s="85">
        <v>150000000</v>
      </c>
      <c r="F8" s="356"/>
      <c r="G8" s="356"/>
      <c r="H8" s="356"/>
      <c r="I8" s="356"/>
      <c r="J8" s="356"/>
      <c r="K8" s="356"/>
      <c r="L8" s="356"/>
    </row>
    <row r="9" spans="2:12">
      <c r="B9" s="84" t="s">
        <v>7</v>
      </c>
      <c r="C9" s="85">
        <v>100000000</v>
      </c>
      <c r="F9" s="86" t="s">
        <v>8</v>
      </c>
      <c r="G9" s="80"/>
      <c r="H9" s="80"/>
      <c r="I9" s="80"/>
      <c r="J9" s="80"/>
      <c r="K9" s="80"/>
      <c r="L9" s="81"/>
    </row>
    <row r="10" spans="2:12">
      <c r="B10" s="87" t="s">
        <v>9</v>
      </c>
      <c r="C10" s="88">
        <v>80000000</v>
      </c>
      <c r="F10" s="79"/>
      <c r="G10" s="80"/>
      <c r="H10" s="80"/>
      <c r="I10" s="80"/>
      <c r="J10" s="80"/>
      <c r="K10" s="80"/>
      <c r="L10" s="81"/>
    </row>
    <row r="11" spans="2:12">
      <c r="F11" s="357" t="s">
        <v>10</v>
      </c>
      <c r="G11" s="357"/>
      <c r="H11" s="357"/>
      <c r="I11" s="357"/>
      <c r="J11" s="357"/>
      <c r="K11" s="357"/>
      <c r="L11" s="357"/>
    </row>
    <row r="12" spans="2:12">
      <c r="B12" s="358" t="s">
        <v>11</v>
      </c>
      <c r="C12" s="358"/>
      <c r="D12" s="358"/>
      <c r="F12" s="357"/>
      <c r="G12" s="357"/>
      <c r="H12" s="357"/>
      <c r="I12" s="357"/>
      <c r="J12" s="357"/>
      <c r="K12" s="357"/>
      <c r="L12" s="357"/>
    </row>
    <row r="13" spans="2:12">
      <c r="B13" s="89" t="s">
        <v>12</v>
      </c>
      <c r="C13" s="90"/>
      <c r="D13" s="91"/>
      <c r="F13" s="92"/>
      <c r="G13" s="93"/>
      <c r="H13" s="93"/>
      <c r="I13" s="93"/>
      <c r="J13" s="93"/>
      <c r="K13" s="93"/>
      <c r="L13" s="94"/>
    </row>
    <row r="14" spans="2:12">
      <c r="B14" s="95"/>
      <c r="C14" s="96"/>
      <c r="D14" s="91"/>
      <c r="F14" s="97" t="s">
        <v>13</v>
      </c>
      <c r="G14" s="98"/>
      <c r="H14" s="98"/>
      <c r="I14" s="98"/>
      <c r="J14" s="98"/>
      <c r="K14" s="98"/>
      <c r="L14" s="99"/>
    </row>
    <row r="15" spans="2:12" ht="27.75">
      <c r="B15" s="100" t="s">
        <v>14</v>
      </c>
      <c r="C15" s="101" t="s">
        <v>15</v>
      </c>
      <c r="D15" s="102" t="s">
        <v>16</v>
      </c>
    </row>
    <row r="16" spans="2:12">
      <c r="B16" s="103">
        <v>25</v>
      </c>
      <c r="C16" s="104">
        <v>525000</v>
      </c>
      <c r="D16" s="105">
        <v>14437</v>
      </c>
      <c r="F16" s="359" t="s">
        <v>17</v>
      </c>
      <c r="G16" s="359"/>
      <c r="H16" s="359"/>
      <c r="I16" s="359"/>
    </row>
    <row r="17" spans="2:15">
      <c r="B17" s="103">
        <v>50</v>
      </c>
      <c r="C17" s="104">
        <v>1050000</v>
      </c>
      <c r="D17" s="105">
        <v>36540</v>
      </c>
      <c r="F17" s="106" t="s">
        <v>18</v>
      </c>
      <c r="G17" s="107"/>
      <c r="H17" s="107"/>
      <c r="I17" s="108"/>
    </row>
    <row r="18" spans="2:15">
      <c r="B18" s="103">
        <v>100</v>
      </c>
      <c r="C18" s="104">
        <v>2100000</v>
      </c>
      <c r="D18" s="105">
        <v>95550</v>
      </c>
      <c r="F18" s="109"/>
      <c r="G18" s="110" t="s">
        <v>19</v>
      </c>
      <c r="H18" s="110" t="s">
        <v>20</v>
      </c>
      <c r="I18" s="111" t="s">
        <v>21</v>
      </c>
    </row>
    <row r="19" spans="2:15">
      <c r="B19" s="103">
        <v>150</v>
      </c>
      <c r="C19" s="104">
        <v>3150000</v>
      </c>
      <c r="D19" s="105">
        <v>200812</v>
      </c>
      <c r="F19" s="112" t="s">
        <v>22</v>
      </c>
      <c r="G19" s="265">
        <v>15000</v>
      </c>
      <c r="H19" s="265">
        <v>80000</v>
      </c>
      <c r="I19" s="266">
        <v>68500</v>
      </c>
    </row>
    <row r="20" spans="2:15">
      <c r="B20" s="103">
        <v>200</v>
      </c>
      <c r="C20" s="104">
        <v>4200000</v>
      </c>
      <c r="D20" s="105">
        <v>311220</v>
      </c>
      <c r="F20" s="112" t="s">
        <v>23</v>
      </c>
      <c r="G20" s="265">
        <v>16000</v>
      </c>
      <c r="H20" s="265">
        <v>90000</v>
      </c>
      <c r="I20" s="266">
        <v>78500</v>
      </c>
    </row>
    <row r="21" spans="2:15">
      <c r="B21" s="103">
        <v>250</v>
      </c>
      <c r="C21" s="104">
        <v>5250000</v>
      </c>
      <c r="D21" s="105">
        <v>406455</v>
      </c>
      <c r="F21" s="112" t="s">
        <v>24</v>
      </c>
      <c r="G21" s="265">
        <v>19000</v>
      </c>
      <c r="H21" s="265">
        <v>100000</v>
      </c>
      <c r="I21" s="266">
        <v>82500</v>
      </c>
    </row>
    <row r="22" spans="2:15">
      <c r="B22" s="103">
        <v>300</v>
      </c>
      <c r="C22" s="104">
        <v>6300000</v>
      </c>
      <c r="D22" s="105">
        <v>517954</v>
      </c>
      <c r="F22" s="109"/>
      <c r="G22" s="107"/>
      <c r="H22" s="107"/>
      <c r="I22" s="108"/>
    </row>
    <row r="23" spans="2:15">
      <c r="B23" s="103">
        <v>350</v>
      </c>
      <c r="C23" s="104">
        <v>7350000</v>
      </c>
      <c r="D23" s="105">
        <v>637245</v>
      </c>
      <c r="F23" s="106" t="s">
        <v>25</v>
      </c>
      <c r="G23" s="113"/>
      <c r="H23" s="114"/>
      <c r="I23" s="108"/>
    </row>
    <row r="24" spans="2:15">
      <c r="B24" s="115">
        <v>400</v>
      </c>
      <c r="C24" s="116">
        <v>8400000</v>
      </c>
      <c r="D24" s="117">
        <v>778680</v>
      </c>
      <c r="F24" s="106" t="s">
        <v>26</v>
      </c>
      <c r="G24" s="113"/>
      <c r="H24" s="110"/>
      <c r="I24" s="118"/>
    </row>
    <row r="25" spans="2:15">
      <c r="F25" s="119" t="s">
        <v>27</v>
      </c>
      <c r="G25" s="120"/>
      <c r="H25" s="121"/>
      <c r="I25" s="122"/>
    </row>
    <row r="27" spans="2:15" ht="15" customHeight="1">
      <c r="B27" s="354" t="s">
        <v>28</v>
      </c>
      <c r="C27" s="354"/>
      <c r="D27" s="354"/>
      <c r="F27" s="123" t="s">
        <v>29</v>
      </c>
      <c r="G27" s="124"/>
      <c r="H27" s="124"/>
      <c r="I27" s="124"/>
      <c r="J27" s="124"/>
      <c r="K27" s="125"/>
      <c r="L27" s="126"/>
      <c r="N27" s="127" t="s">
        <v>30</v>
      </c>
      <c r="O27" s="128"/>
    </row>
    <row r="28" spans="2:15" ht="15" customHeight="1">
      <c r="B28" s="129"/>
      <c r="C28" s="130"/>
      <c r="D28" s="131"/>
      <c r="F28" s="132" t="s">
        <v>31</v>
      </c>
      <c r="G28" s="133"/>
      <c r="H28" s="133"/>
      <c r="I28" s="134" t="s">
        <v>32</v>
      </c>
      <c r="J28" s="134" t="s">
        <v>33</v>
      </c>
      <c r="K28" s="135" t="s">
        <v>34</v>
      </c>
      <c r="L28" s="136" t="s">
        <v>35</v>
      </c>
      <c r="N28" s="137"/>
      <c r="O28" s="138"/>
    </row>
    <row r="29" spans="2:15">
      <c r="B29" s="351" t="s">
        <v>36</v>
      </c>
      <c r="C29" s="351"/>
      <c r="D29" s="139" t="s">
        <v>37</v>
      </c>
      <c r="F29" s="132"/>
      <c r="G29" s="133"/>
      <c r="H29" s="133"/>
      <c r="I29" s="140" t="s">
        <v>38</v>
      </c>
      <c r="J29" s="140" t="s">
        <v>39</v>
      </c>
      <c r="K29" s="141">
        <v>0.55000000000000004</v>
      </c>
      <c r="L29" s="142">
        <f>100%-K29</f>
        <v>0.44999999999999996</v>
      </c>
      <c r="N29" s="137"/>
      <c r="O29" s="138"/>
    </row>
    <row r="30" spans="2:15" ht="15" customHeight="1">
      <c r="B30" s="352" t="s">
        <v>40</v>
      </c>
      <c r="C30" s="352"/>
      <c r="D30" s="273">
        <v>219.9</v>
      </c>
      <c r="F30" s="132" t="s">
        <v>41</v>
      </c>
      <c r="G30" s="267">
        <v>150000</v>
      </c>
      <c r="H30" s="133"/>
      <c r="I30" s="140" t="s">
        <v>42</v>
      </c>
      <c r="J30" s="140" t="s">
        <v>43</v>
      </c>
      <c r="K30" s="143"/>
      <c r="L30" s="144"/>
      <c r="N30" s="137"/>
      <c r="O30" s="138"/>
    </row>
    <row r="31" spans="2:15">
      <c r="B31" s="352" t="s">
        <v>44</v>
      </c>
      <c r="C31" s="352"/>
      <c r="D31" s="273">
        <v>149.9</v>
      </c>
      <c r="F31" s="132" t="s">
        <v>45</v>
      </c>
      <c r="G31" s="133"/>
      <c r="H31" s="133"/>
      <c r="I31" s="140" t="s">
        <v>46</v>
      </c>
      <c r="J31" s="140" t="s">
        <v>47</v>
      </c>
      <c r="K31" s="143"/>
      <c r="L31" s="144"/>
      <c r="N31" s="137"/>
      <c r="O31" s="138"/>
    </row>
    <row r="32" spans="2:15" ht="15" customHeight="1">
      <c r="B32" s="352" t="s">
        <v>48</v>
      </c>
      <c r="C32" s="352"/>
      <c r="D32" s="273">
        <v>99.9</v>
      </c>
      <c r="F32" s="145"/>
      <c r="G32" s="133"/>
      <c r="H32" s="133"/>
      <c r="I32" s="140" t="s">
        <v>49</v>
      </c>
      <c r="J32" s="140" t="s">
        <v>50</v>
      </c>
      <c r="K32" s="143"/>
      <c r="L32" s="144"/>
      <c r="N32" s="137"/>
      <c r="O32" s="138"/>
    </row>
    <row r="33" spans="2:32">
      <c r="B33" s="353" t="s">
        <v>51</v>
      </c>
      <c r="C33" s="353"/>
      <c r="D33" s="274">
        <v>59.9</v>
      </c>
      <c r="F33" s="145"/>
      <c r="G33" s="133"/>
      <c r="H33" s="133"/>
      <c r="I33" s="140" t="s">
        <v>52</v>
      </c>
      <c r="J33" s="140" t="s">
        <v>53</v>
      </c>
      <c r="K33" s="143"/>
      <c r="L33" s="144"/>
      <c r="N33" s="137"/>
      <c r="O33" s="138"/>
    </row>
    <row r="34" spans="2:32">
      <c r="B34" s="52"/>
      <c r="D34" s="146"/>
      <c r="F34" s="147" t="s">
        <v>54</v>
      </c>
      <c r="G34" s="133"/>
      <c r="H34" s="133"/>
      <c r="I34" s="133"/>
      <c r="J34" s="133"/>
      <c r="K34" s="143"/>
      <c r="L34" s="144"/>
      <c r="N34" s="137"/>
      <c r="O34" s="138"/>
    </row>
    <row r="35" spans="2:32">
      <c r="B35" s="52"/>
      <c r="F35" s="132" t="s">
        <v>55</v>
      </c>
      <c r="G35" s="267">
        <v>1256000</v>
      </c>
      <c r="H35" s="133"/>
      <c r="I35" s="134" t="s">
        <v>56</v>
      </c>
      <c r="J35" s="134" t="s">
        <v>33</v>
      </c>
      <c r="K35" s="135" t="s">
        <v>34</v>
      </c>
      <c r="L35" s="144"/>
      <c r="N35" s="148">
        <v>5</v>
      </c>
      <c r="O35" s="149" t="s">
        <v>57</v>
      </c>
      <c r="AF35" t="s">
        <v>58</v>
      </c>
    </row>
    <row r="36" spans="2:32">
      <c r="B36" s="192" t="s">
        <v>59</v>
      </c>
      <c r="C36" s="193"/>
      <c r="D36" s="194"/>
      <c r="F36" s="145"/>
      <c r="G36" s="133"/>
      <c r="H36" s="133"/>
      <c r="I36" s="140" t="s">
        <v>38</v>
      </c>
      <c r="J36" s="140" t="s">
        <v>60</v>
      </c>
      <c r="K36" s="141">
        <v>0.4</v>
      </c>
      <c r="L36" s="142">
        <f>100%-K36</f>
        <v>0.6</v>
      </c>
      <c r="N36" s="148">
        <v>4</v>
      </c>
      <c r="O36" s="149" t="s">
        <v>61</v>
      </c>
    </row>
    <row r="37" spans="2:32">
      <c r="B37" s="195" t="s">
        <v>62</v>
      </c>
      <c r="C37" s="191" t="s">
        <v>63</v>
      </c>
      <c r="D37" s="196"/>
      <c r="F37" s="147" t="s">
        <v>64</v>
      </c>
      <c r="G37" s="150"/>
      <c r="H37" s="133"/>
      <c r="I37" s="140" t="s">
        <v>42</v>
      </c>
      <c r="J37" s="140" t="s">
        <v>65</v>
      </c>
      <c r="K37" s="151"/>
      <c r="L37" s="144"/>
      <c r="N37" s="148">
        <v>3</v>
      </c>
      <c r="O37" s="149" t="s">
        <v>66</v>
      </c>
    </row>
    <row r="38" spans="2:32">
      <c r="B38" s="195" t="s">
        <v>67</v>
      </c>
      <c r="C38" s="191" t="s">
        <v>68</v>
      </c>
      <c r="D38" s="196"/>
      <c r="F38" s="152" t="s">
        <v>3</v>
      </c>
      <c r="G38" s="134" t="s">
        <v>69</v>
      </c>
      <c r="H38" s="133"/>
      <c r="I38" s="140" t="s">
        <v>46</v>
      </c>
      <c r="J38" s="140" t="s">
        <v>70</v>
      </c>
      <c r="K38" s="151"/>
      <c r="L38" s="144"/>
      <c r="N38" s="148">
        <v>2</v>
      </c>
      <c r="O38" s="149" t="s">
        <v>71</v>
      </c>
    </row>
    <row r="39" spans="2:32">
      <c r="B39" s="197"/>
      <c r="C39" s="191"/>
      <c r="D39" s="196"/>
      <c r="F39" s="132" t="s">
        <v>72</v>
      </c>
      <c r="G39" s="153">
        <v>1307</v>
      </c>
      <c r="H39" s="133"/>
      <c r="I39" s="140" t="s">
        <v>49</v>
      </c>
      <c r="J39" s="140" t="s">
        <v>73</v>
      </c>
      <c r="K39" s="151"/>
      <c r="L39" s="144"/>
      <c r="N39" s="148">
        <v>1</v>
      </c>
      <c r="O39" s="149" t="s">
        <v>74</v>
      </c>
    </row>
    <row r="40" spans="2:32">
      <c r="B40" s="197" t="s">
        <v>75</v>
      </c>
      <c r="C40" s="201" t="s">
        <v>76</v>
      </c>
      <c r="D40" s="198"/>
      <c r="F40" s="132" t="s">
        <v>7</v>
      </c>
      <c r="G40" s="153">
        <v>1727</v>
      </c>
      <c r="H40" s="133"/>
      <c r="I40" s="140" t="s">
        <v>52</v>
      </c>
      <c r="J40" s="140" t="s">
        <v>77</v>
      </c>
      <c r="K40" s="151"/>
      <c r="L40" s="144"/>
      <c r="N40" s="133"/>
      <c r="O40" s="149"/>
    </row>
    <row r="41" spans="2:32">
      <c r="B41" s="199"/>
      <c r="C41" s="202" t="s">
        <v>78</v>
      </c>
      <c r="D41" s="200"/>
      <c r="F41" s="132" t="s">
        <v>79</v>
      </c>
      <c r="G41" s="153">
        <v>2346</v>
      </c>
      <c r="H41" s="133"/>
      <c r="I41" s="133"/>
      <c r="J41" s="133"/>
      <c r="K41" s="143"/>
      <c r="L41" s="144"/>
      <c r="N41" s="133"/>
      <c r="O41" s="149"/>
    </row>
    <row r="42" spans="2:32">
      <c r="F42" s="154"/>
      <c r="G42" s="155"/>
      <c r="H42" s="155"/>
      <c r="I42" s="155"/>
      <c r="J42" s="155"/>
      <c r="K42" s="156"/>
      <c r="L42" s="157"/>
      <c r="N42" s="155"/>
      <c r="O42" s="158"/>
    </row>
    <row r="49" spans="2:8">
      <c r="B49" s="350" t="s">
        <v>80</v>
      </c>
      <c r="C49" s="350"/>
      <c r="D49" s="350"/>
    </row>
    <row r="50" spans="2:8">
      <c r="B50" s="159" t="s">
        <v>81</v>
      </c>
      <c r="C50" s="160" t="s">
        <v>82</v>
      </c>
      <c r="D50" s="161" t="s">
        <v>83</v>
      </c>
    </row>
    <row r="51" spans="2:8">
      <c r="B51" s="162" t="s">
        <v>84</v>
      </c>
      <c r="C51" s="163">
        <v>510.65</v>
      </c>
      <c r="D51" s="164">
        <v>206.3</v>
      </c>
      <c r="F51" s="16"/>
      <c r="G51" s="165"/>
    </row>
    <row r="52" spans="2:8">
      <c r="B52" s="162" t="s">
        <v>85</v>
      </c>
      <c r="C52" s="163">
        <v>1099.68</v>
      </c>
      <c r="D52" s="164">
        <v>549.84</v>
      </c>
      <c r="F52" s="16"/>
    </row>
    <row r="53" spans="2:8">
      <c r="B53" s="162" t="s">
        <v>86</v>
      </c>
      <c r="C53" s="163">
        <v>3875.88</v>
      </c>
      <c r="D53" s="164">
        <v>2293.36</v>
      </c>
      <c r="F53" s="16"/>
    </row>
    <row r="54" spans="2:8">
      <c r="B54" s="166" t="s">
        <v>87</v>
      </c>
      <c r="C54" s="167">
        <v>11102.52</v>
      </c>
      <c r="D54" s="168">
        <v>6307.9</v>
      </c>
      <c r="F54" s="16"/>
    </row>
    <row r="55" spans="2:8">
      <c r="D55" s="169"/>
    </row>
    <row r="57" spans="2:8">
      <c r="D57" s="169"/>
      <c r="F57" s="169"/>
      <c r="H57" s="169"/>
    </row>
    <row r="58" spans="2:8">
      <c r="D58" s="169"/>
    </row>
    <row r="59" spans="2:8">
      <c r="F59" s="169"/>
      <c r="H59" s="169"/>
    </row>
    <row r="60" spans="2:8">
      <c r="D60" s="169"/>
    </row>
    <row r="61" spans="2:8">
      <c r="F61" s="169"/>
      <c r="H61" s="169"/>
    </row>
    <row r="62" spans="2:8">
      <c r="D62" s="169"/>
    </row>
    <row r="63" spans="2:8">
      <c r="F63" s="169"/>
      <c r="H63" s="169"/>
    </row>
  </sheetData>
  <mergeCells count="12">
    <mergeCell ref="B27:D27"/>
    <mergeCell ref="B5:C6"/>
    <mergeCell ref="F7:L8"/>
    <mergeCell ref="F11:L12"/>
    <mergeCell ref="B12:D12"/>
    <mergeCell ref="F16:I16"/>
    <mergeCell ref="B49:D49"/>
    <mergeCell ref="B29:C29"/>
    <mergeCell ref="B30:C30"/>
    <mergeCell ref="B31:C31"/>
    <mergeCell ref="B32:C32"/>
    <mergeCell ref="B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opLeftCell="A28" workbookViewId="0">
      <selection activeCell="B58" sqref="B58"/>
    </sheetView>
  </sheetViews>
  <sheetFormatPr defaultRowHeight="15"/>
  <cols>
    <col min="2" max="2" width="27.7109375" customWidth="1"/>
    <col min="3" max="3" width="59.42578125" customWidth="1"/>
    <col min="4" max="4" width="25.140625" customWidth="1"/>
    <col min="5" max="5" width="26.5703125" customWidth="1"/>
    <col min="6" max="6" width="19.7109375" customWidth="1"/>
    <col min="7" max="7" width="20.28515625" customWidth="1"/>
    <col min="8" max="8" width="20.7109375" customWidth="1"/>
    <col min="9" max="9" width="13.42578125" customWidth="1"/>
    <col min="10" max="10" width="16.5703125" customWidth="1"/>
    <col min="11" max="11" width="20.5703125" bestFit="1" customWidth="1"/>
    <col min="12" max="12" width="19.28515625" bestFit="1" customWidth="1"/>
    <col min="13" max="13" width="21.42578125" customWidth="1"/>
    <col min="14" max="14" width="18.28515625" customWidth="1"/>
    <col min="15" max="15" width="22.140625" customWidth="1"/>
    <col min="16" max="16" width="22.5703125" bestFit="1" customWidth="1"/>
    <col min="17" max="18" width="25.85546875" bestFit="1" customWidth="1"/>
    <col min="19" max="19" width="22.140625" customWidth="1"/>
    <col min="20" max="20" width="35.140625" customWidth="1"/>
    <col min="21" max="21" width="25.85546875" bestFit="1" customWidth="1"/>
    <col min="22" max="23" width="23.140625" bestFit="1" customWidth="1"/>
    <col min="24" max="24" width="15.42578125" bestFit="1" customWidth="1"/>
    <col min="25" max="25" width="39" customWidth="1"/>
    <col min="26" max="26" width="14.5703125" customWidth="1"/>
  </cols>
  <sheetData>
    <row r="1" spans="1:18">
      <c r="B1" s="1" t="s">
        <v>88</v>
      </c>
    </row>
    <row r="2" spans="1:18">
      <c r="B2" s="1"/>
    </row>
    <row r="3" spans="1:18">
      <c r="A3" s="2">
        <v>1</v>
      </c>
      <c r="B3" s="362" t="s">
        <v>89</v>
      </c>
      <c r="C3" s="363"/>
      <c r="D3" s="364" t="s">
        <v>90</v>
      </c>
      <c r="E3" s="365"/>
      <c r="I3" t="s">
        <v>91</v>
      </c>
    </row>
    <row r="4" spans="1:18" ht="15.75" customHeight="1">
      <c r="A4" s="2"/>
      <c r="B4" s="368">
        <f>'base de dados'!C2*B57</f>
        <v>15600000</v>
      </c>
      <c r="C4" s="369"/>
      <c r="D4" s="366"/>
      <c r="E4" s="367"/>
    </row>
    <row r="5" spans="1:18">
      <c r="A5" s="2"/>
      <c r="B5" s="370" t="s">
        <v>92</v>
      </c>
      <c r="C5" s="290" t="s">
        <v>93</v>
      </c>
      <c r="D5" s="291"/>
      <c r="E5" s="291"/>
      <c r="F5" s="292"/>
      <c r="G5" s="292"/>
      <c r="H5" s="292"/>
      <c r="I5" s="292"/>
      <c r="J5" s="293"/>
    </row>
    <row r="6" spans="1:18">
      <c r="A6" s="2"/>
      <c r="B6" s="371"/>
      <c r="C6" s="372" t="s">
        <v>94</v>
      </c>
      <c r="D6" s="372"/>
      <c r="E6" s="372"/>
      <c r="F6" s="372"/>
      <c r="G6" s="372"/>
      <c r="H6" s="372"/>
      <c r="I6" s="372"/>
      <c r="J6" s="372"/>
    </row>
    <row r="7" spans="1:18">
      <c r="C7" s="294"/>
    </row>
    <row r="8" spans="1:18" ht="15.75" customHeight="1">
      <c r="A8" s="2">
        <v>2</v>
      </c>
      <c r="B8" s="373" t="s">
        <v>95</v>
      </c>
      <c r="C8" s="373"/>
      <c r="D8" s="373"/>
      <c r="E8" s="373"/>
      <c r="G8" s="63" t="s">
        <v>96</v>
      </c>
      <c r="H8" s="58" t="s">
        <v>97</v>
      </c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>
      <c r="B9" s="66" t="s">
        <v>98</v>
      </c>
      <c r="C9" s="66" t="s">
        <v>99</v>
      </c>
      <c r="D9" s="6" t="s">
        <v>100</v>
      </c>
      <c r="E9" s="6" t="s">
        <v>101</v>
      </c>
      <c r="G9" s="64"/>
      <c r="H9" s="59"/>
      <c r="I9" s="60"/>
      <c r="J9" s="60"/>
      <c r="K9" s="60"/>
      <c r="L9" s="60"/>
      <c r="M9" s="60"/>
      <c r="N9" s="60"/>
      <c r="O9" s="60"/>
      <c r="P9" s="60"/>
      <c r="Q9" s="60"/>
      <c r="R9" s="61"/>
    </row>
    <row r="10" spans="1:18" ht="15" customHeight="1">
      <c r="A10" s="2"/>
      <c r="B10" s="7">
        <f>'base de dados'!D54</f>
        <v>6307.9</v>
      </c>
      <c r="C10" s="7">
        <f>'base de dados'!D52</f>
        <v>549.84</v>
      </c>
      <c r="D10" s="65">
        <f>'base de dados'!D53</f>
        <v>2293.36</v>
      </c>
      <c r="E10" s="7">
        <f>'base de dados'!D51</f>
        <v>206.3</v>
      </c>
      <c r="G10" s="9" t="s">
        <v>102</v>
      </c>
      <c r="H10" s="295" t="s">
        <v>103</v>
      </c>
      <c r="I10" s="10"/>
      <c r="J10" s="10"/>
      <c r="K10" s="10"/>
      <c r="L10" s="10">
        <f>MROUND('Pesquisa de mercado'!T3*'Pesquisa de mercado'!E$11,5000)</f>
        <v>0</v>
      </c>
      <c r="M10" s="10"/>
      <c r="N10" s="10"/>
      <c r="O10" s="10"/>
      <c r="P10" s="10"/>
      <c r="Q10" s="10"/>
      <c r="R10" s="11"/>
    </row>
    <row r="11" spans="1:18">
      <c r="B11" s="8">
        <f>17.32%+2.43%</f>
        <v>0.19750000000000001</v>
      </c>
      <c r="C11" s="8">
        <f>35.66%+2.43%</f>
        <v>0.38089999999999996</v>
      </c>
      <c r="D11" s="31">
        <f>18.65%+2.43%</f>
        <v>0.21079999999999999</v>
      </c>
      <c r="E11" s="8">
        <f>18.65%+2.43%</f>
        <v>0.21079999999999999</v>
      </c>
      <c r="F11" s="17"/>
      <c r="G11" s="9" t="s">
        <v>104</v>
      </c>
      <c r="H11" s="295" t="s">
        <v>105</v>
      </c>
      <c r="I11" s="12"/>
      <c r="J11" s="12"/>
      <c r="K11" s="12"/>
      <c r="L11" s="12"/>
      <c r="M11" s="12"/>
      <c r="N11" s="12"/>
      <c r="O11" s="12"/>
      <c r="P11" s="12"/>
      <c r="Q11" s="12"/>
      <c r="R11" s="13"/>
    </row>
    <row r="12" spans="1:18" ht="16.5" customHeight="1">
      <c r="C12" s="62"/>
      <c r="F12" s="17"/>
      <c r="G12" s="9" t="s">
        <v>106</v>
      </c>
      <c r="H12" s="295" t="s">
        <v>107</v>
      </c>
      <c r="I12" s="14"/>
      <c r="J12" s="14"/>
      <c r="K12" s="14"/>
      <c r="L12" s="14"/>
      <c r="M12" s="14"/>
      <c r="N12" s="14"/>
      <c r="O12" s="14"/>
      <c r="P12" s="14"/>
      <c r="Q12" s="14"/>
      <c r="R12" s="15"/>
    </row>
    <row r="13" spans="1:18">
      <c r="C13" s="2"/>
      <c r="G13" s="9" t="s">
        <v>108</v>
      </c>
      <c r="H13" s="295" t="s">
        <v>109</v>
      </c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ht="16.5">
      <c r="C14" s="62"/>
      <c r="E14" s="16"/>
    </row>
    <row r="15" spans="1:18" ht="16.5">
      <c r="C15" s="62"/>
    </row>
    <row r="16" spans="1:18" ht="16.5">
      <c r="B16" s="62"/>
      <c r="C16" s="62"/>
      <c r="D16" s="18"/>
      <c r="E16" s="1"/>
    </row>
    <row r="17" spans="1:24">
      <c r="B17" t="s">
        <v>110</v>
      </c>
      <c r="E17" s="19"/>
    </row>
    <row r="18" spans="1:24">
      <c r="C18" s="20"/>
      <c r="J18" t="s">
        <v>111</v>
      </c>
    </row>
    <row r="19" spans="1:24" ht="15" customHeight="1">
      <c r="A19" s="2">
        <v>3</v>
      </c>
      <c r="B19" s="377" t="s">
        <v>112</v>
      </c>
      <c r="C19" s="378"/>
      <c r="D19" s="378"/>
      <c r="E19" s="379" t="s">
        <v>113</v>
      </c>
      <c r="F19" s="379"/>
      <c r="G19" s="379"/>
      <c r="H19" s="379"/>
      <c r="I19" s="379"/>
      <c r="K19" s="384" t="s">
        <v>114</v>
      </c>
      <c r="L19" s="360" t="s">
        <v>115</v>
      </c>
      <c r="M19" s="360"/>
      <c r="N19" s="360"/>
      <c r="O19" s="360"/>
      <c r="P19" s="361"/>
      <c r="R19" s="3" t="s">
        <v>114</v>
      </c>
      <c r="S19" s="53" t="s">
        <v>116</v>
      </c>
      <c r="T19" s="54" t="s">
        <v>117</v>
      </c>
      <c r="U19" s="54" t="s">
        <v>118</v>
      </c>
    </row>
    <row r="20" spans="1:24">
      <c r="B20" s="6" t="s">
        <v>114</v>
      </c>
      <c r="C20" s="21" t="s">
        <v>119</v>
      </c>
      <c r="D20" s="6" t="s">
        <v>120</v>
      </c>
      <c r="E20" s="22" t="s">
        <v>121</v>
      </c>
      <c r="F20" s="23" t="s">
        <v>122</v>
      </c>
      <c r="G20" s="23" t="s">
        <v>123</v>
      </c>
      <c r="H20" s="23" t="s">
        <v>124</v>
      </c>
      <c r="I20" s="23" t="s">
        <v>125</v>
      </c>
      <c r="K20" s="384"/>
      <c r="L20" s="22" t="s">
        <v>121</v>
      </c>
      <c r="M20" s="23" t="s">
        <v>122</v>
      </c>
      <c r="N20" s="23" t="s">
        <v>123</v>
      </c>
      <c r="O20" s="23" t="s">
        <v>124</v>
      </c>
      <c r="P20" s="23" t="s">
        <v>125</v>
      </c>
      <c r="R20" s="24" t="s">
        <v>126</v>
      </c>
      <c r="S20" s="25">
        <f>L21+M21</f>
        <v>685058.4</v>
      </c>
      <c r="T20" s="26">
        <f>N21</f>
        <v>1141764</v>
      </c>
      <c r="U20" s="26">
        <f>O21+P21</f>
        <v>456705.60000000003</v>
      </c>
    </row>
    <row r="21" spans="1:24">
      <c r="B21" s="6" t="s">
        <v>126</v>
      </c>
      <c r="C21" s="27">
        <f>$B$4*D21</f>
        <v>2283528</v>
      </c>
      <c r="D21" s="8">
        <f>0.098%+14.54%</f>
        <v>0.14638000000000001</v>
      </c>
      <c r="E21" s="28">
        <v>0.03</v>
      </c>
      <c r="F21" s="29">
        <v>0.27</v>
      </c>
      <c r="G21" s="29">
        <v>0.5</v>
      </c>
      <c r="H21" s="29">
        <v>0.1</v>
      </c>
      <c r="I21" s="29">
        <v>0.1</v>
      </c>
      <c r="K21" s="23" t="s">
        <v>126</v>
      </c>
      <c r="L21" s="30">
        <f>$C21*E21</f>
        <v>68505.84</v>
      </c>
      <c r="M21" s="30">
        <f>$C21*F21</f>
        <v>616552.56000000006</v>
      </c>
      <c r="N21" s="30">
        <f>$C21*G21</f>
        <v>1141764</v>
      </c>
      <c r="O21" s="30">
        <f>$C21*H21</f>
        <v>228352.80000000002</v>
      </c>
      <c r="P21" s="30">
        <f>$C21*I21</f>
        <v>228352.80000000002</v>
      </c>
      <c r="R21" s="24" t="s">
        <v>127</v>
      </c>
      <c r="S21" s="25">
        <f>L22+M22</f>
        <v>2016031.6800000002</v>
      </c>
      <c r="T21" s="26">
        <f>N22</f>
        <v>3251664</v>
      </c>
      <c r="U21" s="26">
        <f>O22+P22</f>
        <v>1235632.32</v>
      </c>
    </row>
    <row r="22" spans="1:24">
      <c r="B22" s="6" t="s">
        <v>127</v>
      </c>
      <c r="C22" s="27">
        <f t="shared" ref="C22:C25" si="0">$B$4*D22</f>
        <v>6503328</v>
      </c>
      <c r="D22" s="8">
        <f>0.098%+41.59%</f>
        <v>0.41688000000000003</v>
      </c>
      <c r="E22" s="31">
        <v>0.04</v>
      </c>
      <c r="F22" s="8">
        <v>0.27</v>
      </c>
      <c r="G22" s="8">
        <v>0.5</v>
      </c>
      <c r="H22" s="8">
        <v>9.5000000000000001E-2</v>
      </c>
      <c r="I22" s="8">
        <v>9.5000000000000001E-2</v>
      </c>
      <c r="K22" s="6" t="s">
        <v>127</v>
      </c>
      <c r="L22" s="30">
        <f>$C22*E22</f>
        <v>260133.12</v>
      </c>
      <c r="M22" s="30">
        <f>$C22*F22</f>
        <v>1755898.56</v>
      </c>
      <c r="N22" s="30">
        <f>$C22*G22</f>
        <v>3251664</v>
      </c>
      <c r="O22" s="30">
        <f>$C22*H22</f>
        <v>617816.16</v>
      </c>
      <c r="P22" s="30">
        <f>$C22*I22</f>
        <v>617816.16</v>
      </c>
      <c r="R22" s="24" t="s">
        <v>128</v>
      </c>
      <c r="S22" s="25">
        <f>L23+M23</f>
        <v>544883.03999999992</v>
      </c>
      <c r="T22" s="26">
        <f>N23</f>
        <v>1718477.2799999998</v>
      </c>
      <c r="U22" s="26">
        <f>O23+P23</f>
        <v>1928047.68</v>
      </c>
    </row>
    <row r="23" spans="1:24">
      <c r="B23" s="6" t="s">
        <v>128</v>
      </c>
      <c r="C23" s="27">
        <f t="shared" si="0"/>
        <v>4191407.9999999995</v>
      </c>
      <c r="D23" s="8">
        <f>0.098%+26.77%</f>
        <v>0.26867999999999997</v>
      </c>
      <c r="E23" s="28">
        <v>0.01</v>
      </c>
      <c r="F23" s="29">
        <v>0.12</v>
      </c>
      <c r="G23" s="29">
        <v>0.41</v>
      </c>
      <c r="H23" s="29">
        <v>0.23</v>
      </c>
      <c r="I23" s="29">
        <v>0.23</v>
      </c>
      <c r="K23" s="6" t="s">
        <v>128</v>
      </c>
      <c r="L23" s="30">
        <f>$C23*E23</f>
        <v>41914.079999999994</v>
      </c>
      <c r="M23" s="30">
        <f>$C23*F23</f>
        <v>502968.9599999999</v>
      </c>
      <c r="N23" s="30">
        <f>$C23*G23</f>
        <v>1718477.2799999998</v>
      </c>
      <c r="O23" s="30">
        <f>$C23*H23</f>
        <v>964023.84</v>
      </c>
      <c r="P23" s="30">
        <f>$C23*I23</f>
        <v>964023.84</v>
      </c>
      <c r="R23" s="24" t="s">
        <v>129</v>
      </c>
      <c r="S23" s="25">
        <f>L24+M24</f>
        <v>363186.72</v>
      </c>
      <c r="T23" s="26">
        <f>N24</f>
        <v>626183.99999999988</v>
      </c>
      <c r="U23" s="26">
        <f>O24+P24</f>
        <v>262997.27999999997</v>
      </c>
    </row>
    <row r="24" spans="1:24">
      <c r="B24" s="6" t="s">
        <v>129</v>
      </c>
      <c r="C24" s="27">
        <f t="shared" si="0"/>
        <v>1252367.9999999998</v>
      </c>
      <c r="D24" s="8">
        <f>0.098%+7.93%</f>
        <v>8.027999999999999E-2</v>
      </c>
      <c r="E24" s="28">
        <v>0.05</v>
      </c>
      <c r="F24" s="29">
        <v>0.24</v>
      </c>
      <c r="G24" s="29">
        <v>0.5</v>
      </c>
      <c r="H24" s="29">
        <v>0.105</v>
      </c>
      <c r="I24" s="29">
        <v>0.105</v>
      </c>
      <c r="K24" s="6" t="s">
        <v>129</v>
      </c>
      <c r="L24" s="30">
        <f>$C24*E24</f>
        <v>62618.399999999994</v>
      </c>
      <c r="M24" s="30">
        <f>$C24*F24</f>
        <v>300568.31999999995</v>
      </c>
      <c r="N24" s="30">
        <f>$C24*G24</f>
        <v>626183.99999999988</v>
      </c>
      <c r="O24" s="30">
        <f>$C24*H24</f>
        <v>131498.63999999998</v>
      </c>
      <c r="P24" s="30">
        <f>$C24*I24</f>
        <v>131498.63999999998</v>
      </c>
      <c r="R24" s="24" t="s">
        <v>130</v>
      </c>
      <c r="S24" s="25">
        <f>L25+M25</f>
        <v>178017.84</v>
      </c>
      <c r="T24" s="26">
        <f>N25</f>
        <v>588828.24</v>
      </c>
      <c r="U24" s="26">
        <f>O25+P25</f>
        <v>602521.92000000004</v>
      </c>
    </row>
    <row r="25" spans="1:24">
      <c r="B25" s="6" t="s">
        <v>130</v>
      </c>
      <c r="C25" s="27">
        <f t="shared" si="0"/>
        <v>1369368</v>
      </c>
      <c r="D25" s="8">
        <f>0.098%+8.68%</f>
        <v>8.7779999999999997E-2</v>
      </c>
      <c r="E25" s="31">
        <v>0.01</v>
      </c>
      <c r="F25" s="8">
        <v>0.12</v>
      </c>
      <c r="G25" s="8">
        <v>0.43</v>
      </c>
      <c r="H25" s="8">
        <v>0.22</v>
      </c>
      <c r="I25" s="8">
        <v>0.22</v>
      </c>
      <c r="K25" s="6" t="s">
        <v>130</v>
      </c>
      <c r="L25" s="30">
        <f>$C25*E25</f>
        <v>13693.68</v>
      </c>
      <c r="M25" s="30">
        <f>$C25*F25</f>
        <v>164324.16</v>
      </c>
      <c r="N25" s="30">
        <f>$C25*G25</f>
        <v>588828.24</v>
      </c>
      <c r="O25" s="30">
        <f>$C25*H25</f>
        <v>301260.96000000002</v>
      </c>
      <c r="P25" s="30">
        <f>$C25*I25</f>
        <v>301260.96000000002</v>
      </c>
      <c r="R25" s="32" t="s">
        <v>131</v>
      </c>
      <c r="S25" s="25">
        <f>SUM(S20:S24)</f>
        <v>3787177.6799999997</v>
      </c>
      <c r="T25" s="26">
        <f>SUM(T20:T24)</f>
        <v>7326917.5199999996</v>
      </c>
      <c r="U25" s="26">
        <f>SUM(U20:U24)</f>
        <v>4485904.8</v>
      </c>
      <c r="V25" s="20">
        <f>'Pesquisa de mercado'!S23</f>
        <v>363186.72</v>
      </c>
    </row>
    <row r="26" spans="1:24" ht="15" customHeight="1">
      <c r="C26" s="20"/>
      <c r="D26" s="33"/>
      <c r="E26" s="34"/>
      <c r="K26" s="20"/>
      <c r="R26" s="20"/>
    </row>
    <row r="27" spans="1:24">
      <c r="B27" s="380" t="s">
        <v>132</v>
      </c>
      <c r="C27" s="35" t="s">
        <v>133</v>
      </c>
      <c r="D27" s="296"/>
      <c r="E27" s="296"/>
      <c r="F27" s="297"/>
      <c r="G27" s="17"/>
      <c r="H27" s="17"/>
      <c r="K27" s="16"/>
      <c r="L27" s="16"/>
      <c r="M27" s="16"/>
      <c r="Q27" s="20"/>
    </row>
    <row r="28" spans="1:24">
      <c r="B28" s="380"/>
      <c r="C28" s="36" t="s">
        <v>134</v>
      </c>
      <c r="D28" s="298"/>
      <c r="E28" s="298"/>
      <c r="F28" s="299"/>
      <c r="G28" s="300"/>
      <c r="H28" s="301"/>
      <c r="I28" s="302"/>
      <c r="J28" s="301"/>
      <c r="K28" s="301"/>
    </row>
    <row r="30" spans="1:24">
      <c r="B30" t="s">
        <v>135</v>
      </c>
      <c r="G30" s="20"/>
      <c r="I30" s="19"/>
    </row>
    <row r="31" spans="1:24">
      <c r="G31" s="20"/>
    </row>
    <row r="32" spans="1:24" ht="15" customHeight="1">
      <c r="A32" s="2">
        <v>4</v>
      </c>
      <c r="B32" s="381" t="s">
        <v>136</v>
      </c>
      <c r="C32" s="381"/>
      <c r="D32" s="381"/>
      <c r="E32" s="382"/>
      <c r="F32" s="383" t="s">
        <v>137</v>
      </c>
      <c r="G32" s="383"/>
      <c r="H32" s="383"/>
      <c r="I32" s="383"/>
      <c r="J32" s="383"/>
      <c r="K32" s="383"/>
      <c r="L32" s="383" t="s">
        <v>123</v>
      </c>
      <c r="M32" s="383"/>
      <c r="N32" s="383"/>
      <c r="O32" s="383"/>
      <c r="P32" s="383"/>
      <c r="Q32" s="383"/>
      <c r="R32" s="383" t="s">
        <v>138</v>
      </c>
      <c r="S32" s="383"/>
      <c r="T32" s="383"/>
      <c r="U32" s="383"/>
      <c r="V32" s="383"/>
      <c r="W32" s="383"/>
      <c r="X32" s="385" t="s">
        <v>139</v>
      </c>
    </row>
    <row r="33" spans="1:25">
      <c r="A33" s="2"/>
      <c r="B33" s="381"/>
      <c r="C33" s="381"/>
      <c r="D33" s="381"/>
      <c r="E33" s="382"/>
      <c r="F33" s="383"/>
      <c r="G33" s="383"/>
      <c r="H33" s="383"/>
      <c r="I33" s="383"/>
      <c r="J33" s="383"/>
      <c r="K33" s="383"/>
      <c r="L33" s="383"/>
      <c r="M33" s="383"/>
      <c r="N33" s="383"/>
      <c r="O33" s="383"/>
      <c r="P33" s="383"/>
      <c r="Q33" s="383"/>
      <c r="R33" s="383"/>
      <c r="S33" s="383"/>
      <c r="T33" s="383"/>
      <c r="U33" s="383"/>
      <c r="V33" s="383"/>
      <c r="W33" s="383"/>
      <c r="X33" s="386"/>
    </row>
    <row r="34" spans="1:25" ht="16.5">
      <c r="B34" s="37" t="s">
        <v>140</v>
      </c>
      <c r="C34" s="37" t="s">
        <v>120</v>
      </c>
      <c r="D34" s="38" t="s">
        <v>141</v>
      </c>
      <c r="E34" s="39" t="s">
        <v>142</v>
      </c>
      <c r="F34" s="3" t="s">
        <v>143</v>
      </c>
      <c r="G34" s="3" t="s">
        <v>144</v>
      </c>
      <c r="H34" s="3" t="s">
        <v>145</v>
      </c>
      <c r="I34" s="3" t="s">
        <v>146</v>
      </c>
      <c r="J34" s="3" t="s">
        <v>147</v>
      </c>
      <c r="K34" s="3" t="s">
        <v>148</v>
      </c>
      <c r="L34" s="3"/>
      <c r="M34" s="3" t="s">
        <v>144</v>
      </c>
      <c r="N34" s="3" t="s">
        <v>145</v>
      </c>
      <c r="O34" s="3" t="s">
        <v>146</v>
      </c>
      <c r="P34" s="3" t="s">
        <v>147</v>
      </c>
      <c r="Q34" s="3" t="s">
        <v>148</v>
      </c>
      <c r="R34" s="3"/>
      <c r="S34" s="3" t="s">
        <v>144</v>
      </c>
      <c r="T34" s="3" t="s">
        <v>145</v>
      </c>
      <c r="U34" s="3" t="s">
        <v>146</v>
      </c>
      <c r="V34" s="3" t="s">
        <v>147</v>
      </c>
      <c r="W34" s="3" t="s">
        <v>148</v>
      </c>
      <c r="X34" s="386"/>
    </row>
    <row r="35" spans="1:25" ht="16.5">
      <c r="B35" s="40" t="s">
        <v>149</v>
      </c>
      <c r="C35" s="41">
        <f>1.5%+4.54%</f>
        <v>6.0400000000000002E-2</v>
      </c>
      <c r="D35" s="42">
        <f>B4*C35</f>
        <v>942240</v>
      </c>
      <c r="E35" s="374">
        <f>C35+C37+C36</f>
        <v>0.1522</v>
      </c>
      <c r="F35" s="40" t="s">
        <v>149</v>
      </c>
      <c r="G35" s="284">
        <f>$C35*$C$21*($E$21+$F$21)</f>
        <v>41377.527360000007</v>
      </c>
      <c r="H35" s="284">
        <f>$C35*$C$22*($E$22+$F$22)</f>
        <v>121768.31347200001</v>
      </c>
      <c r="I35" s="284">
        <f>$C35*$C$23*($E$23+$F$23)</f>
        <v>32910.935616000002</v>
      </c>
      <c r="J35" s="284">
        <f>$C35*$C$24*($E$24+$F$24)</f>
        <v>21936.477887999994</v>
      </c>
      <c r="K35" s="284">
        <f>$C35*$C$25*($E$25+$F$25)</f>
        <v>10752.277536</v>
      </c>
      <c r="L35" s="40" t="s">
        <v>149</v>
      </c>
      <c r="M35" s="284">
        <f>$C35*$C$21*($G$21)</f>
        <v>68962.545599999998</v>
      </c>
      <c r="N35" s="284">
        <f>$C35*$C$22*($G$22)</f>
        <v>196400.5056</v>
      </c>
      <c r="O35" s="284">
        <f>$C35*$C$23*($G$23)</f>
        <v>103796.02771199998</v>
      </c>
      <c r="P35" s="284">
        <f>$C35*$C$24*($G$24)</f>
        <v>37821.513599999991</v>
      </c>
      <c r="Q35" s="284">
        <f>$C35*$C$25*($G$25)</f>
        <v>35565.225696000001</v>
      </c>
      <c r="R35" s="40" t="s">
        <v>149</v>
      </c>
      <c r="S35" s="284">
        <f>$C35*$C$21*($H$21+$I$21)</f>
        <v>27585.018240000001</v>
      </c>
      <c r="T35" s="284">
        <f>$C35*$C$22*($H$22+$I$22)</f>
        <v>74632.192127999995</v>
      </c>
      <c r="U35" s="284">
        <f>$C35*$C$23*($H$23+$I$23)</f>
        <v>116454.079872</v>
      </c>
      <c r="V35" s="284">
        <f>$C35*$C$24*($H$24+$I$24)</f>
        <v>15885.035711999995</v>
      </c>
      <c r="W35" s="284">
        <f>$C35*$C$25*($H$25+$I$25)</f>
        <v>36392.323967999997</v>
      </c>
      <c r="X35" s="386"/>
      <c r="Y35" s="17"/>
    </row>
    <row r="36" spans="1:25" ht="16.5">
      <c r="B36" s="40" t="s">
        <v>150</v>
      </c>
      <c r="C36" s="41">
        <f>3.8%+4.54%</f>
        <v>8.3400000000000002E-2</v>
      </c>
      <c r="D36" s="42">
        <f>B4*C36</f>
        <v>1301040</v>
      </c>
      <c r="E36" s="375"/>
      <c r="F36" s="40" t="s">
        <v>150</v>
      </c>
      <c r="G36" s="284">
        <f t="shared" ref="G36:G46" si="1">$C36*$C$21*($E$21+$F$21)</f>
        <v>57133.87056000001</v>
      </c>
      <c r="H36" s="284">
        <f t="shared" ref="H36:H46" si="2">$C36*$C$22*($E$22+$F$22)</f>
        <v>168137.04211200002</v>
      </c>
      <c r="I36" s="284">
        <f t="shared" ref="I36:I46" si="3">$C36*$C$23*($E$23+$F$23)</f>
        <v>45443.245535999995</v>
      </c>
      <c r="J36" s="284">
        <f t="shared" ref="J36:J46" si="4">$C36*$C$24*($E$24+$F$24)</f>
        <v>30289.772447999996</v>
      </c>
      <c r="K36" s="284">
        <f t="shared" ref="K36:K46" si="5">$C36*$C$25*($E$25+$F$25)</f>
        <v>14846.687856000002</v>
      </c>
      <c r="L36" s="40" t="s">
        <v>150</v>
      </c>
      <c r="M36" s="284">
        <f>$C36*$C$21*($G$21)</f>
        <v>95223.117599999998</v>
      </c>
      <c r="N36" s="284">
        <f>$C36*$C$22*($G$22)</f>
        <v>271188.77760000003</v>
      </c>
      <c r="O36" s="284">
        <f>$C36*$C$23*($G$23)</f>
        <v>143321.00515199997</v>
      </c>
      <c r="P36" s="284">
        <f>$C36*$C$24*($G$24)</f>
        <v>52223.745599999995</v>
      </c>
      <c r="Q36" s="284">
        <f>$C36*$C$25*($G$25)</f>
        <v>49108.275216000002</v>
      </c>
      <c r="R36" s="40" t="s">
        <v>150</v>
      </c>
      <c r="S36" s="284">
        <f>$C36*$C$21*($H$21+$I$21)</f>
        <v>38089.247040000002</v>
      </c>
      <c r="T36" s="284">
        <f>$C36*$C$22*($H$22+$I$22)</f>
        <v>103051.73548800001</v>
      </c>
      <c r="U36" s="284">
        <f>$C36*$C$23*($H$23+$I$23)</f>
        <v>160799.17651200001</v>
      </c>
      <c r="V36" s="284">
        <f>$C36*$C$24*($H$24+$I$24)</f>
        <v>21933.973151999999</v>
      </c>
      <c r="W36" s="284">
        <f>$C36*$C$25*($H$25+$I$25)</f>
        <v>50250.328128000001</v>
      </c>
      <c r="X36" s="386"/>
      <c r="Y36" s="17"/>
    </row>
    <row r="37" spans="1:25" ht="16.5">
      <c r="B37" s="40" t="s">
        <v>151</v>
      </c>
      <c r="C37" s="41">
        <f>-3.7%+4.54%</f>
        <v>8.3999999999999977E-3</v>
      </c>
      <c r="D37" s="42">
        <f>B4*C37</f>
        <v>131039.99999999997</v>
      </c>
      <c r="E37" s="376"/>
      <c r="F37" s="40" t="s">
        <v>151</v>
      </c>
      <c r="G37" s="284">
        <f t="shared" si="1"/>
        <v>5754.4905599999993</v>
      </c>
      <c r="H37" s="284">
        <f t="shared" si="2"/>
        <v>16934.666111999995</v>
      </c>
      <c r="I37" s="284">
        <f t="shared" si="3"/>
        <v>4577.0175359999985</v>
      </c>
      <c r="J37" s="284">
        <f t="shared" si="4"/>
        <v>3050.768447999998</v>
      </c>
      <c r="K37" s="284">
        <f t="shared" si="5"/>
        <v>1495.3498559999998</v>
      </c>
      <c r="L37" s="40" t="s">
        <v>151</v>
      </c>
      <c r="M37" s="284">
        <f>$C37*$C$21*($G$21)</f>
        <v>9590.8175999999967</v>
      </c>
      <c r="N37" s="284">
        <f>$C37*$C$22*($G$22)</f>
        <v>27313.977599999991</v>
      </c>
      <c r="O37" s="284">
        <f>$C37*$C$23*($G$23)</f>
        <v>14435.209151999992</v>
      </c>
      <c r="P37" s="284">
        <f>$C37*$C$24*($G$24)</f>
        <v>5259.9455999999973</v>
      </c>
      <c r="Q37" s="284">
        <f>$C37*$C$25*($G$25)</f>
        <v>4946.1572159999987</v>
      </c>
      <c r="R37" s="40" t="s">
        <v>151</v>
      </c>
      <c r="S37" s="284">
        <f>$C37*$C$21*($H$21+$I$21)</f>
        <v>3836.3270399999988</v>
      </c>
      <c r="T37" s="284">
        <f>$C37*$C$22*($H$22+$I$22)</f>
        <v>10379.311487999998</v>
      </c>
      <c r="U37" s="284">
        <f>$C37*$C$23*($H$23+$I$23)</f>
        <v>16195.600511999994</v>
      </c>
      <c r="V37" s="284">
        <f>$C37*$C$24*($H$24+$I$24)</f>
        <v>2209.1771519999988</v>
      </c>
      <c r="W37" s="284">
        <f>$C37*$C$25*($H$25+$I$25)</f>
        <v>5061.184127999999</v>
      </c>
      <c r="X37" s="386"/>
      <c r="Y37" s="17"/>
    </row>
    <row r="38" spans="1:25" ht="15.75" customHeight="1">
      <c r="B38" s="40" t="s">
        <v>152</v>
      </c>
      <c r="C38" s="41">
        <f>7.6%+4.54%</f>
        <v>0.12140000000000001</v>
      </c>
      <c r="D38" s="42">
        <f>B4*C38</f>
        <v>1893840.0000000002</v>
      </c>
      <c r="E38" s="374">
        <f>C38+C40+C39</f>
        <v>0.2752</v>
      </c>
      <c r="F38" s="40" t="s">
        <v>152</v>
      </c>
      <c r="G38" s="284">
        <f t="shared" si="1"/>
        <v>83166.089760000017</v>
      </c>
      <c r="H38" s="284">
        <f t="shared" si="2"/>
        <v>244746.24595200003</v>
      </c>
      <c r="I38" s="284">
        <f t="shared" si="3"/>
        <v>66148.801055999997</v>
      </c>
      <c r="J38" s="284">
        <f t="shared" si="4"/>
        <v>44090.867807999995</v>
      </c>
      <c r="K38" s="284">
        <f t="shared" si="5"/>
        <v>21611.365776000002</v>
      </c>
      <c r="L38" s="40" t="s">
        <v>152</v>
      </c>
      <c r="M38" s="284">
        <f>$C38*$C$21*($G$21)</f>
        <v>138610.1496</v>
      </c>
      <c r="N38" s="284">
        <f>$C38*$C$22*($G$22)</f>
        <v>394752.00960000005</v>
      </c>
      <c r="O38" s="284">
        <f>$C38*$C$23*($G$23)</f>
        <v>208623.14179199998</v>
      </c>
      <c r="P38" s="284">
        <f>$C38*$C$24*($G$24)</f>
        <v>76018.737599999993</v>
      </c>
      <c r="Q38" s="284">
        <f>$C38*$C$25*($G$25)</f>
        <v>71483.748336000004</v>
      </c>
      <c r="R38" s="40" t="s">
        <v>152</v>
      </c>
      <c r="S38" s="284">
        <f>$C38*$C$21*($H$21+$I$21)</f>
        <v>55444.059840000002</v>
      </c>
      <c r="T38" s="284">
        <f>$C38*$C$22*($H$22+$I$22)</f>
        <v>150005.76364800002</v>
      </c>
      <c r="U38" s="284">
        <f>$C38*$C$23*($H$23+$I$23)</f>
        <v>234064.98835200001</v>
      </c>
      <c r="V38" s="284">
        <f>$C38*$C$24*($H$24+$I$24)</f>
        <v>31927.869791999998</v>
      </c>
      <c r="W38" s="284">
        <f>$C38*$C$25*($H$25+$I$25)</f>
        <v>73146.161088000008</v>
      </c>
      <c r="X38" s="20"/>
      <c r="Y38" s="17"/>
    </row>
    <row r="39" spans="1:25" ht="16.5">
      <c r="B39" s="40" t="s">
        <v>153</v>
      </c>
      <c r="C39" s="41">
        <f>1.3%+4.54%</f>
        <v>5.8400000000000007E-2</v>
      </c>
      <c r="D39" s="42">
        <f>B4*C39</f>
        <v>911040.00000000012</v>
      </c>
      <c r="E39" s="375"/>
      <c r="F39" s="40" t="s">
        <v>153</v>
      </c>
      <c r="G39" s="284">
        <f t="shared" si="1"/>
        <v>40007.410560000011</v>
      </c>
      <c r="H39" s="284">
        <f t="shared" si="2"/>
        <v>117736.25011200001</v>
      </c>
      <c r="I39" s="284">
        <f t="shared" si="3"/>
        <v>31821.169536000001</v>
      </c>
      <c r="J39" s="284">
        <f t="shared" si="4"/>
        <v>21210.104447999995</v>
      </c>
      <c r="K39" s="284">
        <f t="shared" si="5"/>
        <v>10396.241856000002</v>
      </c>
      <c r="L39" s="40" t="s">
        <v>153</v>
      </c>
      <c r="M39" s="284">
        <f>$C39*$C$21*($G$21)</f>
        <v>66679.017600000006</v>
      </c>
      <c r="N39" s="284">
        <f>$C39*$C$22*($G$22)</f>
        <v>189897.17760000002</v>
      </c>
      <c r="O39" s="284">
        <f>$C39*$C$23*($G$23)</f>
        <v>100359.073152</v>
      </c>
      <c r="P39" s="284">
        <f>$C39*$C$24*($G$24)</f>
        <v>36569.145599999996</v>
      </c>
      <c r="Q39" s="284">
        <f>$C39*$C$25*($G$25)</f>
        <v>34387.569216000004</v>
      </c>
      <c r="R39" s="40" t="s">
        <v>153</v>
      </c>
      <c r="S39" s="284">
        <f>$C39*$C$21*($H$21+$I$21)</f>
        <v>26671.607040000003</v>
      </c>
      <c r="T39" s="284">
        <f>$C39*$C$22*($H$22+$I$22)</f>
        <v>72160.927488000016</v>
      </c>
      <c r="U39" s="284">
        <f>$C39*$C$23*($H$23+$I$23)</f>
        <v>112597.984512</v>
      </c>
      <c r="V39" s="284">
        <f>$C39*$C$24*($H$24+$I$24)</f>
        <v>15359.041151999998</v>
      </c>
      <c r="W39" s="284">
        <f>$C39*$C$25*($H$25+$I$25)</f>
        <v>35187.280128000006</v>
      </c>
      <c r="X39" s="20"/>
      <c r="Y39" s="17"/>
    </row>
    <row r="40" spans="1:25" ht="16.5">
      <c r="B40" s="40" t="s">
        <v>154</v>
      </c>
      <c r="C40" s="41">
        <f>5%+4.54%</f>
        <v>9.5400000000000013E-2</v>
      </c>
      <c r="D40" s="42">
        <f>B4*C40</f>
        <v>1488240.0000000002</v>
      </c>
      <c r="E40" s="376"/>
      <c r="F40" s="40" t="s">
        <v>154</v>
      </c>
      <c r="G40" s="284">
        <f t="shared" si="1"/>
        <v>65354.571360000024</v>
      </c>
      <c r="H40" s="284">
        <f t="shared" si="2"/>
        <v>192329.42227200003</v>
      </c>
      <c r="I40" s="284">
        <f t="shared" si="3"/>
        <v>51981.842016000002</v>
      </c>
      <c r="J40" s="284">
        <f t="shared" si="4"/>
        <v>34648.013087999992</v>
      </c>
      <c r="K40" s="284">
        <f t="shared" si="5"/>
        <v>16982.901936000002</v>
      </c>
      <c r="L40" s="40" t="s">
        <v>154</v>
      </c>
      <c r="M40" s="284">
        <f>$C40*$C$21*($G$21)</f>
        <v>108924.28560000002</v>
      </c>
      <c r="N40" s="284">
        <f>$C40*$C$22*($G$22)</f>
        <v>310208.74560000002</v>
      </c>
      <c r="O40" s="284">
        <f>$C40*$C$23*($G$23)</f>
        <v>163942.73251199999</v>
      </c>
      <c r="P40" s="284">
        <f>$C40*$C$24*($G$24)</f>
        <v>59737.953599999993</v>
      </c>
      <c r="Q40" s="284">
        <f>$C40*$C$25*($G$25)</f>
        <v>56174.214096000011</v>
      </c>
      <c r="R40" s="40" t="s">
        <v>154</v>
      </c>
      <c r="S40" s="284">
        <f>$C40*$C$21*($H$21+$I$21)</f>
        <v>43569.714240000008</v>
      </c>
      <c r="T40" s="284">
        <f>$C40*$C$22*($H$22+$I$22)</f>
        <v>117879.32332800001</v>
      </c>
      <c r="U40" s="284">
        <f>$C40*$C$23*($H$23+$I$23)</f>
        <v>183935.74867199999</v>
      </c>
      <c r="V40" s="284">
        <f>$C40*$C$24*($H$24+$I$24)</f>
        <v>25089.940511999997</v>
      </c>
      <c r="W40" s="284">
        <f>$C40*$C$25*($H$25+$I$25)</f>
        <v>57480.591168000006</v>
      </c>
      <c r="X40" s="20"/>
      <c r="Y40" s="17"/>
    </row>
    <row r="41" spans="1:25" ht="16.5">
      <c r="B41" s="40" t="s">
        <v>155</v>
      </c>
      <c r="C41" s="41">
        <f>7.7%+4.54%</f>
        <v>0.12240000000000001</v>
      </c>
      <c r="D41" s="42">
        <f>B4*C41</f>
        <v>1909440.0000000002</v>
      </c>
      <c r="E41" s="374">
        <f>C41+C43+C42</f>
        <v>0.23520000000000002</v>
      </c>
      <c r="F41" s="40" t="s">
        <v>155</v>
      </c>
      <c r="G41" s="284">
        <f t="shared" si="1"/>
        <v>83851.148160000012</v>
      </c>
      <c r="H41" s="284">
        <f t="shared" si="2"/>
        <v>246762.27763200001</v>
      </c>
      <c r="I41" s="284">
        <f t="shared" si="3"/>
        <v>66693.684095999997</v>
      </c>
      <c r="J41" s="284">
        <f t="shared" si="4"/>
        <v>44454.054527999986</v>
      </c>
      <c r="K41" s="284">
        <f t="shared" si="5"/>
        <v>21789.383616000003</v>
      </c>
      <c r="L41" s="40" t="s">
        <v>155</v>
      </c>
      <c r="M41" s="284">
        <f>$C41*$C$21*($G$21)</f>
        <v>139751.9136</v>
      </c>
      <c r="N41" s="284">
        <f>$C41*$C$22*($G$22)</f>
        <v>398003.67360000004</v>
      </c>
      <c r="O41" s="284">
        <f>$C41*$C$23*($G$23)</f>
        <v>210341.61907199997</v>
      </c>
      <c r="P41" s="284">
        <f>$C41*$C$24*($G$24)</f>
        <v>76644.921599999987</v>
      </c>
      <c r="Q41" s="284">
        <f>$C41*$C$25*($G$25)</f>
        <v>72072.576576000007</v>
      </c>
      <c r="R41" s="40" t="s">
        <v>155</v>
      </c>
      <c r="S41" s="284">
        <f>$C41*$C$21*($H$21+$I$21)</f>
        <v>55900.765440000003</v>
      </c>
      <c r="T41" s="284">
        <f>$C41*$C$22*($H$22+$I$22)</f>
        <v>151241.39596800003</v>
      </c>
      <c r="U41" s="284">
        <f>$C41*$C$23*($H$23+$I$23)</f>
        <v>235993.036032</v>
      </c>
      <c r="V41" s="284">
        <f>$C41*$C$24*($H$24+$I$24)</f>
        <v>32190.867071999994</v>
      </c>
      <c r="W41" s="284">
        <f>$C41*$C$25*($H$25+$I$25)</f>
        <v>73748.683008000007</v>
      </c>
      <c r="X41" s="20"/>
      <c r="Y41" s="17"/>
    </row>
    <row r="42" spans="1:25" ht="16.5">
      <c r="B42" s="40" t="s">
        <v>156</v>
      </c>
      <c r="C42" s="41">
        <f>4.1%+4.54%</f>
        <v>8.6400000000000005E-2</v>
      </c>
      <c r="D42" s="42">
        <f>B4*C42</f>
        <v>1347840</v>
      </c>
      <c r="E42" s="375"/>
      <c r="F42" s="40" t="s">
        <v>156</v>
      </c>
      <c r="G42" s="284">
        <f t="shared" si="1"/>
        <v>59189.045760000008</v>
      </c>
      <c r="H42" s="284">
        <f t="shared" si="2"/>
        <v>174185.13715200001</v>
      </c>
      <c r="I42" s="284">
        <f t="shared" si="3"/>
        <v>47077.894655999997</v>
      </c>
      <c r="J42" s="284">
        <f t="shared" si="4"/>
        <v>31379.332607999993</v>
      </c>
      <c r="K42" s="284">
        <f t="shared" si="5"/>
        <v>15380.741376</v>
      </c>
      <c r="L42" s="40" t="s">
        <v>156</v>
      </c>
      <c r="M42" s="284">
        <f>$C42*$C$21*($G$21)</f>
        <v>98648.409599999999</v>
      </c>
      <c r="N42" s="284">
        <f>$C42*$C$22*($G$22)</f>
        <v>280943.7696</v>
      </c>
      <c r="O42" s="284">
        <f>$C42*$C$23*($G$23)</f>
        <v>148476.43699199997</v>
      </c>
      <c r="P42" s="284">
        <f>$C42*$C$24*($G$24)</f>
        <v>54102.297599999991</v>
      </c>
      <c r="Q42" s="284">
        <f>$C42*$C$25*($G$25)</f>
        <v>50874.759936000002</v>
      </c>
      <c r="R42" s="40" t="s">
        <v>156</v>
      </c>
      <c r="S42" s="284">
        <f>$C42*$C$21*($H$21+$I$21)</f>
        <v>39459.363840000005</v>
      </c>
      <c r="T42" s="284">
        <f>$C42*$C$22*($H$22+$I$22)</f>
        <v>106758.632448</v>
      </c>
      <c r="U42" s="284">
        <f>$C42*$C$23*($H$23+$I$23)</f>
        <v>166583.319552</v>
      </c>
      <c r="V42" s="284">
        <f>$C42*$C$24*($H$24+$I$24)</f>
        <v>22722.964991999994</v>
      </c>
      <c r="W42" s="284">
        <f>$C42*$C$25*($H$25+$I$25)</f>
        <v>52057.893887999999</v>
      </c>
      <c r="X42" s="20"/>
      <c r="Y42" s="17"/>
    </row>
    <row r="43" spans="1:25" ht="16.5">
      <c r="B43" s="40" t="s">
        <v>157</v>
      </c>
      <c r="C43" s="41">
        <f>-1.9%+4.54%</f>
        <v>2.6400000000000003E-2</v>
      </c>
      <c r="D43" s="42">
        <f>B4*C43</f>
        <v>411840.00000000006</v>
      </c>
      <c r="E43" s="376"/>
      <c r="F43" s="40" t="s">
        <v>157</v>
      </c>
      <c r="G43" s="284">
        <f t="shared" si="1"/>
        <v>18085.541760000004</v>
      </c>
      <c r="H43" s="284">
        <f t="shared" si="2"/>
        <v>53223.236352000007</v>
      </c>
      <c r="I43" s="284">
        <f t="shared" si="3"/>
        <v>14384.912256</v>
      </c>
      <c r="J43" s="284">
        <f t="shared" si="4"/>
        <v>9588.1294080000007</v>
      </c>
      <c r="K43" s="284">
        <f t="shared" si="5"/>
        <v>4699.6709760000003</v>
      </c>
      <c r="L43" s="40" t="s">
        <v>157</v>
      </c>
      <c r="M43" s="284">
        <f>$C43*$C$21*($G$21)</f>
        <v>30142.569600000003</v>
      </c>
      <c r="N43" s="284">
        <f>$C43*$C$22*($G$22)</f>
        <v>85843.929600000018</v>
      </c>
      <c r="O43" s="284">
        <f>$C43*$C$23*($G$23)</f>
        <v>45367.800191999995</v>
      </c>
      <c r="P43" s="284">
        <f>$C43*$C$24*($G$24)</f>
        <v>16531.257600000001</v>
      </c>
      <c r="Q43" s="284">
        <f>$C43*$C$25*($G$25)</f>
        <v>15545.065536000002</v>
      </c>
      <c r="R43" s="40" t="s">
        <v>157</v>
      </c>
      <c r="S43" s="284">
        <f>$C43*$C$21*($H$21+$I$21)</f>
        <v>12057.027840000002</v>
      </c>
      <c r="T43" s="284">
        <f>$C43*$C$22*($H$22+$I$22)</f>
        <v>32620.693248000007</v>
      </c>
      <c r="U43" s="284">
        <f>$C43*$C$23*($H$23+$I$23)</f>
        <v>50900.458751999999</v>
      </c>
      <c r="V43" s="284">
        <f>$C43*$C$24*($H$24+$I$24)</f>
        <v>6943.1281920000001</v>
      </c>
      <c r="W43" s="284">
        <f>$C43*$C$25*($H$25+$I$25)</f>
        <v>15906.578688000001</v>
      </c>
      <c r="X43" s="20"/>
      <c r="Y43" s="17"/>
    </row>
    <row r="44" spans="1:25" ht="16.5">
      <c r="B44" s="40" t="s">
        <v>158</v>
      </c>
      <c r="C44" s="41">
        <f>9.6%+4.54%</f>
        <v>0.1414</v>
      </c>
      <c r="D44" s="42">
        <f>B4*C44</f>
        <v>2205840</v>
      </c>
      <c r="E44" s="374">
        <f>C44+C46+C45</f>
        <v>0.33739999999999998</v>
      </c>
      <c r="F44" s="40" t="s">
        <v>158</v>
      </c>
      <c r="G44" s="284">
        <f t="shared" si="1"/>
        <v>96867.257760000022</v>
      </c>
      <c r="H44" s="284">
        <f t="shared" si="2"/>
        <v>285066.87955200003</v>
      </c>
      <c r="I44" s="284">
        <f t="shared" si="3"/>
        <v>77046.461855999994</v>
      </c>
      <c r="J44" s="284">
        <f t="shared" si="4"/>
        <v>51354.602207999989</v>
      </c>
      <c r="K44" s="284">
        <f t="shared" si="5"/>
        <v>25171.722576</v>
      </c>
      <c r="L44" s="40" t="s">
        <v>158</v>
      </c>
      <c r="M44" s="284">
        <f>$C44*$C$21*($G$21)</f>
        <v>161445.4296</v>
      </c>
      <c r="N44" s="284">
        <f>$C44*$C$22*($G$22)</f>
        <v>459785.28960000002</v>
      </c>
      <c r="O44" s="284">
        <f>$C44*$C$23*($G$23)</f>
        <v>242992.68739199993</v>
      </c>
      <c r="P44" s="284">
        <f>$C44*$C$24*($G$24)</f>
        <v>88542.417599999986</v>
      </c>
      <c r="Q44" s="284">
        <f>$C44*$C$25*($G$25)</f>
        <v>83260.313135999997</v>
      </c>
      <c r="R44" s="40" t="s">
        <v>158</v>
      </c>
      <c r="S44" s="284">
        <f>$C44*$C$21*($H$21+$I$21)</f>
        <v>64578.171840000003</v>
      </c>
      <c r="T44" s="284">
        <f>$C44*$C$22*($H$22+$I$22)</f>
        <v>174718.41004800002</v>
      </c>
      <c r="U44" s="284">
        <f>$C44*$C$23*($H$23+$I$23)</f>
        <v>272625.94195199996</v>
      </c>
      <c r="V44" s="284">
        <f>$C44*$C$24*($H$24+$I$24)</f>
        <v>37187.81539199999</v>
      </c>
      <c r="W44" s="284">
        <f>$C44*$C$25*($H$25+$I$25)</f>
        <v>85196.599487999993</v>
      </c>
      <c r="X44" s="20"/>
      <c r="Y44" s="17"/>
    </row>
    <row r="45" spans="1:25" ht="16.5">
      <c r="B45" s="40" t="s">
        <v>159</v>
      </c>
      <c r="C45" s="41">
        <f>-1%+4.54%</f>
        <v>3.5400000000000001E-2</v>
      </c>
      <c r="D45" s="42">
        <f>B4*C45</f>
        <v>552240</v>
      </c>
      <c r="E45" s="375"/>
      <c r="F45" s="40" t="s">
        <v>159</v>
      </c>
      <c r="G45" s="284">
        <f t="shared" si="1"/>
        <v>24251.067360000005</v>
      </c>
      <c r="H45" s="284">
        <f t="shared" si="2"/>
        <v>71367.521471999993</v>
      </c>
      <c r="I45" s="284">
        <f t="shared" si="3"/>
        <v>19288.859615999998</v>
      </c>
      <c r="J45" s="284">
        <f t="shared" si="4"/>
        <v>12856.809887999996</v>
      </c>
      <c r="K45" s="284">
        <f t="shared" si="5"/>
        <v>6301.8315360000006</v>
      </c>
      <c r="L45" s="40" t="s">
        <v>159</v>
      </c>
      <c r="M45" s="284">
        <f>$C45*$C$21*($G$21)</f>
        <v>40418.445599999999</v>
      </c>
      <c r="N45" s="284">
        <f>$C45*$C$22*($G$22)</f>
        <v>115108.9056</v>
      </c>
      <c r="O45" s="284">
        <f>$C45*$C$23*($G$23)</f>
        <v>60834.095711999988</v>
      </c>
      <c r="P45" s="284">
        <f>$C45*$C$24*($G$24)</f>
        <v>22166.913599999996</v>
      </c>
      <c r="Q45" s="284">
        <f>$C45*$C$25*($G$25)</f>
        <v>20844.519695999999</v>
      </c>
      <c r="R45" s="40" t="s">
        <v>159</v>
      </c>
      <c r="S45" s="284">
        <f>$C45*$C$21*($H$21+$I$21)</f>
        <v>16167.37824</v>
      </c>
      <c r="T45" s="284">
        <f>$C45*$C$22*($H$22+$I$22)</f>
        <v>43741.384127999998</v>
      </c>
      <c r="U45" s="284">
        <f>$C45*$C$23*($H$23+$I$23)</f>
        <v>68252.887871999992</v>
      </c>
      <c r="V45" s="284">
        <f>$C45*$C$24*($H$24+$I$24)</f>
        <v>9310.1037119999983</v>
      </c>
      <c r="W45" s="284">
        <f>$C45*$C$25*($H$25+$I$25)</f>
        <v>21329.275968000002</v>
      </c>
      <c r="X45" s="20"/>
      <c r="Y45" s="17"/>
    </row>
    <row r="46" spans="1:25" ht="16.5">
      <c r="B46" s="40" t="s">
        <v>160</v>
      </c>
      <c r="C46" s="41">
        <f>11.5%+4.56%</f>
        <v>0.16059999999999999</v>
      </c>
      <c r="D46" s="42">
        <f>B4*C46</f>
        <v>2505360</v>
      </c>
      <c r="E46" s="376"/>
      <c r="F46" s="40" t="s">
        <v>160</v>
      </c>
      <c r="G46" s="284">
        <f>$C46*$C$21*($E$21+$F$21)</f>
        <v>110020.37904000001</v>
      </c>
      <c r="H46" s="284">
        <f t="shared" si="2"/>
        <v>323774.68780799996</v>
      </c>
      <c r="I46" s="284">
        <f t="shared" si="3"/>
        <v>87508.216223999989</v>
      </c>
      <c r="J46" s="284">
        <f t="shared" si="4"/>
        <v>58327.787231999981</v>
      </c>
      <c r="K46" s="284">
        <f t="shared" si="5"/>
        <v>28589.665104</v>
      </c>
      <c r="L46" s="40" t="s">
        <v>160</v>
      </c>
      <c r="M46" s="284">
        <f>$C46*$C$21*($G$21)</f>
        <v>183367.2984</v>
      </c>
      <c r="N46" s="284">
        <f>$C46*$C$22*($G$22)</f>
        <v>522217.23839999997</v>
      </c>
      <c r="O46" s="284">
        <f>$C46*$C$23*($G$23)</f>
        <v>275987.45116799994</v>
      </c>
      <c r="P46" s="284">
        <f>$C46*$C$24*($G$24)</f>
        <v>100565.15039999997</v>
      </c>
      <c r="Q46" s="284">
        <f>$C46*$C$25*($G$25)</f>
        <v>94565.815343999988</v>
      </c>
      <c r="R46" s="40" t="s">
        <v>160</v>
      </c>
      <c r="S46" s="284">
        <f>$C46*$C$21*($H$21+$I$21)</f>
        <v>73346.91936</v>
      </c>
      <c r="T46" s="284">
        <f>$C46*$C$22*($H$22+$I$22)</f>
        <v>198442.55059199999</v>
      </c>
      <c r="U46" s="284">
        <f>$C46*$C$23*($H$23+$I$23)</f>
        <v>309644.45740799996</v>
      </c>
      <c r="V46" s="284">
        <f>$C46*$C$24*($H$24+$I$24)</f>
        <v>42237.363167999989</v>
      </c>
      <c r="W46" s="284">
        <f>$C46*$C$25*($H$25+$I$25)</f>
        <v>96765.020351999992</v>
      </c>
      <c r="X46" s="20"/>
      <c r="Y46" s="17"/>
    </row>
    <row r="47" spans="1:25" ht="16.5">
      <c r="B47" s="40" t="s">
        <v>131</v>
      </c>
      <c r="C47" s="43">
        <f>SUM(C35:C46)</f>
        <v>1</v>
      </c>
      <c r="D47" s="44">
        <f>SUM(D35:D46)</f>
        <v>15600000</v>
      </c>
      <c r="E47" s="45"/>
      <c r="F47" s="46" t="s">
        <v>161</v>
      </c>
      <c r="G47" s="30">
        <f>SUM(G35:G46)</f>
        <v>685058.40000000014</v>
      </c>
      <c r="H47" s="30">
        <f t="shared" ref="H47:W47" si="6">SUM(H35:H46)</f>
        <v>2016031.6800000002</v>
      </c>
      <c r="I47" s="30">
        <f t="shared" si="6"/>
        <v>544883.04</v>
      </c>
      <c r="J47" s="30">
        <f>SUM(J35:J46)</f>
        <v>363186.71999999991</v>
      </c>
      <c r="K47" s="30">
        <f>SUM(K35:K46)</f>
        <v>178017.84000000003</v>
      </c>
      <c r="L47" s="46" t="s">
        <v>161</v>
      </c>
      <c r="M47" s="30">
        <f t="shared" si="6"/>
        <v>1141764.0000000002</v>
      </c>
      <c r="N47" s="30">
        <f t="shared" si="6"/>
        <v>3251664.0000000009</v>
      </c>
      <c r="O47" s="30">
        <f t="shared" si="6"/>
        <v>1718477.2799999998</v>
      </c>
      <c r="P47" s="30">
        <f t="shared" si="6"/>
        <v>626183.99999999988</v>
      </c>
      <c r="Q47" s="30">
        <f t="shared" si="6"/>
        <v>588828.24</v>
      </c>
      <c r="R47" s="46" t="s">
        <v>161</v>
      </c>
      <c r="S47" s="30">
        <f t="shared" si="6"/>
        <v>456705.60000000003</v>
      </c>
      <c r="T47" s="30">
        <f t="shared" si="6"/>
        <v>1235632.32</v>
      </c>
      <c r="U47" s="30">
        <f t="shared" si="6"/>
        <v>1928047.68</v>
      </c>
      <c r="V47" s="30">
        <f t="shared" si="6"/>
        <v>262997.27999999997</v>
      </c>
      <c r="W47" s="30">
        <f t="shared" si="6"/>
        <v>602521.92000000004</v>
      </c>
      <c r="X47" s="20"/>
      <c r="Y47" s="17"/>
    </row>
    <row r="48" spans="1:25" ht="16.5">
      <c r="B48" s="47" t="s">
        <v>132</v>
      </c>
      <c r="C48" s="388" t="s">
        <v>162</v>
      </c>
      <c r="D48" s="388"/>
      <c r="E48" s="388"/>
      <c r="F48" s="388"/>
      <c r="G48" s="388"/>
      <c r="H48" s="388"/>
    </row>
    <row r="49" spans="1:13">
      <c r="G49" s="17"/>
      <c r="K49" s="20"/>
    </row>
    <row r="50" spans="1:13">
      <c r="B50" s="55" t="s">
        <v>163</v>
      </c>
      <c r="C50" s="52"/>
      <c r="I50" s="20"/>
      <c r="K50" s="19"/>
    </row>
    <row r="51" spans="1:13" ht="15.75" customHeight="1">
      <c r="B51" s="55" t="s">
        <v>164</v>
      </c>
      <c r="C51" s="52"/>
      <c r="J51" s="20"/>
    </row>
    <row r="53" spans="1:13">
      <c r="B53" s="389" t="s">
        <v>165</v>
      </c>
      <c r="C53" s="389"/>
      <c r="D53" s="390" t="s">
        <v>166</v>
      </c>
      <c r="E53" s="390"/>
      <c r="K53" s="20"/>
      <c r="L53" s="20"/>
      <c r="M53" s="20"/>
    </row>
    <row r="54" spans="1:13">
      <c r="B54" s="389"/>
      <c r="C54" s="389"/>
      <c r="D54" s="390"/>
      <c r="E54" s="390"/>
    </row>
    <row r="55" spans="1:13">
      <c r="B55" s="391" t="s">
        <v>167</v>
      </c>
      <c r="C55" s="392"/>
      <c r="D55" s="390"/>
      <c r="E55" s="390"/>
    </row>
    <row r="56" spans="1:13" ht="21" customHeight="1">
      <c r="B56" s="49" t="s">
        <v>168</v>
      </c>
      <c r="C56" s="50" t="s">
        <v>169</v>
      </c>
      <c r="D56" s="387" t="s">
        <v>170</v>
      </c>
      <c r="E56" s="387"/>
    </row>
    <row r="57" spans="1:13" ht="22.5" customHeight="1">
      <c r="B57" s="51">
        <v>0.2</v>
      </c>
      <c r="C57" s="50" t="s">
        <v>171</v>
      </c>
      <c r="D57" s="387"/>
      <c r="E57" s="387"/>
    </row>
    <row r="59" spans="1:13">
      <c r="A59" s="2">
        <v>5</v>
      </c>
    </row>
    <row r="61" spans="1:13" ht="15" customHeight="1"/>
    <row r="63" spans="1:13" ht="15" customHeight="1"/>
  </sheetData>
  <mergeCells count="25">
    <mergeCell ref="D56:E57"/>
    <mergeCell ref="C48:H48"/>
    <mergeCell ref="B53:C54"/>
    <mergeCell ref="D53:E55"/>
    <mergeCell ref="B55:C55"/>
    <mergeCell ref="R32:W33"/>
    <mergeCell ref="X32:X37"/>
    <mergeCell ref="E35:E37"/>
    <mergeCell ref="E38:E40"/>
    <mergeCell ref="E41:E43"/>
    <mergeCell ref="L32:Q33"/>
    <mergeCell ref="E44:E46"/>
    <mergeCell ref="B19:D19"/>
    <mergeCell ref="E19:I19"/>
    <mergeCell ref="B27:B28"/>
    <mergeCell ref="B32:E33"/>
    <mergeCell ref="F32:K33"/>
    <mergeCell ref="K19:K20"/>
    <mergeCell ref="L19:P19"/>
    <mergeCell ref="B3:C3"/>
    <mergeCell ref="D3:E4"/>
    <mergeCell ref="B4:C4"/>
    <mergeCell ref="B5:B6"/>
    <mergeCell ref="C6:J6"/>
    <mergeCell ref="B8:E8"/>
  </mergeCells>
  <hyperlinks>
    <hyperlink ref="C5" r:id="rId1" location=":~:text=A%20população%20no%20Brasil%20deverá,e%20as%20expectativas%20dos%20analistas" xr:uid="{335359FC-DDE0-40A3-89F9-944C9DA127F2}"/>
    <hyperlink ref="H11" r:id="rId2" xr:uid="{4DF2AAE9-B5A2-400F-AC23-54A9FD95545A}"/>
    <hyperlink ref="H10" r:id="rId3" xr:uid="{AC064923-6D08-4487-8207-C7974424B9FD}"/>
    <hyperlink ref="H13" r:id="rId4" display="https://www.mercadolivre.com.br/smartphone-motorola-moto-g54-5g-256-gb-azul-8-gb-ram/p/MLB34113229?pdp_filters=item_id%3AMLB5332740318&amp;from=gshop&amp;matt_tool=33167885&amp;matt_word=&amp;matt_source=google&amp;matt_campaign_id=22127560717&amp;matt_ad_group_id=172644202239&amp;matt_match_type=&amp;matt_network=g&amp;matt_device=c&amp;matt_creative=728942948133&amp;matt_keyword=&amp;matt_ad_position=&amp;matt_ad_type=pla&amp;matt_merchant_id=735125422&amp;matt_product_id=MLB34113229-product&amp;matt_product_partition_id=2413654277914&amp;matt_target_id=pla-2413654277914&amp;cq_src=google_ads&amp;cq_cmp=22127560717&amp;cq_net=g&amp;cq_plt=gp&amp;cq_med=pla&amp;gad_source=1&amp;gclid=Cj0KCQjwna6_BhCbARIsALId2Z0gMHucq0jT_BqXPca18dUwS8MjMfxTyvvpP_WBxTZjln9AVEaoHRwaAjT-EALw_wcB" xr:uid="{3B10293C-ED2A-42E5-843A-DE9942A25DE3}"/>
    <hyperlink ref="H12" r:id="rId5" xr:uid="{9C46ACC3-B289-4482-A014-310D86D8038F}"/>
    <hyperlink ref="C48" r:id="rId6" xr:uid="{51EA3F51-1A35-4BE8-AA12-D7B82E4BFBDE}"/>
    <hyperlink ref="C27" r:id="rId7" xr:uid="{0B0F44BF-D99A-47D8-B8F6-6D6B29B0B036}"/>
    <hyperlink ref="C28" r:id="rId8" xr:uid="{FDEF87B4-5DC8-4D93-B005-0079E70138DA}"/>
    <hyperlink ref="C6" r:id="rId9" location=":~:text=Segundo%20o%20estudo%2C%2063%25%20dos,na%20pesquisa%20planejam%20comprar%20móveis" xr:uid="{4380B437-8047-4F17-8ECD-00CCDCDA3D16}"/>
    <hyperlink ref="C6:J6" r:id="rId10" location=":~:text=Segundo%20o%20estudo%2C%2063%25%20dos,na%20pesquisa%20planejam%20comprar%20móveis" display="https://www.meioemensagem.com.br/marketing/moveis-e-celulares-o-que-os-brasileiros-desejam-comprar-em-2025#:~:text=Segundo%20o%20estudo%2C%2063%25%20dos,na%20pesquisa%20planejam%20comprar%20móveis." xr:uid="{41AFC174-3305-444E-B462-2C6B833A94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9092-B5A5-4D95-8F1C-BE3188226D62}">
  <dimension ref="B2:AN43"/>
  <sheetViews>
    <sheetView topLeftCell="A3" workbookViewId="0">
      <selection activeCell="F10" sqref="F10"/>
    </sheetView>
  </sheetViews>
  <sheetFormatPr defaultRowHeight="15"/>
  <cols>
    <col min="1" max="1" width="3.28515625" customWidth="1"/>
    <col min="2" max="5" width="12.28515625" customWidth="1"/>
    <col min="9" max="9" width="11" bestFit="1" customWidth="1"/>
    <col min="10" max="13" width="11.42578125" customWidth="1"/>
    <col min="16" max="20" width="12.140625" customWidth="1"/>
    <col min="23" max="27" width="13" customWidth="1"/>
    <col min="30" max="31" width="11.7109375" customWidth="1"/>
    <col min="32" max="32" width="12.85546875" customWidth="1"/>
    <col min="33" max="34" width="11.7109375" customWidth="1"/>
    <col min="37" max="37" width="13" bestFit="1" customWidth="1"/>
    <col min="38" max="38" width="12.140625" bestFit="1" customWidth="1"/>
  </cols>
  <sheetData>
    <row r="2" spans="2:40" ht="56.25" customHeight="1">
      <c r="E2" s="402" t="s">
        <v>172</v>
      </c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4"/>
    </row>
    <row r="3" spans="2:40" ht="15" customHeight="1"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5" spans="2:40" ht="90">
      <c r="B5" s="56" t="s">
        <v>173</v>
      </c>
      <c r="C5" s="57" t="s">
        <v>98</v>
      </c>
      <c r="D5" s="57" t="s">
        <v>99</v>
      </c>
      <c r="E5" s="214" t="s">
        <v>100</v>
      </c>
      <c r="F5" s="57" t="s">
        <v>101</v>
      </c>
      <c r="G5" s="207" t="s">
        <v>131</v>
      </c>
      <c r="I5" s="56" t="s">
        <v>174</v>
      </c>
      <c r="J5" s="57" t="s">
        <v>98</v>
      </c>
      <c r="K5" s="57" t="s">
        <v>99</v>
      </c>
      <c r="L5" s="57" t="s">
        <v>100</v>
      </c>
      <c r="M5" s="57" t="s">
        <v>101</v>
      </c>
      <c r="N5" s="207" t="s">
        <v>131</v>
      </c>
      <c r="P5" s="3" t="s">
        <v>146</v>
      </c>
      <c r="Q5" s="57" t="s">
        <v>98</v>
      </c>
      <c r="R5" s="57" t="s">
        <v>99</v>
      </c>
      <c r="S5" s="57" t="s">
        <v>100</v>
      </c>
      <c r="T5" s="57" t="s">
        <v>101</v>
      </c>
      <c r="U5" s="207" t="s">
        <v>131</v>
      </c>
      <c r="W5" s="3" t="s">
        <v>147</v>
      </c>
      <c r="X5" s="57" t="s">
        <v>98</v>
      </c>
      <c r="Y5" s="57" t="s">
        <v>99</v>
      </c>
      <c r="Z5" s="57" t="s">
        <v>100</v>
      </c>
      <c r="AA5" s="57" t="s">
        <v>101</v>
      </c>
      <c r="AB5" s="207" t="s">
        <v>131</v>
      </c>
      <c r="AD5" s="3" t="s">
        <v>148</v>
      </c>
      <c r="AE5" s="57" t="s">
        <v>98</v>
      </c>
      <c r="AF5" s="57" t="s">
        <v>99</v>
      </c>
      <c r="AG5" s="57" t="s">
        <v>100</v>
      </c>
      <c r="AH5" s="57" t="s">
        <v>101</v>
      </c>
      <c r="AI5" s="207" t="s">
        <v>131</v>
      </c>
      <c r="AK5" s="396" t="s">
        <v>175</v>
      </c>
      <c r="AL5" s="396"/>
      <c r="AM5" s="70"/>
      <c r="AN5" s="70"/>
    </row>
    <row r="6" spans="2:40" ht="18.75">
      <c r="B6" s="67" t="s">
        <v>149</v>
      </c>
      <c r="C6" s="178">
        <f>'previsão de vendas'!C10/5000</f>
        <v>2</v>
      </c>
      <c r="D6" s="178">
        <f>'previsão de vendas'!D10/5000</f>
        <v>3</v>
      </c>
      <c r="E6" s="178">
        <f>'previsão de vendas'!E10/5000</f>
        <v>3</v>
      </c>
      <c r="F6" s="178">
        <f>'previsão de vendas'!F10/5000</f>
        <v>1</v>
      </c>
      <c r="G6" s="178">
        <f>SUM(C6:F6)</f>
        <v>9</v>
      </c>
      <c r="I6" s="67" t="s">
        <v>149</v>
      </c>
      <c r="J6" s="178">
        <f>'previsão de vendas'!J10/5000</f>
        <v>5</v>
      </c>
      <c r="K6" s="178">
        <f>'previsão de vendas'!K10/5000</f>
        <v>9</v>
      </c>
      <c r="L6" s="178">
        <f>'previsão de vendas'!L10/5000</f>
        <v>8</v>
      </c>
      <c r="M6" s="178">
        <f>'previsão de vendas'!M10/5000</f>
        <v>3</v>
      </c>
      <c r="N6" s="215">
        <f>SUM(J6:M6)</f>
        <v>25</v>
      </c>
      <c r="P6" s="67" t="s">
        <v>149</v>
      </c>
      <c r="Q6" s="178">
        <f>'previsão de vendas'!Q10/5000</f>
        <v>1</v>
      </c>
      <c r="R6" s="178">
        <f>'previsão de vendas'!R10/5000</f>
        <v>3</v>
      </c>
      <c r="S6" s="178">
        <f>'previsão de vendas'!S10/5000</f>
        <v>4</v>
      </c>
      <c r="T6" s="178">
        <f>'previsão de vendas'!T10/5000</f>
        <v>5</v>
      </c>
      <c r="U6" s="215">
        <f>SUM(Q6:T6)</f>
        <v>13</v>
      </c>
      <c r="W6" s="67" t="s">
        <v>149</v>
      </c>
      <c r="X6" s="178">
        <f>'previsão de vendas'!X10/5000</f>
        <v>1</v>
      </c>
      <c r="Y6" s="178">
        <f>'previsão de vendas'!Y10/5000</f>
        <v>2</v>
      </c>
      <c r="Z6" s="178">
        <f>'previsão de vendas'!Z10/5000</f>
        <v>2</v>
      </c>
      <c r="AA6" s="178">
        <f>'previsão de vendas'!AA10/5000</f>
        <v>1</v>
      </c>
      <c r="AB6" s="215">
        <f>SUM(X6:AA6)</f>
        <v>6</v>
      </c>
      <c r="AD6" s="67" t="s">
        <v>149</v>
      </c>
      <c r="AE6" s="178">
        <f>'previsão de vendas'!AE10/5000</f>
        <v>0</v>
      </c>
      <c r="AF6" s="178">
        <f>'previsão de vendas'!AF10/5000</f>
        <v>1</v>
      </c>
      <c r="AG6" s="178">
        <f>'previsão de vendas'!AG10/5000</f>
        <v>1</v>
      </c>
      <c r="AH6" s="178">
        <f>'previsão de vendas'!AH10/5000</f>
        <v>1</v>
      </c>
      <c r="AI6" s="215">
        <f>SUM(AE6:AH6)</f>
        <v>3</v>
      </c>
      <c r="AK6" s="71" t="s">
        <v>176</v>
      </c>
      <c r="AL6" s="72">
        <f>SUM(AE21+X21+Q21+C21+J21)</f>
        <v>4655000</v>
      </c>
    </row>
    <row r="7" spans="2:40" ht="18.75">
      <c r="B7" s="67" t="s">
        <v>150</v>
      </c>
      <c r="C7" s="178">
        <f>'previsão de vendas'!C11/5000</f>
        <v>2</v>
      </c>
      <c r="D7" s="178">
        <f>'previsão de vendas'!D11/5000</f>
        <v>4</v>
      </c>
      <c r="E7" s="178">
        <f>'previsão de vendas'!E11/5000</f>
        <v>4</v>
      </c>
      <c r="F7" s="178">
        <f>'previsão de vendas'!F11/5000</f>
        <v>2</v>
      </c>
      <c r="G7" s="178">
        <f t="shared" ref="G7:G17" si="0">SUM(C7:F7)</f>
        <v>12</v>
      </c>
      <c r="I7" s="67" t="s">
        <v>150</v>
      </c>
      <c r="J7" s="178">
        <f>'previsão de vendas'!J11/5000</f>
        <v>7</v>
      </c>
      <c r="K7" s="178">
        <f>'previsão de vendas'!K11/5000</f>
        <v>13</v>
      </c>
      <c r="L7" s="178">
        <f>'previsão de vendas'!L11/5000</f>
        <v>11</v>
      </c>
      <c r="M7" s="178">
        <f>'previsão de vendas'!M11/5000</f>
        <v>4</v>
      </c>
      <c r="N7" s="215">
        <f t="shared" ref="N7:N18" si="1">SUM(J7:M7)</f>
        <v>35</v>
      </c>
      <c r="P7" s="67" t="s">
        <v>150</v>
      </c>
      <c r="Q7" s="178">
        <f>'previsão de vendas'!Q11/5000</f>
        <v>2</v>
      </c>
      <c r="R7" s="178">
        <f>'previsão de vendas'!R11/5000</f>
        <v>3</v>
      </c>
      <c r="S7" s="178">
        <f>'previsão de vendas'!S11/5000</f>
        <v>6</v>
      </c>
      <c r="T7" s="178">
        <f>'previsão de vendas'!T11/5000</f>
        <v>7</v>
      </c>
      <c r="U7" s="215">
        <f t="shared" ref="U7:U18" si="2">SUM(Q7:T7)</f>
        <v>18</v>
      </c>
      <c r="W7" s="67" t="s">
        <v>150</v>
      </c>
      <c r="X7" s="178">
        <f>'previsão de vendas'!X11/5000</f>
        <v>1</v>
      </c>
      <c r="Y7" s="178">
        <f>'previsão de vendas'!Y11/5000</f>
        <v>2</v>
      </c>
      <c r="Z7" s="178">
        <f>'previsão de vendas'!Z11/5000</f>
        <v>2</v>
      </c>
      <c r="AA7" s="178">
        <f>'previsão de vendas'!AA11/5000</f>
        <v>1</v>
      </c>
      <c r="AB7" s="215">
        <f t="shared" ref="AB7:AB18" si="3">SUM(X7:AA7)</f>
        <v>6</v>
      </c>
      <c r="AD7" s="67" t="s">
        <v>150</v>
      </c>
      <c r="AE7" s="178">
        <f>'previsão de vendas'!AE11/5000</f>
        <v>0</v>
      </c>
      <c r="AF7" s="178">
        <f>'previsão de vendas'!AF11/5000</f>
        <v>1</v>
      </c>
      <c r="AG7" s="178">
        <f>'previsão de vendas'!AG11/5000</f>
        <v>2</v>
      </c>
      <c r="AH7" s="178">
        <f>'previsão de vendas'!AH11/5000</f>
        <v>2</v>
      </c>
      <c r="AI7" s="215">
        <f t="shared" ref="AI7:AI18" si="4">SUM(AE7:AH7)</f>
        <v>5</v>
      </c>
      <c r="AK7" s="71" t="s">
        <v>177</v>
      </c>
      <c r="AL7" s="72">
        <f>AF21+Y21+R21+K21+D21</f>
        <v>4655000</v>
      </c>
    </row>
    <row r="8" spans="2:40" ht="16.5">
      <c r="B8" s="67" t="s">
        <v>151</v>
      </c>
      <c r="C8" s="178">
        <f>'previsão de vendas'!C12/5000</f>
        <v>0</v>
      </c>
      <c r="D8" s="178">
        <f>'previsão de vendas'!D12/5000</f>
        <v>0</v>
      </c>
      <c r="E8" s="178">
        <f>'previsão de vendas'!E12/5000</f>
        <v>0</v>
      </c>
      <c r="F8" s="178">
        <f>'previsão de vendas'!F12/5000</f>
        <v>0</v>
      </c>
      <c r="G8" s="178">
        <f t="shared" si="0"/>
        <v>0</v>
      </c>
      <c r="I8" s="67" t="s">
        <v>151</v>
      </c>
      <c r="J8" s="178">
        <f>'previsão de vendas'!J12/5000</f>
        <v>1</v>
      </c>
      <c r="K8" s="178">
        <f>'previsão de vendas'!K12/5000</f>
        <v>1</v>
      </c>
      <c r="L8" s="178">
        <f>'previsão de vendas'!L12/5000</f>
        <v>1</v>
      </c>
      <c r="M8" s="178">
        <f>'previsão de vendas'!M12/5000</f>
        <v>0</v>
      </c>
      <c r="N8" s="215">
        <f t="shared" si="1"/>
        <v>3</v>
      </c>
      <c r="P8" s="67" t="s">
        <v>151</v>
      </c>
      <c r="Q8" s="178">
        <f>'previsão de vendas'!Q12/5000</f>
        <v>0</v>
      </c>
      <c r="R8" s="178">
        <f>'previsão de vendas'!R12/5000</f>
        <v>0</v>
      </c>
      <c r="S8" s="178">
        <f>'previsão de vendas'!S12/5000</f>
        <v>1</v>
      </c>
      <c r="T8" s="178">
        <f>'previsão de vendas'!T12/5000</f>
        <v>1</v>
      </c>
      <c r="U8" s="215">
        <f t="shared" si="2"/>
        <v>2</v>
      </c>
      <c r="W8" s="67" t="s">
        <v>151</v>
      </c>
      <c r="X8" s="178">
        <f>'previsão de vendas'!X12/5000</f>
        <v>0</v>
      </c>
      <c r="Y8" s="178">
        <f>'previsão de vendas'!Y12/5000</f>
        <v>0</v>
      </c>
      <c r="Z8" s="178">
        <f>'previsão de vendas'!Z12/5000</f>
        <v>0</v>
      </c>
      <c r="AA8" s="178">
        <f>'previsão de vendas'!AA12/5000</f>
        <v>0</v>
      </c>
      <c r="AB8" s="215">
        <f t="shared" si="3"/>
        <v>0</v>
      </c>
      <c r="AD8" s="67" t="s">
        <v>151</v>
      </c>
      <c r="AE8" s="178">
        <f>'previsão de vendas'!AE12/5000</f>
        <v>0</v>
      </c>
      <c r="AF8" s="178">
        <f>'previsão de vendas'!AF12/5000</f>
        <v>0</v>
      </c>
      <c r="AG8" s="178">
        <f>'previsão de vendas'!AG12/5000</f>
        <v>0</v>
      </c>
      <c r="AH8" s="178">
        <f>'previsão de vendas'!AH12/5000</f>
        <v>0</v>
      </c>
      <c r="AI8" s="215">
        <f t="shared" si="4"/>
        <v>0</v>
      </c>
    </row>
    <row r="9" spans="2:40" ht="16.5">
      <c r="B9" s="67" t="s">
        <v>152</v>
      </c>
      <c r="C9" s="178">
        <f>'previsão de vendas'!C13/5000</f>
        <v>3</v>
      </c>
      <c r="D9" s="178">
        <f>'previsão de vendas'!D13/5000</f>
        <v>6</v>
      </c>
      <c r="E9" s="178">
        <f>'previsão de vendas'!E13/5000</f>
        <v>6</v>
      </c>
      <c r="F9" s="178">
        <f>'previsão de vendas'!F13/5000</f>
        <v>2</v>
      </c>
      <c r="G9" s="178">
        <f t="shared" si="0"/>
        <v>17</v>
      </c>
      <c r="I9" s="67" t="s">
        <v>152</v>
      </c>
      <c r="J9" s="178">
        <f>'previsão de vendas'!J13/5000</f>
        <v>10</v>
      </c>
      <c r="K9" s="178">
        <f>'previsão de vendas'!K13/5000</f>
        <v>19</v>
      </c>
      <c r="L9" s="178">
        <f>'previsão de vendas'!L13/5000</f>
        <v>17</v>
      </c>
      <c r="M9" s="178">
        <f>'previsão de vendas'!M13/5000</f>
        <v>6</v>
      </c>
      <c r="N9" s="215">
        <f t="shared" si="1"/>
        <v>52</v>
      </c>
      <c r="P9" s="67" t="s">
        <v>152</v>
      </c>
      <c r="Q9" s="178">
        <f>'previsão de vendas'!Q13/5000</f>
        <v>3</v>
      </c>
      <c r="R9" s="178">
        <f>'previsão de vendas'!R13/5000</f>
        <v>5</v>
      </c>
      <c r="S9" s="178">
        <f>'previsão de vendas'!S13/5000</f>
        <v>9</v>
      </c>
      <c r="T9" s="178">
        <f>'previsão de vendas'!T13/5000</f>
        <v>10</v>
      </c>
      <c r="U9" s="215">
        <f t="shared" si="2"/>
        <v>27</v>
      </c>
      <c r="W9" s="67" t="s">
        <v>152</v>
      </c>
      <c r="X9" s="178">
        <f>'previsão de vendas'!X13/5000</f>
        <v>2</v>
      </c>
      <c r="Y9" s="178">
        <f>'previsão de vendas'!Y13/5000</f>
        <v>3</v>
      </c>
      <c r="Z9" s="178">
        <f>'previsão de vendas'!Z13/5000</f>
        <v>3</v>
      </c>
      <c r="AA9" s="178">
        <f>'previsão de vendas'!AA13/5000</f>
        <v>1</v>
      </c>
      <c r="AB9" s="215">
        <f t="shared" si="3"/>
        <v>9</v>
      </c>
      <c r="AD9" s="67" t="s">
        <v>152</v>
      </c>
      <c r="AE9" s="178">
        <f>'previsão de vendas'!AE13/5000</f>
        <v>1</v>
      </c>
      <c r="AF9" s="178">
        <f>'previsão de vendas'!AF13/5000</f>
        <v>2</v>
      </c>
      <c r="AG9" s="178">
        <f>'previsão de vendas'!AG13/5000</f>
        <v>3</v>
      </c>
      <c r="AH9" s="178">
        <f>'previsão de vendas'!AH13/5000</f>
        <v>3</v>
      </c>
      <c r="AI9" s="215">
        <f t="shared" si="4"/>
        <v>9</v>
      </c>
    </row>
    <row r="10" spans="2:40" ht="16.5">
      <c r="B10" s="67" t="s">
        <v>153</v>
      </c>
      <c r="C10" s="178">
        <f>'previsão de vendas'!C14/5000</f>
        <v>2</v>
      </c>
      <c r="D10" s="178">
        <f>'previsão de vendas'!D14/5000</f>
        <v>3</v>
      </c>
      <c r="E10" s="178">
        <f>'previsão de vendas'!E14/5000</f>
        <v>3</v>
      </c>
      <c r="F10" s="178">
        <f>'previsão de vendas'!F14/5000</f>
        <v>1</v>
      </c>
      <c r="G10" s="178">
        <f t="shared" si="0"/>
        <v>9</v>
      </c>
      <c r="I10" s="67" t="s">
        <v>153</v>
      </c>
      <c r="J10" s="178">
        <f>'previsão de vendas'!J14/5000</f>
        <v>5</v>
      </c>
      <c r="K10" s="178">
        <f>'previsão de vendas'!K14/5000</f>
        <v>9</v>
      </c>
      <c r="L10" s="178">
        <f>'previsão de vendas'!L14/5000</f>
        <v>8</v>
      </c>
      <c r="M10" s="178">
        <f>'previsão de vendas'!M14/5000</f>
        <v>3</v>
      </c>
      <c r="N10" s="215">
        <f t="shared" si="1"/>
        <v>25</v>
      </c>
      <c r="P10" s="67" t="s">
        <v>153</v>
      </c>
      <c r="Q10" s="178">
        <f>'previsão de vendas'!Q14/5000</f>
        <v>1</v>
      </c>
      <c r="R10" s="178">
        <f>'previsão de vendas'!R14/5000</f>
        <v>2</v>
      </c>
      <c r="S10" s="178">
        <f>'previsão de vendas'!S14/5000</f>
        <v>4</v>
      </c>
      <c r="T10" s="178">
        <f>'previsão de vendas'!T14/5000</f>
        <v>5</v>
      </c>
      <c r="U10" s="215">
        <f t="shared" si="2"/>
        <v>12</v>
      </c>
      <c r="W10" s="67" t="s">
        <v>153</v>
      </c>
      <c r="X10" s="178">
        <f>'previsão de vendas'!X14/5000</f>
        <v>1</v>
      </c>
      <c r="Y10" s="178">
        <f>'previsão de vendas'!Y14/5000</f>
        <v>2</v>
      </c>
      <c r="Z10" s="178">
        <f>'previsão de vendas'!Z14/5000</f>
        <v>2</v>
      </c>
      <c r="AA10" s="178">
        <f>'previsão de vendas'!AA14/5000</f>
        <v>1</v>
      </c>
      <c r="AB10" s="215">
        <f t="shared" si="3"/>
        <v>6</v>
      </c>
      <c r="AD10" s="67" t="s">
        <v>153</v>
      </c>
      <c r="AE10" s="178">
        <f>'previsão de vendas'!AE14/5000</f>
        <v>0</v>
      </c>
      <c r="AF10" s="178">
        <f>'previsão de vendas'!AF14/5000</f>
        <v>1</v>
      </c>
      <c r="AG10" s="178">
        <f>'previsão de vendas'!AG14/5000</f>
        <v>1</v>
      </c>
      <c r="AH10" s="178">
        <f>'previsão de vendas'!AH14/5000</f>
        <v>1</v>
      </c>
      <c r="AI10" s="215">
        <f t="shared" si="4"/>
        <v>3</v>
      </c>
    </row>
    <row r="11" spans="2:40" ht="16.5">
      <c r="B11" s="67" t="s">
        <v>154</v>
      </c>
      <c r="C11" s="178">
        <f>'previsão de vendas'!C15/5000</f>
        <v>3</v>
      </c>
      <c r="D11" s="178">
        <f>'previsão de vendas'!D15/5000</f>
        <v>5</v>
      </c>
      <c r="E11" s="178">
        <f>'previsão de vendas'!E15/5000</f>
        <v>5</v>
      </c>
      <c r="F11" s="178">
        <f>'previsão de vendas'!F15/5000</f>
        <v>2</v>
      </c>
      <c r="G11" s="178">
        <f t="shared" si="0"/>
        <v>15</v>
      </c>
      <c r="I11" s="67" t="s">
        <v>154</v>
      </c>
      <c r="J11" s="178">
        <f>'previsão de vendas'!J15/5000</f>
        <v>8</v>
      </c>
      <c r="K11" s="178">
        <f>'previsão de vendas'!K15/5000</f>
        <v>15</v>
      </c>
      <c r="L11" s="178">
        <f>'previsão de vendas'!L15/5000</f>
        <v>13</v>
      </c>
      <c r="M11" s="178">
        <f>'previsão de vendas'!M15/5000</f>
        <v>5</v>
      </c>
      <c r="N11" s="215">
        <f t="shared" si="1"/>
        <v>41</v>
      </c>
      <c r="P11" s="67" t="s">
        <v>154</v>
      </c>
      <c r="Q11" s="178">
        <f>'previsão de vendas'!Q15/5000</f>
        <v>2</v>
      </c>
      <c r="R11" s="178">
        <f>'previsão de vendas'!R15/5000</f>
        <v>4</v>
      </c>
      <c r="S11" s="178">
        <f>'previsão de vendas'!S15/5000</f>
        <v>7</v>
      </c>
      <c r="T11" s="178">
        <f>'previsão de vendas'!T15/5000</f>
        <v>8</v>
      </c>
      <c r="U11" s="215">
        <f t="shared" si="2"/>
        <v>21</v>
      </c>
      <c r="W11" s="67" t="s">
        <v>154</v>
      </c>
      <c r="X11" s="178">
        <f>'previsão de vendas'!X15/5000</f>
        <v>1</v>
      </c>
      <c r="Y11" s="178">
        <f>'previsão de vendas'!Y15/5000</f>
        <v>3</v>
      </c>
      <c r="Z11" s="178">
        <f>'previsão de vendas'!Z15/5000</f>
        <v>3</v>
      </c>
      <c r="AA11" s="178">
        <f>'previsão de vendas'!AA15/5000</f>
        <v>1</v>
      </c>
      <c r="AB11" s="215">
        <f t="shared" si="3"/>
        <v>8</v>
      </c>
      <c r="AD11" s="67" t="s">
        <v>154</v>
      </c>
      <c r="AE11" s="178">
        <f>'previsão de vendas'!AE15/5000</f>
        <v>1</v>
      </c>
      <c r="AF11" s="178">
        <f>'previsão de vendas'!AF15/5000</f>
        <v>1</v>
      </c>
      <c r="AG11" s="178">
        <f>'previsão de vendas'!AG15/5000</f>
        <v>2</v>
      </c>
      <c r="AH11" s="178">
        <f>'previsão de vendas'!AH15/5000</f>
        <v>2</v>
      </c>
      <c r="AI11" s="215">
        <f t="shared" si="4"/>
        <v>6</v>
      </c>
    </row>
    <row r="12" spans="2:40" ht="16.5">
      <c r="B12" s="67" t="s">
        <v>155</v>
      </c>
      <c r="C12" s="178">
        <f>'previsão de vendas'!C16/5000</f>
        <v>3</v>
      </c>
      <c r="D12" s="178">
        <f>'previsão de vendas'!D16/5000</f>
        <v>6</v>
      </c>
      <c r="E12" s="178">
        <f>'previsão de vendas'!E16/5000</f>
        <v>6</v>
      </c>
      <c r="F12" s="178">
        <f>'previsão de vendas'!F16/5000</f>
        <v>2</v>
      </c>
      <c r="G12" s="178">
        <f t="shared" si="0"/>
        <v>17</v>
      </c>
      <c r="I12" s="67" t="s">
        <v>155</v>
      </c>
      <c r="J12" s="178">
        <f>'previsão de vendas'!J16/5000</f>
        <v>10</v>
      </c>
      <c r="K12" s="178">
        <f>'previsão de vendas'!K16/5000</f>
        <v>19</v>
      </c>
      <c r="L12" s="178">
        <f>'previsão de vendas'!L16/5000</f>
        <v>17</v>
      </c>
      <c r="M12" s="178">
        <f>'previsão de vendas'!M16/5000</f>
        <v>6</v>
      </c>
      <c r="N12" s="215">
        <f t="shared" si="1"/>
        <v>52</v>
      </c>
      <c r="P12" s="67" t="s">
        <v>155</v>
      </c>
      <c r="Q12" s="178">
        <f>'previsão de vendas'!Q16/5000</f>
        <v>3</v>
      </c>
      <c r="R12" s="178">
        <f>'previsão de vendas'!R16/5000</f>
        <v>5</v>
      </c>
      <c r="S12" s="178">
        <f>'previsão de vendas'!S16/5000</f>
        <v>9</v>
      </c>
      <c r="T12" s="178">
        <f>'previsão de vendas'!T16/5000</f>
        <v>10</v>
      </c>
      <c r="U12" s="215">
        <f t="shared" si="2"/>
        <v>27</v>
      </c>
      <c r="W12" s="67" t="s">
        <v>155</v>
      </c>
      <c r="X12" s="178">
        <f>'previsão de vendas'!X16/5000</f>
        <v>2</v>
      </c>
      <c r="Y12" s="178">
        <f>'previsão de vendas'!Y16/5000</f>
        <v>3</v>
      </c>
      <c r="Z12" s="178">
        <f>'previsão de vendas'!Z16/5000</f>
        <v>3</v>
      </c>
      <c r="AA12" s="178">
        <f>'previsão de vendas'!AA16/5000</f>
        <v>1</v>
      </c>
      <c r="AB12" s="215">
        <f t="shared" si="3"/>
        <v>9</v>
      </c>
      <c r="AD12" s="67" t="s">
        <v>155</v>
      </c>
      <c r="AE12" s="178">
        <f>'previsão de vendas'!AE16/5000</f>
        <v>1</v>
      </c>
      <c r="AF12" s="178">
        <f>'previsão de vendas'!AF16/5000</f>
        <v>2</v>
      </c>
      <c r="AG12" s="178">
        <f>'previsão de vendas'!AG16/5000</f>
        <v>3</v>
      </c>
      <c r="AH12" s="178">
        <f>'previsão de vendas'!AH16/5000</f>
        <v>3</v>
      </c>
      <c r="AI12" s="215">
        <f t="shared" si="4"/>
        <v>9</v>
      </c>
    </row>
    <row r="13" spans="2:40" ht="16.5">
      <c r="B13" s="67" t="s">
        <v>156</v>
      </c>
      <c r="C13" s="178">
        <f>'previsão de vendas'!C17/5000</f>
        <v>2</v>
      </c>
      <c r="D13" s="178">
        <f>'previsão de vendas'!D17/5000</f>
        <v>5</v>
      </c>
      <c r="E13" s="178">
        <f>'previsão de vendas'!E17/5000</f>
        <v>4</v>
      </c>
      <c r="F13" s="178">
        <f>'previsão de vendas'!F17/5000</f>
        <v>2</v>
      </c>
      <c r="G13" s="178">
        <f t="shared" si="0"/>
        <v>13</v>
      </c>
      <c r="I13" s="67" t="s">
        <v>156</v>
      </c>
      <c r="J13" s="178">
        <f>'previsão de vendas'!J17/5000</f>
        <v>7</v>
      </c>
      <c r="K13" s="178">
        <f>'previsão de vendas'!K17/5000</f>
        <v>13</v>
      </c>
      <c r="L13" s="178">
        <f>'previsão de vendas'!L17/5000</f>
        <v>12</v>
      </c>
      <c r="M13" s="178">
        <f>'previsão de vendas'!M17/5000</f>
        <v>5</v>
      </c>
      <c r="N13" s="215">
        <f t="shared" si="1"/>
        <v>37</v>
      </c>
      <c r="P13" s="67" t="s">
        <v>156</v>
      </c>
      <c r="Q13" s="178">
        <f>'previsão de vendas'!Q17/5000</f>
        <v>2</v>
      </c>
      <c r="R13" s="178">
        <f>'previsão de vendas'!R17/5000</f>
        <v>4</v>
      </c>
      <c r="S13" s="178">
        <f>'previsão de vendas'!S17/5000</f>
        <v>6</v>
      </c>
      <c r="T13" s="178">
        <f>'previsão de vendas'!T17/5000</f>
        <v>7</v>
      </c>
      <c r="U13" s="215">
        <f t="shared" si="2"/>
        <v>19</v>
      </c>
      <c r="W13" s="67" t="s">
        <v>156</v>
      </c>
      <c r="X13" s="178">
        <f>'previsão de vendas'!X17/5000</f>
        <v>1</v>
      </c>
      <c r="Y13" s="178">
        <f>'previsão de vendas'!Y17/5000</f>
        <v>2</v>
      </c>
      <c r="Z13" s="178">
        <f>'previsão de vendas'!Z17/5000</f>
        <v>2</v>
      </c>
      <c r="AA13" s="178">
        <f>'previsão de vendas'!AA17/5000</f>
        <v>1</v>
      </c>
      <c r="AB13" s="215">
        <f t="shared" si="3"/>
        <v>6</v>
      </c>
      <c r="AD13" s="67" t="s">
        <v>156</v>
      </c>
      <c r="AE13" s="178">
        <f>'previsão de vendas'!AE17/5000</f>
        <v>1</v>
      </c>
      <c r="AF13" s="178">
        <f>'previsão de vendas'!AF17/5000</f>
        <v>1</v>
      </c>
      <c r="AG13" s="178">
        <f>'previsão de vendas'!AG17/5000</f>
        <v>2</v>
      </c>
      <c r="AH13" s="178">
        <f>'previsão de vendas'!AH17/5000</f>
        <v>2</v>
      </c>
      <c r="AI13" s="215">
        <f t="shared" si="4"/>
        <v>6</v>
      </c>
    </row>
    <row r="14" spans="2:40" ht="16.5">
      <c r="B14" s="68" t="s">
        <v>157</v>
      </c>
      <c r="C14" s="178">
        <f>'previsão de vendas'!C18/5000</f>
        <v>1</v>
      </c>
      <c r="D14" s="178">
        <f>'previsão de vendas'!D18/5000</f>
        <v>1</v>
      </c>
      <c r="E14" s="178">
        <f>'previsão de vendas'!E18/5000</f>
        <v>1</v>
      </c>
      <c r="F14" s="178">
        <f>'previsão de vendas'!F18/5000</f>
        <v>1</v>
      </c>
      <c r="G14" s="178">
        <f t="shared" si="0"/>
        <v>4</v>
      </c>
      <c r="I14" s="68" t="s">
        <v>157</v>
      </c>
      <c r="J14" s="178">
        <f>'previsão de vendas'!J18/5000</f>
        <v>2</v>
      </c>
      <c r="K14" s="178">
        <f>'previsão de vendas'!K18/5000</f>
        <v>4</v>
      </c>
      <c r="L14" s="178">
        <f>'previsão de vendas'!L18/5000</f>
        <v>4</v>
      </c>
      <c r="M14" s="178">
        <f>'previsão de vendas'!M18/5000</f>
        <v>1</v>
      </c>
      <c r="N14" s="215">
        <f t="shared" si="1"/>
        <v>11</v>
      </c>
      <c r="P14" s="68" t="s">
        <v>157</v>
      </c>
      <c r="Q14" s="178">
        <f>'previsão de vendas'!Q18/5000</f>
        <v>1</v>
      </c>
      <c r="R14" s="178">
        <f>'previsão de vendas'!R18/5000</f>
        <v>1</v>
      </c>
      <c r="S14" s="178">
        <f>'previsão de vendas'!S18/5000</f>
        <v>2</v>
      </c>
      <c r="T14" s="178">
        <f>'previsão de vendas'!T18/5000</f>
        <v>2</v>
      </c>
      <c r="U14" s="215">
        <f t="shared" si="2"/>
        <v>6</v>
      </c>
      <c r="W14" s="68" t="s">
        <v>157</v>
      </c>
      <c r="X14" s="178">
        <f>'previsão de vendas'!X18/5000</f>
        <v>0</v>
      </c>
      <c r="Y14" s="178">
        <f>'previsão de vendas'!Y18/5000</f>
        <v>1</v>
      </c>
      <c r="Z14" s="178">
        <f>'previsão de vendas'!Z18/5000</f>
        <v>1</v>
      </c>
      <c r="AA14" s="178">
        <f>'previsão de vendas'!AA18/5000</f>
        <v>0</v>
      </c>
      <c r="AB14" s="215">
        <f t="shared" si="3"/>
        <v>2</v>
      </c>
      <c r="AD14" s="68" t="s">
        <v>157</v>
      </c>
      <c r="AE14" s="178">
        <f>'previsão de vendas'!AE18/5000</f>
        <v>0</v>
      </c>
      <c r="AF14" s="178">
        <f>'previsão de vendas'!AF18/5000</f>
        <v>0</v>
      </c>
      <c r="AG14" s="178">
        <f>'previsão de vendas'!AG18/5000</f>
        <v>1</v>
      </c>
      <c r="AH14" s="178">
        <f>'previsão de vendas'!AH18/5000</f>
        <v>1</v>
      </c>
      <c r="AI14" s="215">
        <f t="shared" si="4"/>
        <v>2</v>
      </c>
    </row>
    <row r="15" spans="2:40" ht="16.5">
      <c r="B15" s="67" t="s">
        <v>158</v>
      </c>
      <c r="C15" s="178">
        <f>'previsão de vendas'!C19/5000</f>
        <v>4</v>
      </c>
      <c r="D15" s="178">
        <f>'previsão de vendas'!D19/5000</f>
        <v>7</v>
      </c>
      <c r="E15" s="178">
        <f>'previsão de vendas'!E19/5000</f>
        <v>7</v>
      </c>
      <c r="F15" s="178">
        <f>'previsão de vendas'!F19/5000</f>
        <v>3</v>
      </c>
      <c r="G15" s="178">
        <f t="shared" si="0"/>
        <v>21</v>
      </c>
      <c r="I15" s="67" t="s">
        <v>158</v>
      </c>
      <c r="J15" s="178">
        <f>'previsão de vendas'!J19/5000</f>
        <v>11</v>
      </c>
      <c r="K15" s="178">
        <f>'previsão de vendas'!K19/5000</f>
        <v>22</v>
      </c>
      <c r="L15" s="178">
        <f>'previsão de vendas'!L19/5000</f>
        <v>19</v>
      </c>
      <c r="M15" s="178">
        <f>'previsão de vendas'!M19/5000</f>
        <v>7</v>
      </c>
      <c r="N15" s="215">
        <f t="shared" si="1"/>
        <v>59</v>
      </c>
      <c r="P15" s="67" t="s">
        <v>158</v>
      </c>
      <c r="Q15" s="178">
        <f>'previsão de vendas'!Q19/5000</f>
        <v>3</v>
      </c>
      <c r="R15" s="178">
        <f>'previsão de vendas'!R19/5000</f>
        <v>6</v>
      </c>
      <c r="S15" s="178">
        <f>'previsão de vendas'!S19/5000</f>
        <v>10</v>
      </c>
      <c r="T15" s="178">
        <f>'previsão de vendas'!T19/5000</f>
        <v>11</v>
      </c>
      <c r="U15" s="215">
        <f t="shared" si="2"/>
        <v>30</v>
      </c>
      <c r="W15" s="67" t="s">
        <v>158</v>
      </c>
      <c r="X15" s="178">
        <f>'previsão de vendas'!X19/5000</f>
        <v>2</v>
      </c>
      <c r="Y15" s="178">
        <f>'previsão de vendas'!Y19/5000</f>
        <v>4</v>
      </c>
      <c r="Z15" s="178">
        <f>'previsão de vendas'!Z19/5000</f>
        <v>4</v>
      </c>
      <c r="AA15" s="178">
        <f>'previsão de vendas'!AA19/5000</f>
        <v>2</v>
      </c>
      <c r="AB15" s="215">
        <f t="shared" si="3"/>
        <v>12</v>
      </c>
      <c r="AD15" s="67" t="s">
        <v>158</v>
      </c>
      <c r="AE15" s="178">
        <f>'previsão de vendas'!AE19/5000</f>
        <v>1</v>
      </c>
      <c r="AF15" s="178">
        <f>'previsão de vendas'!AF19/5000</f>
        <v>2</v>
      </c>
      <c r="AG15" s="178">
        <f>'previsão de vendas'!AG19/5000</f>
        <v>3</v>
      </c>
      <c r="AH15" s="178">
        <f>'previsão de vendas'!AH19/5000</f>
        <v>3</v>
      </c>
      <c r="AI15" s="215">
        <f t="shared" si="4"/>
        <v>9</v>
      </c>
    </row>
    <row r="16" spans="2:40" ht="16.5">
      <c r="B16" s="67" t="s">
        <v>159</v>
      </c>
      <c r="C16" s="178">
        <f>'previsão de vendas'!C20/5000</f>
        <v>1</v>
      </c>
      <c r="D16" s="178">
        <f>'previsão de vendas'!D20/5000</f>
        <v>2</v>
      </c>
      <c r="E16" s="178">
        <f>'previsão de vendas'!E20/5000</f>
        <v>2</v>
      </c>
      <c r="F16" s="178">
        <f>'previsão de vendas'!F20/5000</f>
        <v>1</v>
      </c>
      <c r="G16" s="178">
        <f t="shared" si="0"/>
        <v>6</v>
      </c>
      <c r="I16" s="67" t="s">
        <v>159</v>
      </c>
      <c r="J16" s="178">
        <f>'previsão de vendas'!J20/5000</f>
        <v>3</v>
      </c>
      <c r="K16" s="178">
        <f>'previsão de vendas'!K20/5000</f>
        <v>5</v>
      </c>
      <c r="L16" s="178">
        <f>'previsão de vendas'!L20/5000</f>
        <v>5</v>
      </c>
      <c r="M16" s="178">
        <f>'previsão de vendas'!M20/5000</f>
        <v>2</v>
      </c>
      <c r="N16" s="215">
        <f t="shared" si="1"/>
        <v>15</v>
      </c>
      <c r="P16" s="67" t="s">
        <v>159</v>
      </c>
      <c r="Q16" s="178">
        <f>'previsão de vendas'!Q20/5000</f>
        <v>1</v>
      </c>
      <c r="R16" s="178">
        <f>'previsão de vendas'!R20/5000</f>
        <v>1</v>
      </c>
      <c r="S16" s="178">
        <f>'previsão de vendas'!S20/5000</f>
        <v>3</v>
      </c>
      <c r="T16" s="178">
        <f>'previsão de vendas'!T20/5000</f>
        <v>3</v>
      </c>
      <c r="U16" s="215">
        <f t="shared" si="2"/>
        <v>8</v>
      </c>
      <c r="W16" s="67" t="s">
        <v>159</v>
      </c>
      <c r="X16" s="178">
        <f>'previsão de vendas'!X20/5000</f>
        <v>1</v>
      </c>
      <c r="Y16" s="178">
        <f>'previsão de vendas'!Y20/5000</f>
        <v>1</v>
      </c>
      <c r="Z16" s="178">
        <f>'previsão de vendas'!Z20/5000</f>
        <v>1</v>
      </c>
      <c r="AA16" s="178">
        <f>'previsão de vendas'!AA20/5000</f>
        <v>0</v>
      </c>
      <c r="AB16" s="215">
        <f t="shared" si="3"/>
        <v>3</v>
      </c>
      <c r="AD16" s="67" t="s">
        <v>159</v>
      </c>
      <c r="AE16" s="178">
        <f>'previsão de vendas'!AE20/5000</f>
        <v>0</v>
      </c>
      <c r="AF16" s="178">
        <f>'previsão de vendas'!AF20/5000</f>
        <v>0</v>
      </c>
      <c r="AG16" s="178">
        <f>'previsão de vendas'!AG20/5000</f>
        <v>1</v>
      </c>
      <c r="AH16" s="178">
        <f>'previsão de vendas'!AH20/5000</f>
        <v>1</v>
      </c>
      <c r="AI16" s="215">
        <f t="shared" si="4"/>
        <v>2</v>
      </c>
    </row>
    <row r="17" spans="2:35" ht="16.5">
      <c r="B17" s="67" t="s">
        <v>160</v>
      </c>
      <c r="C17" s="178">
        <f>'previsão de vendas'!C21/5000</f>
        <v>4</v>
      </c>
      <c r="D17" s="178">
        <f>'previsão de vendas'!D21/5000</f>
        <v>8</v>
      </c>
      <c r="E17" s="178">
        <f>'previsão de vendas'!E21/5000</f>
        <v>8</v>
      </c>
      <c r="F17" s="178">
        <f>'previsão de vendas'!F21/5000</f>
        <v>3</v>
      </c>
      <c r="G17" s="178">
        <f t="shared" si="0"/>
        <v>23</v>
      </c>
      <c r="I17" s="67" t="s">
        <v>160</v>
      </c>
      <c r="J17" s="178">
        <f>'previsão de vendas'!J21/5000</f>
        <v>13</v>
      </c>
      <c r="K17" s="178">
        <f>'previsão de vendas'!K21/5000</f>
        <v>25</v>
      </c>
      <c r="L17" s="178">
        <f>'previsão de vendas'!L21/5000</f>
        <v>22</v>
      </c>
      <c r="M17" s="178">
        <f>'previsão de vendas'!M21/5000</f>
        <v>8</v>
      </c>
      <c r="N17" s="215">
        <f t="shared" si="1"/>
        <v>68</v>
      </c>
      <c r="P17" s="67" t="s">
        <v>160</v>
      </c>
      <c r="Q17" s="178">
        <f>'previsão de vendas'!Q21/5000</f>
        <v>3</v>
      </c>
      <c r="R17" s="178">
        <f>'previsão de vendas'!R21/5000</f>
        <v>7</v>
      </c>
      <c r="S17" s="178">
        <f>'previsão de vendas'!S21/5000</f>
        <v>12</v>
      </c>
      <c r="T17" s="178">
        <f>'previsão de vendas'!T21/5000</f>
        <v>13</v>
      </c>
      <c r="U17" s="215">
        <f t="shared" si="2"/>
        <v>35</v>
      </c>
      <c r="W17" s="67" t="s">
        <v>160</v>
      </c>
      <c r="X17" s="178">
        <f>'previsão de vendas'!X21/5000</f>
        <v>2</v>
      </c>
      <c r="Y17" s="178">
        <f>'previsão de vendas'!Y21/5000</f>
        <v>4</v>
      </c>
      <c r="Z17" s="178">
        <f>'previsão de vendas'!Z21/5000</f>
        <v>4</v>
      </c>
      <c r="AA17" s="178">
        <f>'previsão de vendas'!AA21/5000</f>
        <v>2</v>
      </c>
      <c r="AB17" s="215">
        <f t="shared" si="3"/>
        <v>12</v>
      </c>
      <c r="AD17" s="67" t="s">
        <v>160</v>
      </c>
      <c r="AE17" s="178">
        <f>'previsão de vendas'!AE21/5000</f>
        <v>1</v>
      </c>
      <c r="AF17" s="178">
        <f>'previsão de vendas'!AF21/5000</f>
        <v>2</v>
      </c>
      <c r="AG17" s="178">
        <f>'previsão de vendas'!AG21/5000</f>
        <v>4</v>
      </c>
      <c r="AH17" s="178">
        <f>'previsão de vendas'!AH21/5000</f>
        <v>4</v>
      </c>
      <c r="AI17" s="215">
        <f t="shared" si="4"/>
        <v>11</v>
      </c>
    </row>
    <row r="18" spans="2:35">
      <c r="B18" s="303" t="s">
        <v>178</v>
      </c>
      <c r="C18" s="6">
        <f>SUM(C6:C17)</f>
        <v>27</v>
      </c>
      <c r="D18" s="6">
        <f t="shared" ref="D18:F18" si="5">SUM(D6:D17)</f>
        <v>50</v>
      </c>
      <c r="E18" s="21">
        <f t="shared" si="5"/>
        <v>49</v>
      </c>
      <c r="F18" s="6">
        <f t="shared" si="5"/>
        <v>20</v>
      </c>
      <c r="G18" s="215">
        <f t="shared" ref="G7:G18" si="6">SUM(C18:F18)</f>
        <v>146</v>
      </c>
      <c r="I18" s="303" t="s">
        <v>178</v>
      </c>
      <c r="J18" s="6">
        <f>SUM(J6:J17)</f>
        <v>82</v>
      </c>
      <c r="K18" s="6">
        <f t="shared" ref="K18:M18" si="7">SUM(K6:K17)</f>
        <v>154</v>
      </c>
      <c r="L18" s="6">
        <f t="shared" si="7"/>
        <v>137</v>
      </c>
      <c r="M18" s="6">
        <f t="shared" si="7"/>
        <v>50</v>
      </c>
      <c r="N18" s="215">
        <f t="shared" si="1"/>
        <v>423</v>
      </c>
      <c r="P18" s="303" t="s">
        <v>178</v>
      </c>
      <c r="Q18" s="6">
        <f>SUM(Q6:Q17)</f>
        <v>22</v>
      </c>
      <c r="R18" s="6">
        <f t="shared" ref="R18:T18" si="8">SUM(R6:R17)</f>
        <v>41</v>
      </c>
      <c r="S18" s="6">
        <f t="shared" si="8"/>
        <v>73</v>
      </c>
      <c r="T18" s="6">
        <f t="shared" si="8"/>
        <v>82</v>
      </c>
      <c r="U18" s="215">
        <f t="shared" si="2"/>
        <v>218</v>
      </c>
      <c r="W18" s="303" t="s">
        <v>178</v>
      </c>
      <c r="X18" s="6">
        <f>SUM(X6:X17)</f>
        <v>14</v>
      </c>
      <c r="Y18" s="6">
        <f t="shared" ref="Y18:AA18" si="9">SUM(Y6:Y17)</f>
        <v>27</v>
      </c>
      <c r="Z18" s="6">
        <f t="shared" si="9"/>
        <v>27</v>
      </c>
      <c r="AA18" s="6">
        <f t="shared" si="9"/>
        <v>11</v>
      </c>
      <c r="AB18" s="215">
        <f t="shared" si="3"/>
        <v>79</v>
      </c>
      <c r="AD18" s="303" t="s">
        <v>178</v>
      </c>
      <c r="AE18" s="6">
        <f>SUM(AE6:AE17)</f>
        <v>6</v>
      </c>
      <c r="AF18" s="6">
        <f t="shared" ref="AF18:AH18" si="10">SUM(AF6:AF17)</f>
        <v>13</v>
      </c>
      <c r="AG18" s="6">
        <f t="shared" si="10"/>
        <v>23</v>
      </c>
      <c r="AH18" s="6">
        <f t="shared" si="10"/>
        <v>23</v>
      </c>
      <c r="AI18" s="215">
        <f t="shared" si="4"/>
        <v>65</v>
      </c>
    </row>
    <row r="20" spans="2:35" ht="27.75">
      <c r="C20" s="48" t="s">
        <v>179</v>
      </c>
      <c r="D20" s="48" t="s">
        <v>180</v>
      </c>
      <c r="E20" s="6" t="s">
        <v>181</v>
      </c>
      <c r="J20" s="48" t="s">
        <v>179</v>
      </c>
      <c r="K20" s="48" t="s">
        <v>180</v>
      </c>
      <c r="L20" s="6" t="s">
        <v>181</v>
      </c>
      <c r="Q20" s="48" t="s">
        <v>179</v>
      </c>
      <c r="R20" s="48" t="s">
        <v>180</v>
      </c>
      <c r="S20" s="6" t="s">
        <v>181</v>
      </c>
      <c r="X20" s="48" t="s">
        <v>179</v>
      </c>
      <c r="Y20" s="48" t="s">
        <v>180</v>
      </c>
      <c r="Z20" s="6" t="s">
        <v>181</v>
      </c>
      <c r="AE20" s="48" t="s">
        <v>179</v>
      </c>
      <c r="AF20" s="48" t="s">
        <v>180</v>
      </c>
      <c r="AG20" s="6" t="s">
        <v>181</v>
      </c>
    </row>
    <row r="21" spans="2:35">
      <c r="C21" s="30">
        <f>SUM(C6:F17)*5000</f>
        <v>730000</v>
      </c>
      <c r="D21" s="30">
        <f>'previsão de vendas'!C25</f>
        <v>730000</v>
      </c>
      <c r="E21" s="69">
        <f>C21-D21</f>
        <v>0</v>
      </c>
      <c r="J21" s="30">
        <f>SUM(J6:M17)*5000</f>
        <v>2115000</v>
      </c>
      <c r="K21" s="30">
        <f>'previsão de vendas'!J25</f>
        <v>2115000</v>
      </c>
      <c r="L21" s="69">
        <f>J21-K21</f>
        <v>0</v>
      </c>
      <c r="Q21" s="30">
        <f>SUM(Q6:T17)*5000</f>
        <v>1090000</v>
      </c>
      <c r="R21" s="30">
        <f>'previsão de vendas'!Q25</f>
        <v>1090000</v>
      </c>
      <c r="S21" s="69">
        <f>Q21-R21</f>
        <v>0</v>
      </c>
      <c r="X21" s="30">
        <f>SUM(X6:AA17)*5000</f>
        <v>395000</v>
      </c>
      <c r="Y21" s="30">
        <f>'previsão de vendas'!X25</f>
        <v>395000</v>
      </c>
      <c r="Z21" s="69">
        <f>X21-Y21</f>
        <v>0</v>
      </c>
      <c r="AE21" s="30">
        <f>SUM(AE6:AH17)*5000</f>
        <v>325000</v>
      </c>
      <c r="AF21" s="30">
        <f>'previsão de vendas'!AE25</f>
        <v>325000</v>
      </c>
      <c r="AG21" s="69">
        <f>AE21-AF21</f>
        <v>0</v>
      </c>
    </row>
    <row r="22" spans="2:35">
      <c r="C22" s="405" t="s">
        <v>182</v>
      </c>
      <c r="D22" s="406"/>
      <c r="E22" s="175" t="b">
        <f>'Lotes de celulares'!C21='previsão de vendas'!C25</f>
        <v>1</v>
      </c>
      <c r="J22" s="405" t="s">
        <v>182</v>
      </c>
      <c r="K22" s="406"/>
      <c r="L22" s="175" t="b">
        <f>'Lotes de celulares'!J21='previsão de vendas'!J25</f>
        <v>1</v>
      </c>
      <c r="Q22" s="405" t="s">
        <v>182</v>
      </c>
      <c r="R22" s="406"/>
      <c r="S22" s="175" t="b">
        <f>'Lotes de celulares'!Q21='previsão de vendas'!Q25</f>
        <v>1</v>
      </c>
      <c r="X22" s="405" t="s">
        <v>182</v>
      </c>
      <c r="Y22" s="406"/>
      <c r="Z22" s="175" t="b">
        <f>'Lotes de celulares'!X21='previsão de vendas'!X25</f>
        <v>1</v>
      </c>
      <c r="AE22" s="405" t="s">
        <v>182</v>
      </c>
      <c r="AF22" s="406"/>
      <c r="AG22" s="175" t="b">
        <f>'Lotes de celulares'!AE21='previsão de vendas'!AE25</f>
        <v>1</v>
      </c>
    </row>
    <row r="24" spans="2:35" ht="15" customHeight="1">
      <c r="K24" s="184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</row>
    <row r="25" spans="2:35" ht="15" customHeight="1">
      <c r="K25" s="185"/>
      <c r="L25" s="210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</row>
    <row r="26" spans="2:35" ht="15" customHeight="1">
      <c r="K26" s="185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</row>
    <row r="27" spans="2:35" ht="15" customHeight="1">
      <c r="K27" s="185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</row>
    <row r="28" spans="2:35" ht="15" customHeight="1">
      <c r="K28" s="186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</row>
    <row r="29" spans="2:35" ht="15" customHeight="1"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</row>
    <row r="30" spans="2:35" ht="16.5">
      <c r="B30" s="179"/>
      <c r="C30" s="180"/>
      <c r="D30" s="180"/>
      <c r="E30" s="180"/>
      <c r="F30" s="180"/>
      <c r="I30" s="179"/>
      <c r="J30" s="180"/>
      <c r="K30" s="180"/>
      <c r="M30" s="181"/>
      <c r="N30" s="180"/>
      <c r="O30" s="180"/>
      <c r="P30" s="180"/>
      <c r="Q30" s="180"/>
      <c r="R30" s="180"/>
      <c r="T30" s="181"/>
      <c r="U30" s="180"/>
      <c r="V30" s="180"/>
      <c r="W30" s="180"/>
      <c r="X30" s="180"/>
      <c r="Y30" s="180"/>
      <c r="Z30" s="180"/>
      <c r="AA30" s="180"/>
      <c r="AD30" s="181"/>
      <c r="AE30" s="180"/>
      <c r="AF30" s="180"/>
      <c r="AG30" s="180"/>
      <c r="AH30" s="180"/>
    </row>
    <row r="31" spans="2:35" ht="16.5">
      <c r="B31" s="182"/>
      <c r="C31" s="183"/>
      <c r="D31" s="183"/>
      <c r="E31" s="183"/>
      <c r="F31" s="183"/>
      <c r="I31" s="182"/>
      <c r="J31" s="183"/>
      <c r="K31" s="183"/>
      <c r="L31" s="183"/>
      <c r="M31" s="183"/>
      <c r="P31" s="182"/>
      <c r="Q31" s="183"/>
      <c r="R31" s="183"/>
      <c r="S31" s="183"/>
      <c r="T31" s="183"/>
      <c r="W31" s="182"/>
      <c r="X31" s="183"/>
      <c r="Y31" s="183"/>
      <c r="Z31" s="183"/>
      <c r="AA31" s="183"/>
      <c r="AD31" s="182"/>
      <c r="AE31" s="183"/>
      <c r="AF31" s="183"/>
      <c r="AG31" s="183"/>
      <c r="AH31" s="183"/>
    </row>
    <row r="32" spans="2:35" ht="16.5">
      <c r="B32" s="182"/>
      <c r="C32" s="183"/>
      <c r="D32" s="183"/>
      <c r="E32" s="183"/>
      <c r="F32" s="183"/>
      <c r="I32" s="182"/>
      <c r="J32" s="183"/>
      <c r="K32" s="183"/>
      <c r="L32" s="183"/>
      <c r="M32" s="183"/>
      <c r="P32" s="182"/>
      <c r="Q32" s="183"/>
      <c r="R32" s="183"/>
      <c r="S32" s="183"/>
      <c r="T32" s="183"/>
      <c r="W32" s="182"/>
      <c r="X32" s="183"/>
      <c r="Y32" s="183"/>
      <c r="Z32" s="183"/>
      <c r="AA32" s="183"/>
      <c r="AD32" s="182"/>
      <c r="AE32" s="183"/>
      <c r="AF32" s="183"/>
      <c r="AG32" s="183"/>
      <c r="AH32" s="183"/>
    </row>
    <row r="33" spans="2:34" ht="16.5">
      <c r="B33" s="182"/>
      <c r="C33" s="183"/>
      <c r="D33" s="183"/>
      <c r="E33" s="183"/>
      <c r="F33" s="183"/>
      <c r="I33" s="182"/>
      <c r="J33" s="183"/>
      <c r="K33" s="183"/>
      <c r="L33" s="183"/>
      <c r="M33" s="183"/>
      <c r="P33" s="182"/>
      <c r="Q33" s="183"/>
      <c r="R33" s="183"/>
      <c r="S33" s="183"/>
      <c r="T33" s="183"/>
      <c r="W33" s="182"/>
      <c r="X33" s="183"/>
      <c r="Y33" s="183"/>
      <c r="Z33" s="183"/>
      <c r="AA33" s="183"/>
      <c r="AD33" s="182"/>
      <c r="AE33" s="183"/>
      <c r="AF33" s="183"/>
      <c r="AG33" s="183"/>
      <c r="AH33" s="183"/>
    </row>
    <row r="34" spans="2:34" ht="16.5">
      <c r="B34" s="182"/>
      <c r="C34" s="183"/>
      <c r="D34" s="183"/>
      <c r="E34" s="183"/>
      <c r="F34" s="183"/>
      <c r="I34" s="182"/>
      <c r="J34" s="183"/>
      <c r="K34" s="183"/>
      <c r="L34" s="183"/>
      <c r="M34" s="183"/>
      <c r="P34" s="182"/>
      <c r="Q34" s="183"/>
      <c r="R34" s="183"/>
      <c r="S34" s="183"/>
      <c r="T34" s="183"/>
      <c r="W34" s="182"/>
      <c r="X34" s="183"/>
      <c r="Y34" s="183"/>
      <c r="Z34" s="183"/>
      <c r="AA34" s="183"/>
      <c r="AD34" s="182"/>
      <c r="AE34" s="183"/>
      <c r="AF34" s="183"/>
      <c r="AG34" s="183"/>
      <c r="AH34" s="183"/>
    </row>
    <row r="35" spans="2:34" ht="16.5">
      <c r="B35" s="182"/>
      <c r="C35" s="183"/>
      <c r="D35" s="183"/>
      <c r="E35" s="183"/>
      <c r="F35" s="183"/>
      <c r="I35" s="182"/>
      <c r="J35" s="183"/>
      <c r="K35" s="183"/>
      <c r="L35" s="183"/>
      <c r="M35" s="183"/>
      <c r="P35" s="182"/>
      <c r="Q35" s="183"/>
      <c r="R35" s="183"/>
      <c r="S35" s="183"/>
      <c r="T35" s="183"/>
      <c r="W35" s="182"/>
      <c r="X35" s="183"/>
      <c r="Y35" s="183"/>
      <c r="Z35" s="183"/>
      <c r="AA35" s="183"/>
      <c r="AD35" s="182"/>
      <c r="AE35" s="183"/>
      <c r="AF35" s="183"/>
      <c r="AG35" s="183"/>
      <c r="AH35" s="183"/>
    </row>
    <row r="36" spans="2:34" ht="16.5">
      <c r="B36" s="182"/>
      <c r="C36" s="183"/>
      <c r="D36" s="183"/>
      <c r="E36" s="183"/>
      <c r="F36" s="183"/>
      <c r="I36" s="182"/>
      <c r="J36" s="183"/>
      <c r="K36" s="183"/>
      <c r="L36" s="183"/>
      <c r="M36" s="183"/>
      <c r="P36" s="182"/>
      <c r="Q36" s="183"/>
      <c r="R36" s="183"/>
      <c r="S36" s="183"/>
      <c r="T36" s="183"/>
      <c r="W36" s="182"/>
      <c r="X36" s="183"/>
      <c r="Y36" s="183"/>
      <c r="Z36" s="183"/>
      <c r="AA36" s="183"/>
      <c r="AD36" s="182"/>
      <c r="AE36" s="183"/>
      <c r="AF36" s="183"/>
      <c r="AG36" s="183"/>
      <c r="AH36" s="183"/>
    </row>
    <row r="37" spans="2:34" ht="16.5">
      <c r="B37" s="182"/>
      <c r="C37" s="183"/>
      <c r="D37" s="183"/>
      <c r="E37" s="183"/>
      <c r="F37" s="183"/>
      <c r="I37" s="182"/>
      <c r="J37" s="183"/>
      <c r="K37" s="183"/>
      <c r="L37" s="183"/>
      <c r="M37" s="183"/>
      <c r="P37" s="182"/>
      <c r="Q37" s="183"/>
      <c r="R37" s="183"/>
      <c r="S37" s="183"/>
      <c r="T37" s="183"/>
      <c r="W37" s="182"/>
      <c r="X37" s="183"/>
      <c r="Y37" s="183"/>
      <c r="Z37" s="183"/>
      <c r="AA37" s="183"/>
      <c r="AD37" s="182"/>
      <c r="AE37" s="183"/>
      <c r="AF37" s="183"/>
      <c r="AG37" s="183"/>
      <c r="AH37" s="183"/>
    </row>
    <row r="38" spans="2:34" ht="16.5">
      <c r="B38" s="182"/>
      <c r="C38" s="183"/>
      <c r="D38" s="183"/>
      <c r="E38" s="183"/>
      <c r="F38" s="183"/>
      <c r="I38" s="182"/>
      <c r="J38" s="183"/>
      <c r="K38" s="183"/>
      <c r="L38" s="183"/>
      <c r="M38" s="183"/>
      <c r="P38" s="182"/>
      <c r="Q38" s="183"/>
      <c r="R38" s="183"/>
      <c r="S38" s="183"/>
      <c r="T38" s="183"/>
      <c r="W38" s="182"/>
      <c r="X38" s="183"/>
      <c r="Y38" s="183"/>
      <c r="Z38" s="183"/>
      <c r="AA38" s="183"/>
      <c r="AD38" s="182"/>
      <c r="AE38" s="183"/>
      <c r="AF38" s="183"/>
      <c r="AG38" s="183"/>
      <c r="AH38" s="183"/>
    </row>
    <row r="39" spans="2:34" ht="16.5">
      <c r="B39" s="182"/>
      <c r="C39" s="183"/>
      <c r="D39" s="183"/>
      <c r="E39" s="183"/>
      <c r="F39" s="183"/>
      <c r="I39" s="182"/>
      <c r="J39" s="183"/>
      <c r="K39" s="183"/>
      <c r="L39" s="183"/>
      <c r="M39" s="183"/>
      <c r="P39" s="182"/>
      <c r="Q39" s="183"/>
      <c r="R39" s="183"/>
      <c r="S39" s="183"/>
      <c r="T39" s="183"/>
      <c r="W39" s="182"/>
      <c r="X39" s="183"/>
      <c r="Y39" s="183"/>
      <c r="Z39" s="183"/>
      <c r="AA39" s="183"/>
      <c r="AD39" s="182"/>
      <c r="AE39" s="183"/>
      <c r="AF39" s="183"/>
      <c r="AG39" s="183"/>
      <c r="AH39" s="183"/>
    </row>
    <row r="40" spans="2:34" ht="16.5">
      <c r="B40" s="182"/>
      <c r="C40" s="183"/>
      <c r="D40" s="183"/>
      <c r="E40" s="183"/>
      <c r="F40" s="183"/>
      <c r="I40" s="182"/>
      <c r="J40" s="183"/>
      <c r="K40" s="183"/>
      <c r="L40" s="183"/>
      <c r="M40" s="183"/>
      <c r="P40" s="182"/>
      <c r="Q40" s="183"/>
      <c r="R40" s="183"/>
      <c r="S40" s="183"/>
      <c r="T40" s="183"/>
      <c r="W40" s="182"/>
      <c r="X40" s="183"/>
      <c r="Y40" s="183"/>
      <c r="Z40" s="183"/>
      <c r="AA40" s="183"/>
      <c r="AD40" s="182"/>
      <c r="AE40" s="183"/>
      <c r="AF40" s="183"/>
      <c r="AG40" s="183"/>
      <c r="AH40" s="183"/>
    </row>
    <row r="41" spans="2:34" ht="16.5">
      <c r="B41" s="182"/>
      <c r="C41" s="183"/>
      <c r="D41" s="183"/>
      <c r="E41" s="183"/>
      <c r="F41" s="183"/>
      <c r="I41" s="182"/>
      <c r="J41" s="183"/>
      <c r="K41" s="183"/>
      <c r="L41" s="183"/>
      <c r="M41" s="183"/>
      <c r="P41" s="182"/>
      <c r="Q41" s="183"/>
      <c r="R41" s="183"/>
      <c r="S41" s="183"/>
      <c r="T41" s="183"/>
      <c r="W41" s="182"/>
      <c r="X41" s="183"/>
      <c r="Y41" s="183"/>
      <c r="Z41" s="183"/>
      <c r="AA41" s="183"/>
      <c r="AD41" s="182"/>
      <c r="AE41" s="183"/>
      <c r="AF41" s="183"/>
      <c r="AG41" s="183"/>
      <c r="AH41" s="183"/>
    </row>
    <row r="42" spans="2:34" ht="16.5">
      <c r="B42" s="182"/>
      <c r="C42" s="183"/>
      <c r="D42" s="183"/>
      <c r="E42" s="183"/>
      <c r="F42" s="183"/>
      <c r="I42" s="182"/>
      <c r="J42" s="183"/>
      <c r="K42" s="183"/>
      <c r="L42" s="183"/>
      <c r="M42" s="183"/>
      <c r="P42" s="182"/>
      <c r="Q42" s="183"/>
      <c r="R42" s="183"/>
      <c r="S42" s="183"/>
      <c r="T42" s="183"/>
      <c r="W42" s="182"/>
      <c r="X42" s="183"/>
      <c r="Y42" s="183"/>
      <c r="Z42" s="183"/>
      <c r="AA42" s="183"/>
      <c r="AD42" s="182"/>
      <c r="AE42" s="183"/>
      <c r="AF42" s="183"/>
      <c r="AG42" s="183"/>
      <c r="AH42" s="183"/>
    </row>
    <row r="43" spans="2:34">
      <c r="B43" s="181"/>
      <c r="C43" s="183"/>
      <c r="D43" s="183"/>
      <c r="E43" s="183"/>
      <c r="F43" s="183"/>
      <c r="I43" s="181"/>
      <c r="J43" s="183"/>
      <c r="K43" s="183"/>
      <c r="L43" s="183"/>
      <c r="M43" s="183"/>
      <c r="P43" s="181"/>
      <c r="Q43" s="183"/>
      <c r="R43" s="183"/>
      <c r="S43" s="183"/>
      <c r="T43" s="183"/>
      <c r="W43" s="181"/>
      <c r="X43" s="183"/>
      <c r="Y43" s="183"/>
      <c r="Z43" s="183"/>
      <c r="AA43" s="183"/>
      <c r="AD43" s="181"/>
      <c r="AE43" s="183"/>
      <c r="AF43" s="183"/>
      <c r="AG43" s="183"/>
      <c r="AH43" s="183"/>
    </row>
  </sheetData>
  <mergeCells count="7">
    <mergeCell ref="E2:R2"/>
    <mergeCell ref="C22:D22"/>
    <mergeCell ref="AK5:AL5"/>
    <mergeCell ref="AE22:AF22"/>
    <mergeCell ref="X22:Y22"/>
    <mergeCell ref="Q22:R22"/>
    <mergeCell ref="J22:K22"/>
  </mergeCells>
  <conditionalFormatting sqref="E22">
    <cfRule type="containsText" dxfId="9" priority="1" operator="containsText" text="falso">
      <formula>NOT(ISERROR(SEARCH("falso",E22)))</formula>
    </cfRule>
    <cfRule type="containsText" dxfId="8" priority="2" operator="containsText" text="verdadeiro">
      <formula>NOT(ISERROR(SEARCH("verdadeiro",E22)))</formula>
    </cfRule>
  </conditionalFormatting>
  <conditionalFormatting sqref="L22">
    <cfRule type="containsText" dxfId="7" priority="3" operator="containsText" text="falso">
      <formula>NOT(ISERROR(SEARCH("falso",L22)))</formula>
    </cfRule>
    <cfRule type="containsText" dxfId="6" priority="4" operator="containsText" text="verdadeiro">
      <formula>NOT(ISERROR(SEARCH("verdadeiro",L22)))</formula>
    </cfRule>
  </conditionalFormatting>
  <conditionalFormatting sqref="S22">
    <cfRule type="containsText" dxfId="5" priority="5" operator="containsText" text="falso">
      <formula>NOT(ISERROR(SEARCH("falso",S22)))</formula>
    </cfRule>
    <cfRule type="containsText" dxfId="4" priority="6" operator="containsText" text="verdadeiro">
      <formula>NOT(ISERROR(SEARCH("verdadeiro",S22)))</formula>
    </cfRule>
  </conditionalFormatting>
  <conditionalFormatting sqref="Z22">
    <cfRule type="containsText" dxfId="3" priority="7" operator="containsText" text="falso">
      <formula>NOT(ISERROR(SEARCH("falso",Z22)))</formula>
    </cfRule>
    <cfRule type="containsText" dxfId="2" priority="8" operator="containsText" text="verdadeiro">
      <formula>NOT(ISERROR(SEARCH("verdadeiro",Z22)))</formula>
    </cfRule>
  </conditionalFormatting>
  <conditionalFormatting sqref="AG22">
    <cfRule type="containsText" dxfId="1" priority="9" operator="containsText" text="falso">
      <formula>NOT(ISERROR(SEARCH("falso",AG22)))</formula>
    </cfRule>
    <cfRule type="containsText" dxfId="0" priority="10" operator="containsText" text="verdadeiro">
      <formula>NOT(ISERROR(SEARCH("verdadeiro",AG22)))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447-A59A-447F-AA39-6B3589F5BC33}">
  <dimension ref="B1:BC36"/>
  <sheetViews>
    <sheetView workbookViewId="0">
      <selection activeCell="F20" sqref="F20"/>
    </sheetView>
  </sheetViews>
  <sheetFormatPr defaultRowHeight="15"/>
  <cols>
    <col min="2" max="2" width="11.28515625" customWidth="1"/>
    <col min="3" max="3" width="13.140625" customWidth="1"/>
    <col min="9" max="9" width="18.85546875" customWidth="1"/>
    <col min="10" max="10" width="17.140625" bestFit="1" customWidth="1"/>
    <col min="11" max="11" width="18.28515625" bestFit="1" customWidth="1"/>
    <col min="20" max="20" width="14.7109375" customWidth="1"/>
    <col min="21" max="22" width="17.140625" bestFit="1" customWidth="1"/>
    <col min="31" max="31" width="15" bestFit="1" customWidth="1"/>
    <col min="32" max="33" width="17.140625" bestFit="1" customWidth="1"/>
    <col min="35" max="35" width="12.5703125" customWidth="1"/>
    <col min="42" max="42" width="15" bestFit="1" customWidth="1"/>
    <col min="43" max="44" width="16" bestFit="1" customWidth="1"/>
    <col min="46" max="46" width="11" bestFit="1" customWidth="1"/>
    <col min="53" max="53" width="15" bestFit="1" customWidth="1"/>
    <col min="54" max="55" width="17.140625" bestFit="1" customWidth="1"/>
  </cols>
  <sheetData>
    <row r="1" spans="2:55">
      <c r="AE1" s="324"/>
      <c r="AF1" s="181"/>
      <c r="AG1" s="181"/>
    </row>
    <row r="2" spans="2:55" ht="30.75" customHeight="1">
      <c r="D2" s="407" t="s">
        <v>183</v>
      </c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  <c r="R2" s="407"/>
      <c r="S2" s="407"/>
      <c r="T2" s="407"/>
      <c r="U2" s="407"/>
      <c r="V2" s="407"/>
      <c r="W2" s="407"/>
      <c r="X2" s="407"/>
      <c r="Y2" s="407"/>
      <c r="Z2" s="407"/>
      <c r="AE2" s="212"/>
      <c r="AF2" s="212"/>
      <c r="AG2" s="212"/>
    </row>
    <row r="3" spans="2:55">
      <c r="D3" s="212"/>
      <c r="AE3" s="212"/>
      <c r="AF3" s="212"/>
      <c r="AG3" s="212"/>
    </row>
    <row r="4" spans="2:55">
      <c r="AE4" s="212"/>
      <c r="AF4" s="212"/>
      <c r="AG4" s="212"/>
    </row>
    <row r="5" spans="2:55" ht="90">
      <c r="B5" s="56" t="s">
        <v>173</v>
      </c>
      <c r="C5" s="57" t="s">
        <v>98</v>
      </c>
      <c r="D5" s="57" t="s">
        <v>99</v>
      </c>
      <c r="E5" s="214" t="s">
        <v>100</v>
      </c>
      <c r="F5" s="57" t="s">
        <v>101</v>
      </c>
      <c r="G5" s="305" t="s">
        <v>131</v>
      </c>
      <c r="H5" s="305" t="s">
        <v>184</v>
      </c>
      <c r="I5" s="304" t="s">
        <v>185</v>
      </c>
      <c r="J5" s="207" t="s">
        <v>186</v>
      </c>
      <c r="K5" s="207" t="s">
        <v>131</v>
      </c>
      <c r="M5" s="56" t="s">
        <v>174</v>
      </c>
      <c r="N5" s="57" t="s">
        <v>98</v>
      </c>
      <c r="O5" s="57" t="s">
        <v>99</v>
      </c>
      <c r="P5" s="57" t="s">
        <v>100</v>
      </c>
      <c r="Q5" s="214" t="s">
        <v>101</v>
      </c>
      <c r="R5" s="207" t="s">
        <v>131</v>
      </c>
      <c r="S5" s="207" t="s">
        <v>184</v>
      </c>
      <c r="T5" s="304" t="s">
        <v>185</v>
      </c>
      <c r="U5" s="207" t="s">
        <v>186</v>
      </c>
      <c r="V5" s="207" t="s">
        <v>131</v>
      </c>
      <c r="X5" s="3" t="s">
        <v>146</v>
      </c>
      <c r="Y5" s="57" t="s">
        <v>98</v>
      </c>
      <c r="Z5" s="57" t="s">
        <v>99</v>
      </c>
      <c r="AA5" s="57" t="s">
        <v>100</v>
      </c>
      <c r="AB5" s="57" t="s">
        <v>101</v>
      </c>
      <c r="AC5" s="305" t="s">
        <v>131</v>
      </c>
      <c r="AD5" s="207" t="s">
        <v>183</v>
      </c>
      <c r="AE5" s="323" t="s">
        <v>185</v>
      </c>
      <c r="AF5" s="204" t="s">
        <v>186</v>
      </c>
      <c r="AG5" s="204" t="s">
        <v>131</v>
      </c>
      <c r="AI5" s="3" t="s">
        <v>147</v>
      </c>
      <c r="AJ5" s="57" t="s">
        <v>98</v>
      </c>
      <c r="AK5" s="57" t="s">
        <v>99</v>
      </c>
      <c r="AL5" s="57" t="s">
        <v>100</v>
      </c>
      <c r="AM5" s="57" t="s">
        <v>101</v>
      </c>
      <c r="AN5" s="207" t="s">
        <v>131</v>
      </c>
      <c r="AO5" s="207" t="s">
        <v>183</v>
      </c>
      <c r="AP5" s="304" t="s">
        <v>185</v>
      </c>
      <c r="AQ5" s="207" t="s">
        <v>186</v>
      </c>
      <c r="AR5" s="207" t="s">
        <v>131</v>
      </c>
      <c r="AT5" s="3" t="s">
        <v>148</v>
      </c>
      <c r="AU5" s="57" t="s">
        <v>98</v>
      </c>
      <c r="AV5" s="57" t="s">
        <v>99</v>
      </c>
      <c r="AW5" s="57" t="s">
        <v>100</v>
      </c>
      <c r="AX5" s="57" t="s">
        <v>101</v>
      </c>
      <c r="AY5" s="305" t="s">
        <v>131</v>
      </c>
      <c r="AZ5" s="207" t="s">
        <v>183</v>
      </c>
      <c r="BA5" s="304" t="s">
        <v>185</v>
      </c>
      <c r="BB5" s="207" t="s">
        <v>186</v>
      </c>
      <c r="BC5" s="207" t="s">
        <v>131</v>
      </c>
    </row>
    <row r="6" spans="2:55" ht="16.5">
      <c r="B6" s="67" t="s">
        <v>149</v>
      </c>
      <c r="C6" s="178">
        <f>'Lotes de celulares'!C6</f>
        <v>2</v>
      </c>
      <c r="D6" s="178">
        <f>'Lotes de celulares'!D6</f>
        <v>3</v>
      </c>
      <c r="E6" s="178">
        <f>'Lotes de celulares'!E6</f>
        <v>3</v>
      </c>
      <c r="F6" s="178">
        <f>'Lotes de celulares'!F6</f>
        <v>1</v>
      </c>
      <c r="G6" s="262">
        <f>'Lotes de celulares'!G6</f>
        <v>9</v>
      </c>
      <c r="H6" s="262">
        <v>25</v>
      </c>
      <c r="I6" s="224">
        <f>IFERROR(VLOOKUP(H6,'base de dados'!$B$16:$D$24,2,TRUE),)</f>
        <v>525000</v>
      </c>
      <c r="J6" s="224">
        <f>IFERROR(VLOOKUP(H6,'base de dados'!$B$16:$D$24,3,TRUE),)</f>
        <v>14437</v>
      </c>
      <c r="K6" s="224">
        <f>SUM(I6:J6)</f>
        <v>539437</v>
      </c>
      <c r="M6" s="67" t="s">
        <v>149</v>
      </c>
      <c r="N6" s="178">
        <f>'Lotes de celulares'!J6</f>
        <v>5</v>
      </c>
      <c r="O6" s="178">
        <f>'Lotes de celulares'!K6</f>
        <v>9</v>
      </c>
      <c r="P6" s="178">
        <f>'Lotes de celulares'!L6</f>
        <v>8</v>
      </c>
      <c r="Q6" s="262">
        <f>'Lotes de celulares'!M6</f>
        <v>3</v>
      </c>
      <c r="R6" s="178">
        <f>'Lotes de celulares'!N6</f>
        <v>25</v>
      </c>
      <c r="S6" s="178">
        <v>25</v>
      </c>
      <c r="T6" s="224">
        <f>IFERROR(VLOOKUP(S6,'base de dados'!$B$16:$D$24,2,TRUE),)</f>
        <v>525000</v>
      </c>
      <c r="U6" s="224">
        <f>IFERROR(VLOOKUP(S6,'base de dados'!$B$16:$D$24,3,TRUE),)</f>
        <v>14437</v>
      </c>
      <c r="V6" s="224">
        <f>SUM(T6:U6)</f>
        <v>539437</v>
      </c>
      <c r="X6" s="67" t="s">
        <v>149</v>
      </c>
      <c r="Y6" s="178">
        <f>'Lotes de celulares'!Q6</f>
        <v>1</v>
      </c>
      <c r="Z6" s="178">
        <f>'Lotes de celulares'!R6</f>
        <v>3</v>
      </c>
      <c r="AA6" s="178">
        <f>'Lotes de celulares'!S6</f>
        <v>4</v>
      </c>
      <c r="AB6" s="178">
        <f>'Lotes de celulares'!T6</f>
        <v>5</v>
      </c>
      <c r="AC6" s="262">
        <f>'Lotes de celulares'!U6</f>
        <v>13</v>
      </c>
      <c r="AD6" s="178">
        <v>25</v>
      </c>
      <c r="AE6" s="224">
        <f>IFERROR(VLOOKUP(AD6,'base de dados'!$B$16:$D$24,2,TRUE),)</f>
        <v>525000</v>
      </c>
      <c r="AF6" s="224">
        <f>IFERROR(VLOOKUP(AD6,'base de dados'!$B$16:$D$24,3,TRUE),)</f>
        <v>14437</v>
      </c>
      <c r="AG6" s="224">
        <f>SUM(AE6:AF6)</f>
        <v>539437</v>
      </c>
      <c r="AI6" s="67" t="s">
        <v>149</v>
      </c>
      <c r="AJ6" s="178">
        <f>'Lotes de celulares'!X6</f>
        <v>1</v>
      </c>
      <c r="AK6" s="178">
        <f>'Lotes de celulares'!Y6</f>
        <v>2</v>
      </c>
      <c r="AL6" s="178">
        <f>'Lotes de celulares'!Z6</f>
        <v>2</v>
      </c>
      <c r="AM6" s="178">
        <f>'Lotes de celulares'!AA6</f>
        <v>1</v>
      </c>
      <c r="AN6" s="178">
        <f>'Lotes de celulares'!AB6</f>
        <v>6</v>
      </c>
      <c r="AO6" s="178">
        <v>25</v>
      </c>
      <c r="AP6" s="224">
        <f>IFERROR(VLOOKUP(AO6,'base de dados'!$B$16:$D$24,2,TRUE),)</f>
        <v>525000</v>
      </c>
      <c r="AQ6" s="224">
        <f>IFERROR(VLOOKUP(AO6,'base de dados'!$B$16:$D$24,3,TRUE),)</f>
        <v>14437</v>
      </c>
      <c r="AR6" s="224">
        <f>SUM(AP6:AQ6)</f>
        <v>539437</v>
      </c>
      <c r="AT6" s="67" t="s">
        <v>149</v>
      </c>
      <c r="AU6" s="178">
        <f>'Lotes de celulares'!AE6</f>
        <v>0</v>
      </c>
      <c r="AV6" s="178">
        <f>'Lotes de celulares'!AF6</f>
        <v>1</v>
      </c>
      <c r="AW6" s="178">
        <f>'Lotes de celulares'!AG6</f>
        <v>1</v>
      </c>
      <c r="AX6" s="178">
        <f>'Lotes de celulares'!AH6</f>
        <v>1</v>
      </c>
      <c r="AY6" s="262">
        <f>'Lotes de celulares'!AI6</f>
        <v>3</v>
      </c>
      <c r="AZ6" s="178">
        <v>25</v>
      </c>
      <c r="BA6" s="224">
        <f>IFERROR(VLOOKUP(AZ6,'base de dados'!$B$16:$D$24,2,TRUE),)</f>
        <v>525000</v>
      </c>
      <c r="BB6" s="224">
        <f>IFERROR(VLOOKUP(AZ6,'base de dados'!$B$16:$D$24,3,TRUE),)</f>
        <v>14437</v>
      </c>
      <c r="BC6" s="224">
        <f>SUM(BA6:BB6)</f>
        <v>539437</v>
      </c>
    </row>
    <row r="7" spans="2:55" ht="16.5">
      <c r="B7" s="67" t="s">
        <v>150</v>
      </c>
      <c r="C7" s="178">
        <f>'Lotes de celulares'!C7</f>
        <v>2</v>
      </c>
      <c r="D7" s="178">
        <f>'Lotes de celulares'!D7</f>
        <v>4</v>
      </c>
      <c r="E7" s="178">
        <f>'Lotes de celulares'!E7</f>
        <v>4</v>
      </c>
      <c r="F7" s="178">
        <f>'Lotes de celulares'!F7</f>
        <v>2</v>
      </c>
      <c r="G7" s="262">
        <f>'Lotes de celulares'!G7</f>
        <v>12</v>
      </c>
      <c r="H7" s="262">
        <v>25</v>
      </c>
      <c r="I7" s="224">
        <f>IFERROR(VLOOKUP(H7,'base de dados'!$B$16:$D$24,2,TRUE),)</f>
        <v>525000</v>
      </c>
      <c r="J7" s="224">
        <f>IFERROR(VLOOKUP(H7,'base de dados'!$B$16:$D$24,3,TRUE),)</f>
        <v>14437</v>
      </c>
      <c r="K7" s="224">
        <f t="shared" ref="K7:K17" si="0">SUM(I7:J7)</f>
        <v>539437</v>
      </c>
      <c r="M7" s="67" t="s">
        <v>150</v>
      </c>
      <c r="N7" s="178">
        <f>'Lotes de celulares'!J7</f>
        <v>7</v>
      </c>
      <c r="O7" s="178">
        <f>'Lotes de celulares'!K7</f>
        <v>13</v>
      </c>
      <c r="P7" s="178">
        <f>'Lotes de celulares'!L7</f>
        <v>11</v>
      </c>
      <c r="Q7" s="262">
        <f>'Lotes de celulares'!M7</f>
        <v>4</v>
      </c>
      <c r="R7" s="178">
        <f>'Lotes de celulares'!N7</f>
        <v>35</v>
      </c>
      <c r="S7" s="178">
        <v>50</v>
      </c>
      <c r="T7" s="224">
        <f>IFERROR(VLOOKUP(S7,'base de dados'!$B$16:$D$24,2,TRUE),)</f>
        <v>1050000</v>
      </c>
      <c r="U7" s="224">
        <f>IFERROR(VLOOKUP(S7,'base de dados'!$B$16:$D$24,3,TRUE),)</f>
        <v>36540</v>
      </c>
      <c r="V7" s="224">
        <f t="shared" ref="V7:V17" si="1">SUM(T7:U7)</f>
        <v>1086540</v>
      </c>
      <c r="X7" s="67" t="s">
        <v>150</v>
      </c>
      <c r="Y7" s="178">
        <f>'Lotes de celulares'!Q7</f>
        <v>2</v>
      </c>
      <c r="Z7" s="178">
        <f>'Lotes de celulares'!R7</f>
        <v>3</v>
      </c>
      <c r="AA7" s="178">
        <f>'Lotes de celulares'!S7</f>
        <v>6</v>
      </c>
      <c r="AB7" s="178">
        <f>'Lotes de celulares'!T7</f>
        <v>7</v>
      </c>
      <c r="AC7" s="262">
        <f>'Lotes de celulares'!U7</f>
        <v>18</v>
      </c>
      <c r="AD7" s="178">
        <v>25</v>
      </c>
      <c r="AE7" s="224">
        <f>IFERROR(VLOOKUP(AD7,'base de dados'!$B$16:$D$24,2,TRUE),)</f>
        <v>525000</v>
      </c>
      <c r="AF7" s="224">
        <f>IFERROR(VLOOKUP(AD7,'base de dados'!$B$16:$D$24,3,TRUE),)</f>
        <v>14437</v>
      </c>
      <c r="AG7" s="224">
        <f t="shared" ref="AG7:AG17" si="2">SUM(AE7:AF7)</f>
        <v>539437</v>
      </c>
      <c r="AI7" s="67" t="s">
        <v>150</v>
      </c>
      <c r="AJ7" s="178">
        <f>'Lotes de celulares'!X7</f>
        <v>1</v>
      </c>
      <c r="AK7" s="178">
        <f>'Lotes de celulares'!Y7</f>
        <v>2</v>
      </c>
      <c r="AL7" s="178">
        <f>'Lotes de celulares'!Z7</f>
        <v>2</v>
      </c>
      <c r="AM7" s="178">
        <f>'Lotes de celulares'!AA7</f>
        <v>1</v>
      </c>
      <c r="AN7" s="178">
        <f>'Lotes de celulares'!AB7</f>
        <v>6</v>
      </c>
      <c r="AO7" s="178">
        <v>25</v>
      </c>
      <c r="AP7" s="224">
        <f>IFERROR(VLOOKUP(AO7,'base de dados'!$B$16:$D$24,2,TRUE),)</f>
        <v>525000</v>
      </c>
      <c r="AQ7" s="224">
        <f>IFERROR(VLOOKUP(AO7,'base de dados'!$B$16:$D$24,3,TRUE),)</f>
        <v>14437</v>
      </c>
      <c r="AR7" s="224">
        <f t="shared" ref="AR7:AR17" si="3">SUM(AP7:AQ7)</f>
        <v>539437</v>
      </c>
      <c r="AT7" s="67" t="s">
        <v>150</v>
      </c>
      <c r="AU7" s="178">
        <f>'Lotes de celulares'!AE7</f>
        <v>0</v>
      </c>
      <c r="AV7" s="178">
        <f>'Lotes de celulares'!AF7</f>
        <v>1</v>
      </c>
      <c r="AW7" s="178">
        <f>'Lotes de celulares'!AG7</f>
        <v>2</v>
      </c>
      <c r="AX7" s="178">
        <f>'Lotes de celulares'!AH7</f>
        <v>2</v>
      </c>
      <c r="AY7" s="262">
        <f>'Lotes de celulares'!AI7</f>
        <v>5</v>
      </c>
      <c r="AZ7" s="178">
        <v>25</v>
      </c>
      <c r="BA7" s="224">
        <f>IFERROR(VLOOKUP(AZ7,'base de dados'!$B$16:$D$24,2,TRUE),)</f>
        <v>525000</v>
      </c>
      <c r="BB7" s="224">
        <f>IFERROR(VLOOKUP(AZ7,'base de dados'!$B$16:$D$24,3,TRUE),)</f>
        <v>14437</v>
      </c>
      <c r="BC7" s="224">
        <f t="shared" ref="BC7:BC17" si="4">SUM(BA7:BB7)</f>
        <v>539437</v>
      </c>
    </row>
    <row r="8" spans="2:55" ht="16.5">
      <c r="B8" s="67" t="s">
        <v>151</v>
      </c>
      <c r="C8" s="178">
        <f>'Lotes de celulares'!C8</f>
        <v>0</v>
      </c>
      <c r="D8" s="178">
        <f>'Lotes de celulares'!D8</f>
        <v>0</v>
      </c>
      <c r="E8" s="178">
        <f>'Lotes de celulares'!E8</f>
        <v>0</v>
      </c>
      <c r="F8" s="178">
        <f>'Lotes de celulares'!F8</f>
        <v>0</v>
      </c>
      <c r="G8" s="262">
        <f>'Lotes de celulares'!G8</f>
        <v>0</v>
      </c>
      <c r="H8" s="262">
        <v>0</v>
      </c>
      <c r="I8" s="224">
        <f>IFERROR(VLOOKUP(H8,'base de dados'!$B$16:$D$24,2,TRUE),)</f>
        <v>0</v>
      </c>
      <c r="J8" s="224">
        <f>IFERROR(VLOOKUP(H8,'base de dados'!$B$16:$D$24,3,TRUE),)</f>
        <v>0</v>
      </c>
      <c r="K8" s="224">
        <f t="shared" si="0"/>
        <v>0</v>
      </c>
      <c r="M8" s="67" t="s">
        <v>151</v>
      </c>
      <c r="N8" s="178">
        <f>'Lotes de celulares'!J8</f>
        <v>1</v>
      </c>
      <c r="O8" s="178">
        <f>'Lotes de celulares'!K8</f>
        <v>1</v>
      </c>
      <c r="P8" s="178">
        <f>'Lotes de celulares'!L8</f>
        <v>1</v>
      </c>
      <c r="Q8" s="262">
        <f>'Lotes de celulares'!M8</f>
        <v>0</v>
      </c>
      <c r="R8" s="178">
        <f>'Lotes de celulares'!N8</f>
        <v>3</v>
      </c>
      <c r="S8" s="178">
        <v>25</v>
      </c>
      <c r="T8" s="224">
        <f>IFERROR(VLOOKUP(S8,'base de dados'!$B$16:$D$24,2,TRUE),)</f>
        <v>525000</v>
      </c>
      <c r="U8" s="224">
        <f>IFERROR(VLOOKUP(S8,'base de dados'!$B$16:$D$24,3,TRUE),)</f>
        <v>14437</v>
      </c>
      <c r="V8" s="224">
        <f t="shared" si="1"/>
        <v>539437</v>
      </c>
      <c r="X8" s="67" t="s">
        <v>151</v>
      </c>
      <c r="Y8" s="178">
        <f>'Lotes de celulares'!Q8</f>
        <v>0</v>
      </c>
      <c r="Z8" s="178">
        <f>'Lotes de celulares'!R8</f>
        <v>0</v>
      </c>
      <c r="AA8" s="178">
        <f>'Lotes de celulares'!S8</f>
        <v>1</v>
      </c>
      <c r="AB8" s="178">
        <f>'Lotes de celulares'!T8</f>
        <v>1</v>
      </c>
      <c r="AC8" s="262">
        <f>'Lotes de celulares'!U8</f>
        <v>2</v>
      </c>
      <c r="AD8" s="178">
        <v>25</v>
      </c>
      <c r="AE8" s="224">
        <f>IFERROR(VLOOKUP(AD8,'base de dados'!$B$16:$D$24,2,TRUE),)</f>
        <v>525000</v>
      </c>
      <c r="AF8" s="224">
        <f>IFERROR(VLOOKUP(AD8,'base de dados'!$B$16:$D$24,3,TRUE),)</f>
        <v>14437</v>
      </c>
      <c r="AG8" s="224">
        <f t="shared" si="2"/>
        <v>539437</v>
      </c>
      <c r="AI8" s="67" t="s">
        <v>151</v>
      </c>
      <c r="AJ8" s="178">
        <f>'Lotes de celulares'!X8</f>
        <v>0</v>
      </c>
      <c r="AK8" s="178">
        <f>'Lotes de celulares'!Y8</f>
        <v>0</v>
      </c>
      <c r="AL8" s="178">
        <f>'Lotes de celulares'!Z8</f>
        <v>0</v>
      </c>
      <c r="AM8" s="178">
        <f>'Lotes de celulares'!AA8</f>
        <v>0</v>
      </c>
      <c r="AN8" s="178">
        <f>'Lotes de celulares'!AB8</f>
        <v>0</v>
      </c>
      <c r="AO8" s="178">
        <v>0</v>
      </c>
      <c r="AP8" s="224">
        <f>IFERROR(VLOOKUP(AO8,'base de dados'!$B$16:$D$24,2,TRUE),)</f>
        <v>0</v>
      </c>
      <c r="AQ8" s="224">
        <f>IFERROR(VLOOKUP(AO8,'base de dados'!$B$16:$D$24,3,TRUE),)</f>
        <v>0</v>
      </c>
      <c r="AR8" s="224">
        <f t="shared" si="3"/>
        <v>0</v>
      </c>
      <c r="AT8" s="67" t="s">
        <v>151</v>
      </c>
      <c r="AU8" s="178">
        <f>'Lotes de celulares'!AE8</f>
        <v>0</v>
      </c>
      <c r="AV8" s="178">
        <f>'Lotes de celulares'!AF8</f>
        <v>0</v>
      </c>
      <c r="AW8" s="178">
        <f>'Lotes de celulares'!AG8</f>
        <v>0</v>
      </c>
      <c r="AX8" s="178">
        <f>'Lotes de celulares'!AH8</f>
        <v>0</v>
      </c>
      <c r="AY8" s="262">
        <f>'Lotes de celulares'!AI8</f>
        <v>0</v>
      </c>
      <c r="AZ8" s="178">
        <v>25</v>
      </c>
      <c r="BA8" s="224">
        <f>IFERROR(VLOOKUP(AZ8,'base de dados'!$B$16:$D$24,2,TRUE),)</f>
        <v>525000</v>
      </c>
      <c r="BB8" s="224">
        <f>IFERROR(VLOOKUP(AZ8,'base de dados'!$B$16:$D$24,3,TRUE),)</f>
        <v>14437</v>
      </c>
      <c r="BC8" s="224">
        <f t="shared" si="4"/>
        <v>539437</v>
      </c>
    </row>
    <row r="9" spans="2:55" ht="16.5">
      <c r="B9" s="67" t="s">
        <v>152</v>
      </c>
      <c r="C9" s="178">
        <f>'Lotes de celulares'!C9</f>
        <v>3</v>
      </c>
      <c r="D9" s="178">
        <f>'Lotes de celulares'!D9</f>
        <v>6</v>
      </c>
      <c r="E9" s="178">
        <f>'Lotes de celulares'!E9</f>
        <v>6</v>
      </c>
      <c r="F9" s="178">
        <f>'Lotes de celulares'!F9</f>
        <v>2</v>
      </c>
      <c r="G9" s="262">
        <f>'Lotes de celulares'!G9</f>
        <v>17</v>
      </c>
      <c r="H9" s="262">
        <v>25</v>
      </c>
      <c r="I9" s="224">
        <f>IFERROR(VLOOKUP(H9,'base de dados'!$B$16:$D$24,2,TRUE),)</f>
        <v>525000</v>
      </c>
      <c r="J9" s="224">
        <f>IFERROR(VLOOKUP(H9,'base de dados'!$B$16:$D$24,3,TRUE),)</f>
        <v>14437</v>
      </c>
      <c r="K9" s="224">
        <f t="shared" si="0"/>
        <v>539437</v>
      </c>
      <c r="M9" s="67" t="s">
        <v>152</v>
      </c>
      <c r="N9" s="178">
        <f>'Lotes de celulares'!J9</f>
        <v>10</v>
      </c>
      <c r="O9" s="178">
        <f>'Lotes de celulares'!K9</f>
        <v>19</v>
      </c>
      <c r="P9" s="178">
        <f>'Lotes de celulares'!L9</f>
        <v>17</v>
      </c>
      <c r="Q9" s="262">
        <f>'Lotes de celulares'!M9</f>
        <v>6</v>
      </c>
      <c r="R9" s="178">
        <f>'Lotes de celulares'!N9</f>
        <v>52</v>
      </c>
      <c r="S9" s="178">
        <v>75</v>
      </c>
      <c r="T9" s="224">
        <f>IFERROR(VLOOKUP(S9,'base de dados'!$B$16:$D$24,2,TRUE),)</f>
        <v>1050000</v>
      </c>
      <c r="U9" s="224">
        <f>IFERROR(VLOOKUP(S9,'base de dados'!$B$16:$D$24,3,TRUE),)</f>
        <v>36540</v>
      </c>
      <c r="V9" s="224">
        <f t="shared" si="1"/>
        <v>1086540</v>
      </c>
      <c r="X9" s="67" t="s">
        <v>152</v>
      </c>
      <c r="Y9" s="178">
        <f>'Lotes de celulares'!Q9</f>
        <v>3</v>
      </c>
      <c r="Z9" s="178">
        <f>'Lotes de celulares'!R9</f>
        <v>5</v>
      </c>
      <c r="AA9" s="178">
        <f>'Lotes de celulares'!S9</f>
        <v>9</v>
      </c>
      <c r="AB9" s="178">
        <f>'Lotes de celulares'!T9</f>
        <v>10</v>
      </c>
      <c r="AC9" s="262">
        <f>'Lotes de celulares'!U9</f>
        <v>27</v>
      </c>
      <c r="AD9" s="178">
        <v>50</v>
      </c>
      <c r="AE9" s="224">
        <f>IFERROR(VLOOKUP(AD9,'base de dados'!$B$16:$D$24,2,TRUE),)</f>
        <v>1050000</v>
      </c>
      <c r="AF9" s="224">
        <f>IFERROR(VLOOKUP(AD9,'base de dados'!$B$16:$D$24,3,TRUE),)</f>
        <v>36540</v>
      </c>
      <c r="AG9" s="224">
        <f t="shared" si="2"/>
        <v>1086540</v>
      </c>
      <c r="AI9" s="67" t="s">
        <v>152</v>
      </c>
      <c r="AJ9" s="178">
        <f>'Lotes de celulares'!X9</f>
        <v>2</v>
      </c>
      <c r="AK9" s="178">
        <f>'Lotes de celulares'!Y9</f>
        <v>3</v>
      </c>
      <c r="AL9" s="178">
        <f>'Lotes de celulares'!Z9</f>
        <v>3</v>
      </c>
      <c r="AM9" s="178">
        <f>'Lotes de celulares'!AA9</f>
        <v>1</v>
      </c>
      <c r="AN9" s="178">
        <f>'Lotes de celulares'!AB9</f>
        <v>9</v>
      </c>
      <c r="AO9" s="178">
        <v>25</v>
      </c>
      <c r="AP9" s="224">
        <f>IFERROR(VLOOKUP(AO9,'base de dados'!$B$16:$D$24,2,TRUE),)</f>
        <v>525000</v>
      </c>
      <c r="AQ9" s="224">
        <f>IFERROR(VLOOKUP(AO9,'base de dados'!$B$16:$D$24,3,TRUE),)</f>
        <v>14437</v>
      </c>
      <c r="AR9" s="224">
        <f t="shared" si="3"/>
        <v>539437</v>
      </c>
      <c r="AT9" s="67" t="s">
        <v>152</v>
      </c>
      <c r="AU9" s="178">
        <f>'Lotes de celulares'!AE9</f>
        <v>1</v>
      </c>
      <c r="AV9" s="178">
        <f>'Lotes de celulares'!AF9</f>
        <v>2</v>
      </c>
      <c r="AW9" s="178">
        <f>'Lotes de celulares'!AG9</f>
        <v>3</v>
      </c>
      <c r="AX9" s="178">
        <f>'Lotes de celulares'!AH9</f>
        <v>3</v>
      </c>
      <c r="AY9" s="262">
        <f>'Lotes de celulares'!AI9</f>
        <v>9</v>
      </c>
      <c r="AZ9" s="178">
        <v>25</v>
      </c>
      <c r="BA9" s="224">
        <f>IFERROR(VLOOKUP(AZ9,'base de dados'!$B$16:$D$24,2,TRUE),)</f>
        <v>525000</v>
      </c>
      <c r="BB9" s="224">
        <f>IFERROR(VLOOKUP(AZ9,'base de dados'!$B$16:$D$24,3,TRUE),)</f>
        <v>14437</v>
      </c>
      <c r="BC9" s="224">
        <f t="shared" si="4"/>
        <v>539437</v>
      </c>
    </row>
    <row r="10" spans="2:55" ht="16.5">
      <c r="B10" s="67" t="s">
        <v>153</v>
      </c>
      <c r="C10" s="178">
        <f>'Lotes de celulares'!C10</f>
        <v>2</v>
      </c>
      <c r="D10" s="178">
        <f>'Lotes de celulares'!D10</f>
        <v>3</v>
      </c>
      <c r="E10" s="178">
        <f>'Lotes de celulares'!E10</f>
        <v>3</v>
      </c>
      <c r="F10" s="178">
        <f>'Lotes de celulares'!F10</f>
        <v>1</v>
      </c>
      <c r="G10" s="262">
        <f>'Lotes de celulares'!G10</f>
        <v>9</v>
      </c>
      <c r="H10" s="262">
        <v>25</v>
      </c>
      <c r="I10" s="224">
        <f>IFERROR(VLOOKUP(H10,'base de dados'!$B$16:$D$24,2,TRUE),)</f>
        <v>525000</v>
      </c>
      <c r="J10" s="224">
        <f>IFERROR(VLOOKUP(H10,'base de dados'!$B$16:$D$24,3,TRUE),)</f>
        <v>14437</v>
      </c>
      <c r="K10" s="224">
        <f t="shared" si="0"/>
        <v>539437</v>
      </c>
      <c r="M10" s="67" t="s">
        <v>153</v>
      </c>
      <c r="N10" s="178">
        <f>'Lotes de celulares'!J10</f>
        <v>5</v>
      </c>
      <c r="O10" s="178">
        <f>'Lotes de celulares'!K10</f>
        <v>9</v>
      </c>
      <c r="P10" s="178">
        <f>'Lotes de celulares'!L10</f>
        <v>8</v>
      </c>
      <c r="Q10" s="262">
        <f>'Lotes de celulares'!M10</f>
        <v>3</v>
      </c>
      <c r="R10" s="178">
        <f>'Lotes de celulares'!N10</f>
        <v>25</v>
      </c>
      <c r="S10" s="178">
        <v>25</v>
      </c>
      <c r="T10" s="224">
        <f>IFERROR(VLOOKUP(S10,'base de dados'!$B$16:$D$24,2,TRUE),)</f>
        <v>525000</v>
      </c>
      <c r="U10" s="224">
        <f>IFERROR(VLOOKUP(S10,'base de dados'!$B$16:$D$24,3,TRUE),)</f>
        <v>14437</v>
      </c>
      <c r="V10" s="224">
        <f t="shared" si="1"/>
        <v>539437</v>
      </c>
      <c r="X10" s="67" t="s">
        <v>153</v>
      </c>
      <c r="Y10" s="178">
        <f>'Lotes de celulares'!Q10</f>
        <v>1</v>
      </c>
      <c r="Z10" s="178">
        <f>'Lotes de celulares'!R10</f>
        <v>2</v>
      </c>
      <c r="AA10" s="178">
        <f>'Lotes de celulares'!S10</f>
        <v>4</v>
      </c>
      <c r="AB10" s="178">
        <f>'Lotes de celulares'!T10</f>
        <v>5</v>
      </c>
      <c r="AC10" s="262">
        <f>'Lotes de celulares'!U10</f>
        <v>12</v>
      </c>
      <c r="AD10" s="178">
        <v>25</v>
      </c>
      <c r="AE10" s="224">
        <f>IFERROR(VLOOKUP(AD10,'base de dados'!$B$16:$D$24,2,TRUE),)</f>
        <v>525000</v>
      </c>
      <c r="AF10" s="224">
        <f>IFERROR(VLOOKUP(AD10,'base de dados'!$B$16:$D$24,3,TRUE),)</f>
        <v>14437</v>
      </c>
      <c r="AG10" s="224">
        <f t="shared" si="2"/>
        <v>539437</v>
      </c>
      <c r="AI10" s="67" t="s">
        <v>153</v>
      </c>
      <c r="AJ10" s="178">
        <f>'Lotes de celulares'!X10</f>
        <v>1</v>
      </c>
      <c r="AK10" s="178">
        <f>'Lotes de celulares'!Y10</f>
        <v>2</v>
      </c>
      <c r="AL10" s="178">
        <f>'Lotes de celulares'!Z10</f>
        <v>2</v>
      </c>
      <c r="AM10" s="178">
        <f>'Lotes de celulares'!AA10</f>
        <v>1</v>
      </c>
      <c r="AN10" s="178">
        <f>'Lotes de celulares'!AB10</f>
        <v>6</v>
      </c>
      <c r="AO10" s="178">
        <v>25</v>
      </c>
      <c r="AP10" s="224">
        <f>IFERROR(VLOOKUP(AO10,'base de dados'!$B$16:$D$24,2,TRUE),)</f>
        <v>525000</v>
      </c>
      <c r="AQ10" s="224">
        <f>IFERROR(VLOOKUP(AO10,'base de dados'!$B$16:$D$24,3,TRUE),)</f>
        <v>14437</v>
      </c>
      <c r="AR10" s="224">
        <f t="shared" si="3"/>
        <v>539437</v>
      </c>
      <c r="AT10" s="67" t="s">
        <v>153</v>
      </c>
      <c r="AU10" s="178">
        <f>'Lotes de celulares'!AE10</f>
        <v>0</v>
      </c>
      <c r="AV10" s="178">
        <f>'Lotes de celulares'!AF10</f>
        <v>1</v>
      </c>
      <c r="AW10" s="178">
        <f>'Lotes de celulares'!AG10</f>
        <v>1</v>
      </c>
      <c r="AX10" s="178">
        <f>'Lotes de celulares'!AH10</f>
        <v>1</v>
      </c>
      <c r="AY10" s="262">
        <f>'Lotes de celulares'!AI10</f>
        <v>3</v>
      </c>
      <c r="AZ10" s="178">
        <v>25</v>
      </c>
      <c r="BA10" s="224">
        <f>IFERROR(VLOOKUP(AZ10,'base de dados'!$B$16:$D$24,2,TRUE),)</f>
        <v>525000</v>
      </c>
      <c r="BB10" s="224">
        <f>IFERROR(VLOOKUP(AZ10,'base de dados'!$B$16:$D$24,3,TRUE),)</f>
        <v>14437</v>
      </c>
      <c r="BC10" s="224">
        <f t="shared" si="4"/>
        <v>539437</v>
      </c>
    </row>
    <row r="11" spans="2:55" ht="16.5">
      <c r="B11" s="67" t="s">
        <v>154</v>
      </c>
      <c r="C11" s="178">
        <f>'Lotes de celulares'!C11</f>
        <v>3</v>
      </c>
      <c r="D11" s="178">
        <f>'Lotes de celulares'!D11</f>
        <v>5</v>
      </c>
      <c r="E11" s="178">
        <f>'Lotes de celulares'!E11</f>
        <v>5</v>
      </c>
      <c r="F11" s="178">
        <f>'Lotes de celulares'!F11</f>
        <v>2</v>
      </c>
      <c r="G11" s="262">
        <f>'Lotes de celulares'!G11</f>
        <v>15</v>
      </c>
      <c r="H11" s="262">
        <v>25</v>
      </c>
      <c r="I11" s="224">
        <f>IFERROR(VLOOKUP(H11,'base de dados'!$B$16:$D$24,2,TRUE),)</f>
        <v>525000</v>
      </c>
      <c r="J11" s="224">
        <f>IFERROR(VLOOKUP(H11,'base de dados'!$B$16:$D$24,3,TRUE),)</f>
        <v>14437</v>
      </c>
      <c r="K11" s="224">
        <f t="shared" si="0"/>
        <v>539437</v>
      </c>
      <c r="M11" s="67" t="s">
        <v>154</v>
      </c>
      <c r="N11" s="178">
        <f>'Lotes de celulares'!J11</f>
        <v>8</v>
      </c>
      <c r="O11" s="178">
        <f>'Lotes de celulares'!K11</f>
        <v>15</v>
      </c>
      <c r="P11" s="178">
        <f>'Lotes de celulares'!L11</f>
        <v>13</v>
      </c>
      <c r="Q11" s="262">
        <f>'Lotes de celulares'!M11</f>
        <v>5</v>
      </c>
      <c r="R11" s="178">
        <f>'Lotes de celulares'!N11</f>
        <v>41</v>
      </c>
      <c r="S11" s="178">
        <v>50</v>
      </c>
      <c r="T11" s="224">
        <f>IFERROR(VLOOKUP(S11,'base de dados'!$B$16:$D$24,2,TRUE),)</f>
        <v>1050000</v>
      </c>
      <c r="U11" s="224">
        <f>IFERROR(VLOOKUP(S11,'base de dados'!$B$16:$D$24,3,TRUE),)</f>
        <v>36540</v>
      </c>
      <c r="V11" s="224">
        <f t="shared" si="1"/>
        <v>1086540</v>
      </c>
      <c r="X11" s="67" t="s">
        <v>154</v>
      </c>
      <c r="Y11" s="178">
        <f>'Lotes de celulares'!Q11</f>
        <v>2</v>
      </c>
      <c r="Z11" s="178">
        <f>'Lotes de celulares'!R11</f>
        <v>4</v>
      </c>
      <c r="AA11" s="178">
        <f>'Lotes de celulares'!S11</f>
        <v>7</v>
      </c>
      <c r="AB11" s="178">
        <f>'Lotes de celulares'!T11</f>
        <v>8</v>
      </c>
      <c r="AC11" s="262">
        <f>'Lotes de celulares'!U11</f>
        <v>21</v>
      </c>
      <c r="AD11" s="178">
        <v>25</v>
      </c>
      <c r="AE11" s="224">
        <f>IFERROR(VLOOKUP(AD11,'base de dados'!$B$16:$D$24,2,TRUE),)</f>
        <v>525000</v>
      </c>
      <c r="AF11" s="224">
        <f>IFERROR(VLOOKUP(AD11,'base de dados'!$B$16:$D$24,3,TRUE),)</f>
        <v>14437</v>
      </c>
      <c r="AG11" s="224">
        <f t="shared" si="2"/>
        <v>539437</v>
      </c>
      <c r="AI11" s="67" t="s">
        <v>154</v>
      </c>
      <c r="AJ11" s="178">
        <f>'Lotes de celulares'!X11</f>
        <v>1</v>
      </c>
      <c r="AK11" s="178">
        <f>'Lotes de celulares'!Y11</f>
        <v>3</v>
      </c>
      <c r="AL11" s="178">
        <f>'Lotes de celulares'!Z11</f>
        <v>3</v>
      </c>
      <c r="AM11" s="178">
        <f>'Lotes de celulares'!AA11</f>
        <v>1</v>
      </c>
      <c r="AN11" s="178">
        <f>'Lotes de celulares'!AB11</f>
        <v>8</v>
      </c>
      <c r="AO11" s="178">
        <v>25</v>
      </c>
      <c r="AP11" s="224">
        <f>IFERROR(VLOOKUP(AO11,'base de dados'!$B$16:$D$24,2,TRUE),)</f>
        <v>525000</v>
      </c>
      <c r="AQ11" s="224">
        <f>IFERROR(VLOOKUP(AO11,'base de dados'!$B$16:$D$24,3,TRUE),)</f>
        <v>14437</v>
      </c>
      <c r="AR11" s="224">
        <f t="shared" si="3"/>
        <v>539437</v>
      </c>
      <c r="AT11" s="67" t="s">
        <v>154</v>
      </c>
      <c r="AU11" s="178">
        <f>'Lotes de celulares'!AE11</f>
        <v>1</v>
      </c>
      <c r="AV11" s="178">
        <f>'Lotes de celulares'!AF11</f>
        <v>1</v>
      </c>
      <c r="AW11" s="178">
        <f>'Lotes de celulares'!AG11</f>
        <v>2</v>
      </c>
      <c r="AX11" s="178">
        <f>'Lotes de celulares'!AH11</f>
        <v>2</v>
      </c>
      <c r="AY11" s="262">
        <f>'Lotes de celulares'!AI11</f>
        <v>6</v>
      </c>
      <c r="AZ11" s="178">
        <v>25</v>
      </c>
      <c r="BA11" s="224">
        <f>IFERROR(VLOOKUP(AZ11,'base de dados'!$B$16:$D$24,2,TRUE),)</f>
        <v>525000</v>
      </c>
      <c r="BB11" s="224">
        <f>IFERROR(VLOOKUP(AZ11,'base de dados'!$B$16:$D$24,3,TRUE),)</f>
        <v>14437</v>
      </c>
      <c r="BC11" s="224">
        <f t="shared" si="4"/>
        <v>539437</v>
      </c>
    </row>
    <row r="12" spans="2:55" ht="16.5">
      <c r="B12" s="67" t="s">
        <v>155</v>
      </c>
      <c r="C12" s="178">
        <f>'Lotes de celulares'!C12</f>
        <v>3</v>
      </c>
      <c r="D12" s="178">
        <f>'Lotes de celulares'!D12</f>
        <v>6</v>
      </c>
      <c r="E12" s="178">
        <f>'Lotes de celulares'!E12</f>
        <v>6</v>
      </c>
      <c r="F12" s="178">
        <f>'Lotes de celulares'!F12</f>
        <v>2</v>
      </c>
      <c r="G12" s="262">
        <f>'Lotes de celulares'!G12</f>
        <v>17</v>
      </c>
      <c r="H12" s="262">
        <v>25</v>
      </c>
      <c r="I12" s="224">
        <f>IFERROR(VLOOKUP(H12,'base de dados'!$B$16:$D$24,2,TRUE),)</f>
        <v>525000</v>
      </c>
      <c r="J12" s="224">
        <f>IFERROR(VLOOKUP(H12,'base de dados'!$B$16:$D$24,3,TRUE),)</f>
        <v>14437</v>
      </c>
      <c r="K12" s="224">
        <f t="shared" si="0"/>
        <v>539437</v>
      </c>
      <c r="M12" s="67" t="s">
        <v>155</v>
      </c>
      <c r="N12" s="178">
        <f>'Lotes de celulares'!J12</f>
        <v>10</v>
      </c>
      <c r="O12" s="178">
        <f>'Lotes de celulares'!K12</f>
        <v>19</v>
      </c>
      <c r="P12" s="178">
        <f>'Lotes de celulares'!L12</f>
        <v>17</v>
      </c>
      <c r="Q12" s="262">
        <f>'Lotes de celulares'!M12</f>
        <v>6</v>
      </c>
      <c r="R12" s="178">
        <f>'Lotes de celulares'!N12</f>
        <v>52</v>
      </c>
      <c r="S12" s="178">
        <v>75</v>
      </c>
      <c r="T12" s="224">
        <f>IFERROR(VLOOKUP(S12,'base de dados'!$B$16:$D$24,2,TRUE),)</f>
        <v>1050000</v>
      </c>
      <c r="U12" s="224">
        <f>IFERROR(VLOOKUP(S12,'base de dados'!$B$16:$D$24,3,TRUE),)</f>
        <v>36540</v>
      </c>
      <c r="V12" s="224">
        <f t="shared" si="1"/>
        <v>1086540</v>
      </c>
      <c r="X12" s="67" t="s">
        <v>155</v>
      </c>
      <c r="Y12" s="178">
        <f>'Lotes de celulares'!Q12</f>
        <v>3</v>
      </c>
      <c r="Z12" s="178">
        <f>'Lotes de celulares'!R12</f>
        <v>5</v>
      </c>
      <c r="AA12" s="178">
        <f>'Lotes de celulares'!S12</f>
        <v>9</v>
      </c>
      <c r="AB12" s="178">
        <f>'Lotes de celulares'!T12</f>
        <v>10</v>
      </c>
      <c r="AC12" s="262">
        <f>'Lotes de celulares'!U12</f>
        <v>27</v>
      </c>
      <c r="AD12" s="178">
        <v>50</v>
      </c>
      <c r="AE12" s="224">
        <f>IFERROR(VLOOKUP(AD12,'base de dados'!$B$16:$D$24,2,TRUE),)</f>
        <v>1050000</v>
      </c>
      <c r="AF12" s="224">
        <f>IFERROR(VLOOKUP(AD12,'base de dados'!$B$16:$D$24,3,TRUE),)</f>
        <v>36540</v>
      </c>
      <c r="AG12" s="224">
        <f t="shared" si="2"/>
        <v>1086540</v>
      </c>
      <c r="AI12" s="67" t="s">
        <v>155</v>
      </c>
      <c r="AJ12" s="178">
        <f>'Lotes de celulares'!X12</f>
        <v>2</v>
      </c>
      <c r="AK12" s="178">
        <f>'Lotes de celulares'!Y12</f>
        <v>3</v>
      </c>
      <c r="AL12" s="178">
        <f>'Lotes de celulares'!Z12</f>
        <v>3</v>
      </c>
      <c r="AM12" s="178">
        <f>'Lotes de celulares'!AA12</f>
        <v>1</v>
      </c>
      <c r="AN12" s="178">
        <f>'Lotes de celulares'!AB12</f>
        <v>9</v>
      </c>
      <c r="AO12" s="178">
        <v>25</v>
      </c>
      <c r="AP12" s="224">
        <f>IFERROR(VLOOKUP(AO12,'base de dados'!$B$16:$D$24,2,TRUE),)</f>
        <v>525000</v>
      </c>
      <c r="AQ12" s="224">
        <f>IFERROR(VLOOKUP(AO12,'base de dados'!$B$16:$D$24,3,TRUE),)</f>
        <v>14437</v>
      </c>
      <c r="AR12" s="224">
        <f t="shared" si="3"/>
        <v>539437</v>
      </c>
      <c r="AT12" s="67" t="s">
        <v>155</v>
      </c>
      <c r="AU12" s="178">
        <f>'Lotes de celulares'!AE12</f>
        <v>1</v>
      </c>
      <c r="AV12" s="178">
        <f>'Lotes de celulares'!AF12</f>
        <v>2</v>
      </c>
      <c r="AW12" s="178">
        <f>'Lotes de celulares'!AG12</f>
        <v>3</v>
      </c>
      <c r="AX12" s="178">
        <f>'Lotes de celulares'!AH12</f>
        <v>3</v>
      </c>
      <c r="AY12" s="262">
        <f>'Lotes de celulares'!AI12</f>
        <v>9</v>
      </c>
      <c r="AZ12" s="178">
        <v>25</v>
      </c>
      <c r="BA12" s="224">
        <f>IFERROR(VLOOKUP(AZ12,'base de dados'!$B$16:$D$24,2,TRUE),)</f>
        <v>525000</v>
      </c>
      <c r="BB12" s="224">
        <f>IFERROR(VLOOKUP(AZ12,'base de dados'!$B$16:$D$24,3,TRUE),)</f>
        <v>14437</v>
      </c>
      <c r="BC12" s="224">
        <f t="shared" si="4"/>
        <v>539437</v>
      </c>
    </row>
    <row r="13" spans="2:55" ht="16.5">
      <c r="B13" s="67" t="s">
        <v>156</v>
      </c>
      <c r="C13" s="178">
        <f>'Lotes de celulares'!C13</f>
        <v>2</v>
      </c>
      <c r="D13" s="178">
        <f>'Lotes de celulares'!D13</f>
        <v>5</v>
      </c>
      <c r="E13" s="178">
        <f>'Lotes de celulares'!E13</f>
        <v>4</v>
      </c>
      <c r="F13" s="178">
        <f>'Lotes de celulares'!F13</f>
        <v>2</v>
      </c>
      <c r="G13" s="262">
        <f>'Lotes de celulares'!G13</f>
        <v>13</v>
      </c>
      <c r="H13" s="262">
        <v>25</v>
      </c>
      <c r="I13" s="224">
        <f>IFERROR(VLOOKUP(H13,'base de dados'!$B$16:$D$24,2,TRUE),)</f>
        <v>525000</v>
      </c>
      <c r="J13" s="224">
        <f>IFERROR(VLOOKUP(H13,'base de dados'!$B$16:$D$24,3,TRUE),)</f>
        <v>14437</v>
      </c>
      <c r="K13" s="224">
        <f t="shared" si="0"/>
        <v>539437</v>
      </c>
      <c r="M13" s="67" t="s">
        <v>156</v>
      </c>
      <c r="N13" s="178">
        <f>'Lotes de celulares'!J13</f>
        <v>7</v>
      </c>
      <c r="O13" s="178">
        <f>'Lotes de celulares'!K13</f>
        <v>13</v>
      </c>
      <c r="P13" s="178">
        <f>'Lotes de celulares'!L13</f>
        <v>12</v>
      </c>
      <c r="Q13" s="262">
        <f>'Lotes de celulares'!M13</f>
        <v>5</v>
      </c>
      <c r="R13" s="178">
        <f>'Lotes de celulares'!N13</f>
        <v>37</v>
      </c>
      <c r="S13" s="178">
        <v>50</v>
      </c>
      <c r="T13" s="224">
        <f>IFERROR(VLOOKUP(S13,'base de dados'!$B$16:$D$24,2,TRUE),)</f>
        <v>1050000</v>
      </c>
      <c r="U13" s="224">
        <f>IFERROR(VLOOKUP(S13,'base de dados'!$B$16:$D$24,3,TRUE),)</f>
        <v>36540</v>
      </c>
      <c r="V13" s="224">
        <f t="shared" si="1"/>
        <v>1086540</v>
      </c>
      <c r="X13" s="67" t="s">
        <v>156</v>
      </c>
      <c r="Y13" s="178">
        <f>'Lotes de celulares'!Q13</f>
        <v>2</v>
      </c>
      <c r="Z13" s="178">
        <f>'Lotes de celulares'!R13</f>
        <v>4</v>
      </c>
      <c r="AA13" s="178">
        <f>'Lotes de celulares'!S13</f>
        <v>6</v>
      </c>
      <c r="AB13" s="178">
        <f>'Lotes de celulares'!T13</f>
        <v>7</v>
      </c>
      <c r="AC13" s="262">
        <f>'Lotes de celulares'!U13</f>
        <v>19</v>
      </c>
      <c r="AD13" s="178">
        <v>25</v>
      </c>
      <c r="AE13" s="224">
        <f>IFERROR(VLOOKUP(AD13,'base de dados'!$B$16:$D$24,2,TRUE),)</f>
        <v>525000</v>
      </c>
      <c r="AF13" s="224">
        <f>IFERROR(VLOOKUP(AD13,'base de dados'!$B$16:$D$24,3,TRUE),)</f>
        <v>14437</v>
      </c>
      <c r="AG13" s="224">
        <f t="shared" si="2"/>
        <v>539437</v>
      </c>
      <c r="AI13" s="67" t="s">
        <v>156</v>
      </c>
      <c r="AJ13" s="178">
        <f>'Lotes de celulares'!X13</f>
        <v>1</v>
      </c>
      <c r="AK13" s="178">
        <f>'Lotes de celulares'!Y13</f>
        <v>2</v>
      </c>
      <c r="AL13" s="178">
        <f>'Lotes de celulares'!Z13</f>
        <v>2</v>
      </c>
      <c r="AM13" s="178">
        <f>'Lotes de celulares'!AA13</f>
        <v>1</v>
      </c>
      <c r="AN13" s="178">
        <f>'Lotes de celulares'!AB13</f>
        <v>6</v>
      </c>
      <c r="AO13" s="178">
        <v>25</v>
      </c>
      <c r="AP13" s="224">
        <f>IFERROR(VLOOKUP(AO13,'base de dados'!$B$16:$D$24,2,TRUE),)</f>
        <v>525000</v>
      </c>
      <c r="AQ13" s="224">
        <f>IFERROR(VLOOKUP(AO13,'base de dados'!$B$16:$D$24,3,TRUE),)</f>
        <v>14437</v>
      </c>
      <c r="AR13" s="224">
        <f t="shared" si="3"/>
        <v>539437</v>
      </c>
      <c r="AT13" s="67" t="s">
        <v>156</v>
      </c>
      <c r="AU13" s="178">
        <f>'Lotes de celulares'!AE13</f>
        <v>1</v>
      </c>
      <c r="AV13" s="178">
        <f>'Lotes de celulares'!AF13</f>
        <v>1</v>
      </c>
      <c r="AW13" s="178">
        <f>'Lotes de celulares'!AG13</f>
        <v>2</v>
      </c>
      <c r="AX13" s="178">
        <f>'Lotes de celulares'!AH13</f>
        <v>2</v>
      </c>
      <c r="AY13" s="262">
        <f>'Lotes de celulares'!AI13</f>
        <v>6</v>
      </c>
      <c r="AZ13" s="178">
        <v>25</v>
      </c>
      <c r="BA13" s="224">
        <f>IFERROR(VLOOKUP(AZ13,'base de dados'!$B$16:$D$24,2,TRUE),)</f>
        <v>525000</v>
      </c>
      <c r="BB13" s="224">
        <f>IFERROR(VLOOKUP(AZ13,'base de dados'!$B$16:$D$24,3,TRUE),)</f>
        <v>14437</v>
      </c>
      <c r="BC13" s="224">
        <f t="shared" si="4"/>
        <v>539437</v>
      </c>
    </row>
    <row r="14" spans="2:55" ht="16.5">
      <c r="B14" s="68" t="s">
        <v>157</v>
      </c>
      <c r="C14" s="178">
        <f>'Lotes de celulares'!C14</f>
        <v>1</v>
      </c>
      <c r="D14" s="178">
        <f>'Lotes de celulares'!D14</f>
        <v>1</v>
      </c>
      <c r="E14" s="178">
        <f>'Lotes de celulares'!E14</f>
        <v>1</v>
      </c>
      <c r="F14" s="178">
        <f>'Lotes de celulares'!F14</f>
        <v>1</v>
      </c>
      <c r="G14" s="262">
        <f>'Lotes de celulares'!G14</f>
        <v>4</v>
      </c>
      <c r="H14" s="262">
        <v>25</v>
      </c>
      <c r="I14" s="224">
        <f>IFERROR(VLOOKUP(H14,'base de dados'!$B$16:$D$24,2,TRUE),)</f>
        <v>525000</v>
      </c>
      <c r="J14" s="224">
        <f>IFERROR(VLOOKUP(H14,'base de dados'!$B$16:$D$24,3,TRUE),)</f>
        <v>14437</v>
      </c>
      <c r="K14" s="224">
        <f t="shared" si="0"/>
        <v>539437</v>
      </c>
      <c r="M14" s="68" t="s">
        <v>157</v>
      </c>
      <c r="N14" s="178">
        <f>'Lotes de celulares'!J14</f>
        <v>2</v>
      </c>
      <c r="O14" s="178">
        <f>'Lotes de celulares'!K14</f>
        <v>4</v>
      </c>
      <c r="P14" s="178">
        <f>'Lotes de celulares'!L14</f>
        <v>4</v>
      </c>
      <c r="Q14" s="262">
        <f>'Lotes de celulares'!M14</f>
        <v>1</v>
      </c>
      <c r="R14" s="178">
        <f>'Lotes de celulares'!N14</f>
        <v>11</v>
      </c>
      <c r="S14" s="178">
        <v>25</v>
      </c>
      <c r="T14" s="224">
        <f>IFERROR(VLOOKUP(S14,'base de dados'!$B$16:$D$24,2,TRUE),)</f>
        <v>525000</v>
      </c>
      <c r="U14" s="224">
        <f>IFERROR(VLOOKUP(S14,'base de dados'!$B$16:$D$24,3,TRUE),)</f>
        <v>14437</v>
      </c>
      <c r="V14" s="224">
        <f t="shared" si="1"/>
        <v>539437</v>
      </c>
      <c r="X14" s="68" t="s">
        <v>157</v>
      </c>
      <c r="Y14" s="178">
        <f>'Lotes de celulares'!Q14</f>
        <v>1</v>
      </c>
      <c r="Z14" s="178">
        <f>'Lotes de celulares'!R14</f>
        <v>1</v>
      </c>
      <c r="AA14" s="178">
        <f>'Lotes de celulares'!S14</f>
        <v>2</v>
      </c>
      <c r="AB14" s="178">
        <f>'Lotes de celulares'!T14</f>
        <v>2</v>
      </c>
      <c r="AC14" s="262">
        <f>'Lotes de celulares'!U14</f>
        <v>6</v>
      </c>
      <c r="AD14" s="178">
        <v>25</v>
      </c>
      <c r="AE14" s="224">
        <f>IFERROR(VLOOKUP(AD14,'base de dados'!$B$16:$D$24,2,TRUE),)</f>
        <v>525000</v>
      </c>
      <c r="AF14" s="224">
        <f>IFERROR(VLOOKUP(AD14,'base de dados'!$B$16:$D$24,3,TRUE),)</f>
        <v>14437</v>
      </c>
      <c r="AG14" s="224">
        <f t="shared" si="2"/>
        <v>539437</v>
      </c>
      <c r="AI14" s="67" t="s">
        <v>157</v>
      </c>
      <c r="AJ14" s="178">
        <f>'Lotes de celulares'!X14</f>
        <v>0</v>
      </c>
      <c r="AK14" s="178">
        <f>'Lotes de celulares'!Y14</f>
        <v>1</v>
      </c>
      <c r="AL14" s="178">
        <f>'Lotes de celulares'!Z14</f>
        <v>1</v>
      </c>
      <c r="AM14" s="178">
        <f>'Lotes de celulares'!AA14</f>
        <v>0</v>
      </c>
      <c r="AN14" s="178">
        <f>'Lotes de celulares'!AB14</f>
        <v>2</v>
      </c>
      <c r="AO14" s="178">
        <v>25</v>
      </c>
      <c r="AP14" s="224">
        <f>IFERROR(VLOOKUP(AO14,'base de dados'!$B$16:$D$24,2,TRUE),)</f>
        <v>525000</v>
      </c>
      <c r="AQ14" s="224">
        <f>IFERROR(VLOOKUP(AO14,'base de dados'!$B$16:$D$24,3,TRUE),)</f>
        <v>14437</v>
      </c>
      <c r="AR14" s="224">
        <f t="shared" si="3"/>
        <v>539437</v>
      </c>
      <c r="AT14" s="68" t="s">
        <v>157</v>
      </c>
      <c r="AU14" s="178">
        <f>'Lotes de celulares'!AE14</f>
        <v>0</v>
      </c>
      <c r="AV14" s="178">
        <f>'Lotes de celulares'!AF14</f>
        <v>0</v>
      </c>
      <c r="AW14" s="178">
        <f>'Lotes de celulares'!AG14</f>
        <v>1</v>
      </c>
      <c r="AX14" s="178">
        <f>'Lotes de celulares'!AH14</f>
        <v>1</v>
      </c>
      <c r="AY14" s="262">
        <f>'Lotes de celulares'!AI14</f>
        <v>2</v>
      </c>
      <c r="AZ14" s="178">
        <v>25</v>
      </c>
      <c r="BA14" s="224">
        <f>IFERROR(VLOOKUP(AZ14,'base de dados'!$B$16:$D$24,2,TRUE),)</f>
        <v>525000</v>
      </c>
      <c r="BB14" s="224">
        <f>IFERROR(VLOOKUP(AZ14,'base de dados'!$B$16:$D$24,3,TRUE),)</f>
        <v>14437</v>
      </c>
      <c r="BC14" s="224">
        <f t="shared" si="4"/>
        <v>539437</v>
      </c>
    </row>
    <row r="15" spans="2:55" ht="16.5">
      <c r="B15" s="67" t="s">
        <v>158</v>
      </c>
      <c r="C15" s="178">
        <f>'Lotes de celulares'!C15</f>
        <v>4</v>
      </c>
      <c r="D15" s="178">
        <f>'Lotes de celulares'!D15</f>
        <v>7</v>
      </c>
      <c r="E15" s="178">
        <f>'Lotes de celulares'!E15</f>
        <v>7</v>
      </c>
      <c r="F15" s="178">
        <f>'Lotes de celulares'!F15</f>
        <v>3</v>
      </c>
      <c r="G15" s="262">
        <f>'Lotes de celulares'!G15</f>
        <v>21</v>
      </c>
      <c r="H15" s="262">
        <v>25</v>
      </c>
      <c r="I15" s="224">
        <f>IFERROR(VLOOKUP(H15,'base de dados'!$B$16:$D$24,2,TRUE),)</f>
        <v>525000</v>
      </c>
      <c r="J15" s="224">
        <f>IFERROR(VLOOKUP(H15,'base de dados'!$B$16:$D$24,3,TRUE),)</f>
        <v>14437</v>
      </c>
      <c r="K15" s="224">
        <f t="shared" si="0"/>
        <v>539437</v>
      </c>
      <c r="M15" s="67" t="s">
        <v>158</v>
      </c>
      <c r="N15" s="178">
        <f>'Lotes de celulares'!J15</f>
        <v>11</v>
      </c>
      <c r="O15" s="178">
        <f>'Lotes de celulares'!K15</f>
        <v>22</v>
      </c>
      <c r="P15" s="178">
        <f>'Lotes de celulares'!L15</f>
        <v>19</v>
      </c>
      <c r="Q15" s="262">
        <f>'Lotes de celulares'!M15</f>
        <v>7</v>
      </c>
      <c r="R15" s="178">
        <f>'Lotes de celulares'!N15</f>
        <v>59</v>
      </c>
      <c r="S15" s="178">
        <v>75</v>
      </c>
      <c r="T15" s="224">
        <f>IFERROR(VLOOKUP(S15,'base de dados'!$B$16:$D$24,2,TRUE),)</f>
        <v>1050000</v>
      </c>
      <c r="U15" s="224">
        <f>IFERROR(VLOOKUP(S15,'base de dados'!$B$16:$D$24,3,TRUE),)</f>
        <v>36540</v>
      </c>
      <c r="V15" s="224">
        <f t="shared" si="1"/>
        <v>1086540</v>
      </c>
      <c r="X15" s="67" t="s">
        <v>158</v>
      </c>
      <c r="Y15" s="178">
        <f>'Lotes de celulares'!Q15</f>
        <v>3</v>
      </c>
      <c r="Z15" s="178">
        <f>'Lotes de celulares'!R15</f>
        <v>6</v>
      </c>
      <c r="AA15" s="178">
        <f>'Lotes de celulares'!S15</f>
        <v>10</v>
      </c>
      <c r="AB15" s="178">
        <f>'Lotes de celulares'!T15</f>
        <v>11</v>
      </c>
      <c r="AC15" s="262">
        <f>'Lotes de celulares'!U15</f>
        <v>30</v>
      </c>
      <c r="AD15" s="178">
        <v>50</v>
      </c>
      <c r="AE15" s="224">
        <f>IFERROR(VLOOKUP(AD15,'base de dados'!$B$16:$D$24,2,TRUE),)</f>
        <v>1050000</v>
      </c>
      <c r="AF15" s="224">
        <f>IFERROR(VLOOKUP(AD15,'base de dados'!$B$16:$D$24,3,TRUE),)</f>
        <v>36540</v>
      </c>
      <c r="AG15" s="224">
        <f t="shared" si="2"/>
        <v>1086540</v>
      </c>
      <c r="AI15" s="67" t="s">
        <v>158</v>
      </c>
      <c r="AJ15" s="178">
        <f>'Lotes de celulares'!X15</f>
        <v>2</v>
      </c>
      <c r="AK15" s="178">
        <f>'Lotes de celulares'!Y15</f>
        <v>4</v>
      </c>
      <c r="AL15" s="178">
        <f>'Lotes de celulares'!Z15</f>
        <v>4</v>
      </c>
      <c r="AM15" s="178">
        <f>'Lotes de celulares'!AA15</f>
        <v>2</v>
      </c>
      <c r="AN15" s="178">
        <f>'Lotes de celulares'!AB15</f>
        <v>12</v>
      </c>
      <c r="AO15" s="178">
        <v>25</v>
      </c>
      <c r="AP15" s="224">
        <f>IFERROR(VLOOKUP(AO15,'base de dados'!$B$16:$D$24,2,TRUE),)</f>
        <v>525000</v>
      </c>
      <c r="AQ15" s="224">
        <f>IFERROR(VLOOKUP(AO15,'base de dados'!$B$16:$D$24,3,TRUE),)</f>
        <v>14437</v>
      </c>
      <c r="AR15" s="224">
        <f t="shared" si="3"/>
        <v>539437</v>
      </c>
      <c r="AT15" s="67" t="s">
        <v>158</v>
      </c>
      <c r="AU15" s="178">
        <f>'Lotes de celulares'!AE15</f>
        <v>1</v>
      </c>
      <c r="AV15" s="178">
        <f>'Lotes de celulares'!AF15</f>
        <v>2</v>
      </c>
      <c r="AW15" s="178">
        <f>'Lotes de celulares'!AG15</f>
        <v>3</v>
      </c>
      <c r="AX15" s="178">
        <f>'Lotes de celulares'!AH15</f>
        <v>3</v>
      </c>
      <c r="AY15" s="262">
        <f>'Lotes de celulares'!AI15</f>
        <v>9</v>
      </c>
      <c r="AZ15" s="178">
        <v>25</v>
      </c>
      <c r="BA15" s="224">
        <f>IFERROR(VLOOKUP(AZ15,'base de dados'!$B$16:$D$24,2,TRUE),)</f>
        <v>525000</v>
      </c>
      <c r="BB15" s="224">
        <f>IFERROR(VLOOKUP(AZ15,'base de dados'!$B$16:$D$24,3,TRUE),)</f>
        <v>14437</v>
      </c>
      <c r="BC15" s="224">
        <f t="shared" si="4"/>
        <v>539437</v>
      </c>
    </row>
    <row r="16" spans="2:55" ht="16.5">
      <c r="B16" s="67" t="s">
        <v>159</v>
      </c>
      <c r="C16" s="178">
        <f>'Lotes de celulares'!C16</f>
        <v>1</v>
      </c>
      <c r="D16" s="178">
        <f>'Lotes de celulares'!D16</f>
        <v>2</v>
      </c>
      <c r="E16" s="178">
        <f>'Lotes de celulares'!E16</f>
        <v>2</v>
      </c>
      <c r="F16" s="178">
        <f>'Lotes de celulares'!F16</f>
        <v>1</v>
      </c>
      <c r="G16" s="262">
        <f>'Lotes de celulares'!G16</f>
        <v>6</v>
      </c>
      <c r="H16" s="262">
        <v>25</v>
      </c>
      <c r="I16" s="224">
        <f>IFERROR(VLOOKUP(H16,'base de dados'!$B$16:$D$24,2,TRUE),)</f>
        <v>525000</v>
      </c>
      <c r="J16" s="224">
        <f>IFERROR(VLOOKUP(H16,'base de dados'!$B$16:$D$24,3,TRUE),)</f>
        <v>14437</v>
      </c>
      <c r="K16" s="224">
        <f t="shared" si="0"/>
        <v>539437</v>
      </c>
      <c r="M16" s="67" t="s">
        <v>159</v>
      </c>
      <c r="N16" s="178">
        <f>'Lotes de celulares'!J16</f>
        <v>3</v>
      </c>
      <c r="O16" s="178">
        <f>'Lotes de celulares'!K16</f>
        <v>5</v>
      </c>
      <c r="P16" s="178">
        <f>'Lotes de celulares'!L16</f>
        <v>5</v>
      </c>
      <c r="Q16" s="262">
        <f>'Lotes de celulares'!M16</f>
        <v>2</v>
      </c>
      <c r="R16" s="178">
        <f>'Lotes de celulares'!N16</f>
        <v>15</v>
      </c>
      <c r="S16" s="178">
        <v>25</v>
      </c>
      <c r="T16" s="224">
        <f>IFERROR(VLOOKUP(S16,'base de dados'!$B$16:$D$24,2,TRUE),)</f>
        <v>525000</v>
      </c>
      <c r="U16" s="224">
        <f>IFERROR(VLOOKUP(S16,'base de dados'!$B$16:$D$24,3,TRUE),)</f>
        <v>14437</v>
      </c>
      <c r="V16" s="224">
        <f t="shared" si="1"/>
        <v>539437</v>
      </c>
      <c r="X16" s="67" t="s">
        <v>159</v>
      </c>
      <c r="Y16" s="178">
        <f>'Lotes de celulares'!Q16</f>
        <v>1</v>
      </c>
      <c r="Z16" s="178">
        <f>'Lotes de celulares'!R16</f>
        <v>1</v>
      </c>
      <c r="AA16" s="178">
        <f>'Lotes de celulares'!S16</f>
        <v>3</v>
      </c>
      <c r="AB16" s="178">
        <f>'Lotes de celulares'!T16</f>
        <v>3</v>
      </c>
      <c r="AC16" s="262">
        <f>'Lotes de celulares'!U16</f>
        <v>8</v>
      </c>
      <c r="AD16" s="178">
        <v>25</v>
      </c>
      <c r="AE16" s="224">
        <f>IFERROR(VLOOKUP(AD16,'base de dados'!$B$16:$D$24,2,TRUE),)</f>
        <v>525000</v>
      </c>
      <c r="AF16" s="224">
        <f>IFERROR(VLOOKUP(AD16,'base de dados'!$B$16:$D$24,3,TRUE),)</f>
        <v>14437</v>
      </c>
      <c r="AG16" s="224">
        <f t="shared" si="2"/>
        <v>539437</v>
      </c>
      <c r="AI16" s="67" t="s">
        <v>159</v>
      </c>
      <c r="AJ16" s="178">
        <f>'Lotes de celulares'!X16</f>
        <v>1</v>
      </c>
      <c r="AK16" s="178">
        <f>'Lotes de celulares'!Y16</f>
        <v>1</v>
      </c>
      <c r="AL16" s="178">
        <f>'Lotes de celulares'!Z16</f>
        <v>1</v>
      </c>
      <c r="AM16" s="178">
        <f>'Lotes de celulares'!AA16</f>
        <v>0</v>
      </c>
      <c r="AN16" s="178">
        <f>'Lotes de celulares'!AB16</f>
        <v>3</v>
      </c>
      <c r="AO16" s="178">
        <v>25</v>
      </c>
      <c r="AP16" s="224">
        <f>IFERROR(VLOOKUP(AO16,'base de dados'!$B$16:$D$24,2,TRUE),)</f>
        <v>525000</v>
      </c>
      <c r="AQ16" s="224">
        <f>IFERROR(VLOOKUP(AO16,'base de dados'!$B$16:$D$24,3,TRUE),)</f>
        <v>14437</v>
      </c>
      <c r="AR16" s="224">
        <f t="shared" si="3"/>
        <v>539437</v>
      </c>
      <c r="AT16" s="67" t="s">
        <v>159</v>
      </c>
      <c r="AU16" s="178">
        <f>'Lotes de celulares'!AE16</f>
        <v>0</v>
      </c>
      <c r="AV16" s="178">
        <f>'Lotes de celulares'!AF16</f>
        <v>0</v>
      </c>
      <c r="AW16" s="178">
        <f>'Lotes de celulares'!AG16</f>
        <v>1</v>
      </c>
      <c r="AX16" s="178">
        <f>'Lotes de celulares'!AH16</f>
        <v>1</v>
      </c>
      <c r="AY16" s="262">
        <f>'Lotes de celulares'!AI16</f>
        <v>2</v>
      </c>
      <c r="AZ16" s="178">
        <v>25</v>
      </c>
      <c r="BA16" s="224">
        <f>IFERROR(VLOOKUP(AZ16,'base de dados'!$B$16:$D$24,2,TRUE),)</f>
        <v>525000</v>
      </c>
      <c r="BB16" s="224">
        <f>IFERROR(VLOOKUP(AZ16,'base de dados'!$B$16:$D$24,3,TRUE),)</f>
        <v>14437</v>
      </c>
      <c r="BC16" s="224">
        <f t="shared" si="4"/>
        <v>539437</v>
      </c>
    </row>
    <row r="17" spans="2:55" ht="16.5">
      <c r="B17" s="67" t="s">
        <v>160</v>
      </c>
      <c r="C17" s="178">
        <f>'Lotes de celulares'!C17</f>
        <v>4</v>
      </c>
      <c r="D17" s="178">
        <f>'Lotes de celulares'!D17</f>
        <v>8</v>
      </c>
      <c r="E17" s="178">
        <f>'Lotes de celulares'!E17</f>
        <v>8</v>
      </c>
      <c r="F17" s="178">
        <f>'Lotes de celulares'!F17</f>
        <v>3</v>
      </c>
      <c r="G17" s="262">
        <f>'Lotes de celulares'!G17</f>
        <v>23</v>
      </c>
      <c r="H17" s="262">
        <v>25</v>
      </c>
      <c r="I17" s="224">
        <f>IFERROR(VLOOKUP(H17,'base de dados'!$B$16:$D$24,2,TRUE),)</f>
        <v>525000</v>
      </c>
      <c r="J17" s="224">
        <f>IFERROR(VLOOKUP(H17,'base de dados'!$B$16:$D$24,3,TRUE),)</f>
        <v>14437</v>
      </c>
      <c r="K17" s="224">
        <f t="shared" si="0"/>
        <v>539437</v>
      </c>
      <c r="M17" s="67" t="s">
        <v>160</v>
      </c>
      <c r="N17" s="178">
        <f>'Lotes de celulares'!J17</f>
        <v>13</v>
      </c>
      <c r="O17" s="178">
        <f>'Lotes de celulares'!K17</f>
        <v>25</v>
      </c>
      <c r="P17" s="178">
        <f>'Lotes de celulares'!L17</f>
        <v>22</v>
      </c>
      <c r="Q17" s="262">
        <f>'Lotes de celulares'!M17</f>
        <v>8</v>
      </c>
      <c r="R17" s="178">
        <f>'Lotes de celulares'!N17</f>
        <v>68</v>
      </c>
      <c r="S17" s="178">
        <v>75</v>
      </c>
      <c r="T17" s="224">
        <f>IFERROR(VLOOKUP(S17,'base de dados'!$B$16:$D$24,2,TRUE),)</f>
        <v>1050000</v>
      </c>
      <c r="U17" s="224">
        <f>IFERROR(VLOOKUP(S17,'base de dados'!$B$16:$D$24,3,TRUE),)</f>
        <v>36540</v>
      </c>
      <c r="V17" s="224">
        <f t="shared" si="1"/>
        <v>1086540</v>
      </c>
      <c r="X17" s="67" t="s">
        <v>160</v>
      </c>
      <c r="Y17" s="178">
        <f>'Lotes de celulares'!Q17</f>
        <v>3</v>
      </c>
      <c r="Z17" s="178">
        <f>'Lotes de celulares'!R17</f>
        <v>7</v>
      </c>
      <c r="AA17" s="178">
        <f>'Lotes de celulares'!S17</f>
        <v>12</v>
      </c>
      <c r="AB17" s="178">
        <f>'Lotes de celulares'!T17</f>
        <v>13</v>
      </c>
      <c r="AC17" s="262">
        <f>'Lotes de celulares'!U17</f>
        <v>35</v>
      </c>
      <c r="AD17" s="178">
        <v>50</v>
      </c>
      <c r="AE17" s="224">
        <f>IFERROR(VLOOKUP(AD17,'base de dados'!$B$16:$D$24,2,TRUE),)</f>
        <v>1050000</v>
      </c>
      <c r="AF17" s="224">
        <f>IFERROR(VLOOKUP(AD17,'base de dados'!$B$16:$D$24,3,TRUE),)</f>
        <v>36540</v>
      </c>
      <c r="AG17" s="224">
        <f t="shared" si="2"/>
        <v>1086540</v>
      </c>
      <c r="AI17" s="67" t="s">
        <v>160</v>
      </c>
      <c r="AJ17" s="178">
        <f>'Lotes de celulares'!X17</f>
        <v>2</v>
      </c>
      <c r="AK17" s="178">
        <f>'Lotes de celulares'!Y17</f>
        <v>4</v>
      </c>
      <c r="AL17" s="178">
        <f>'Lotes de celulares'!Z17</f>
        <v>4</v>
      </c>
      <c r="AM17" s="178">
        <f>'Lotes de celulares'!AA17</f>
        <v>2</v>
      </c>
      <c r="AN17" s="178">
        <f>'Lotes de celulares'!AB17</f>
        <v>12</v>
      </c>
      <c r="AO17" s="178">
        <v>25</v>
      </c>
      <c r="AP17" s="224">
        <f>IFERROR(VLOOKUP(AO17,'base de dados'!$B$16:$D$24,2,TRUE),)</f>
        <v>525000</v>
      </c>
      <c r="AQ17" s="224">
        <f>IFERROR(VLOOKUP(AO17,'base de dados'!$B$16:$D$24,3,TRUE),)</f>
        <v>14437</v>
      </c>
      <c r="AR17" s="224">
        <f t="shared" si="3"/>
        <v>539437</v>
      </c>
      <c r="AT17" s="67" t="s">
        <v>160</v>
      </c>
      <c r="AU17" s="178">
        <f>'Lotes de celulares'!AE17</f>
        <v>1</v>
      </c>
      <c r="AV17" s="178">
        <f>'Lotes de celulares'!AF17</f>
        <v>2</v>
      </c>
      <c r="AW17" s="178">
        <f>'Lotes de celulares'!AG17</f>
        <v>4</v>
      </c>
      <c r="AX17" s="178">
        <f>'Lotes de celulares'!AH17</f>
        <v>4</v>
      </c>
      <c r="AY17" s="262">
        <f>'Lotes de celulares'!AI17</f>
        <v>11</v>
      </c>
      <c r="AZ17" s="178">
        <v>25</v>
      </c>
      <c r="BA17" s="224">
        <f>IFERROR(VLOOKUP(AZ17,'base de dados'!$B$16:$D$24,2,TRUE),)</f>
        <v>525000</v>
      </c>
      <c r="BB17" s="224">
        <f>IFERROR(VLOOKUP(AZ17,'base de dados'!$B$16:$D$24,3,TRUE),)</f>
        <v>14437</v>
      </c>
      <c r="BC17" s="224">
        <f t="shared" si="4"/>
        <v>539437</v>
      </c>
    </row>
    <row r="18" spans="2:55">
      <c r="B18" s="303" t="s">
        <v>178</v>
      </c>
      <c r="C18" s="6">
        <f>SUM(C6:C17)</f>
        <v>27</v>
      </c>
      <c r="D18" s="6">
        <f t="shared" ref="D18:F18" si="5">SUM(D6:D17)</f>
        <v>50</v>
      </c>
      <c r="E18" s="21">
        <f t="shared" si="5"/>
        <v>49</v>
      </c>
      <c r="F18" s="6">
        <f t="shared" si="5"/>
        <v>20</v>
      </c>
      <c r="G18" s="263">
        <f t="shared" ref="G18:H18" si="6">SUM(C18:F18)</f>
        <v>146</v>
      </c>
      <c r="H18" s="263">
        <f t="shared" si="6"/>
        <v>265</v>
      </c>
      <c r="I18" s="224">
        <f>SUM(I6:I17)</f>
        <v>5775000</v>
      </c>
      <c r="J18" s="224">
        <f>SUM(J6:J17)</f>
        <v>158807</v>
      </c>
      <c r="K18" s="224">
        <f>SUM(K6:K17)</f>
        <v>5933807</v>
      </c>
      <c r="M18" s="303" t="s">
        <v>178</v>
      </c>
      <c r="N18" s="6">
        <f>SUM(N6:N17)</f>
        <v>82</v>
      </c>
      <c r="O18" s="6">
        <f t="shared" ref="O18:Q18" si="7">SUM(O6:O17)</f>
        <v>154</v>
      </c>
      <c r="P18" s="6">
        <f t="shared" si="7"/>
        <v>137</v>
      </c>
      <c r="Q18" s="21">
        <f t="shared" si="7"/>
        <v>50</v>
      </c>
      <c r="R18" s="215">
        <f t="shared" ref="R18" si="8">SUM(N18:Q18)</f>
        <v>423</v>
      </c>
      <c r="S18" s="215"/>
      <c r="T18" s="224">
        <f>SUM(T6:T17)</f>
        <v>9975000</v>
      </c>
      <c r="U18" s="224">
        <f>SUM(U6:U17)</f>
        <v>327965</v>
      </c>
      <c r="V18" s="224">
        <f>SUM(V6:V17)</f>
        <v>10302965</v>
      </c>
      <c r="X18" s="303" t="s">
        <v>178</v>
      </c>
      <c r="Y18" s="6">
        <f>SUM(Y6:Y17)</f>
        <v>22</v>
      </c>
      <c r="Z18" s="6">
        <f t="shared" ref="Z18:AB18" si="9">SUM(Z6:Z17)</f>
        <v>41</v>
      </c>
      <c r="AA18" s="6">
        <f t="shared" si="9"/>
        <v>73</v>
      </c>
      <c r="AB18" s="6">
        <f t="shared" si="9"/>
        <v>82</v>
      </c>
      <c r="AC18" s="263">
        <f t="shared" ref="AC18:AD18" si="10">SUM(Y18:AB18)</f>
        <v>218</v>
      </c>
      <c r="AD18" s="263">
        <f t="shared" si="10"/>
        <v>414</v>
      </c>
      <c r="AE18" s="224">
        <f>SUM(AE6:AE17)</f>
        <v>8400000</v>
      </c>
      <c r="AF18" s="224">
        <f>SUM(AF6:AF17)</f>
        <v>261656</v>
      </c>
      <c r="AG18" s="224">
        <f>SUM(AG6:AG17)</f>
        <v>8661656</v>
      </c>
      <c r="AI18" s="303" t="s">
        <v>178</v>
      </c>
      <c r="AJ18" s="6">
        <f>SUM(AJ6:AJ17)</f>
        <v>14</v>
      </c>
      <c r="AK18" s="6">
        <f t="shared" ref="AK18:AM18" si="11">SUM(AK6:AK17)</f>
        <v>27</v>
      </c>
      <c r="AL18" s="6">
        <f t="shared" si="11"/>
        <v>27</v>
      </c>
      <c r="AM18" s="6">
        <f t="shared" si="11"/>
        <v>11</v>
      </c>
      <c r="AN18" s="215">
        <f t="shared" ref="AN18:AO18" si="12">SUM(AJ18:AM18)</f>
        <v>79</v>
      </c>
      <c r="AO18" s="215">
        <f t="shared" si="12"/>
        <v>144</v>
      </c>
      <c r="AP18" s="224">
        <f>SUM(AP6:AP17)</f>
        <v>5775000</v>
      </c>
      <c r="AQ18" s="224">
        <f>SUM(AQ6:AQ17)</f>
        <v>158807</v>
      </c>
      <c r="AR18" s="224">
        <f>SUM(AR6:AR17)</f>
        <v>5933807</v>
      </c>
      <c r="AT18" s="303" t="s">
        <v>178</v>
      </c>
      <c r="AU18" s="6">
        <f>SUM(AU6:AU17)</f>
        <v>6</v>
      </c>
      <c r="AV18" s="6">
        <f t="shared" ref="AV18:AX18" si="13">SUM(AV6:AV17)</f>
        <v>13</v>
      </c>
      <c r="AW18" s="6">
        <f t="shared" si="13"/>
        <v>23</v>
      </c>
      <c r="AX18" s="6">
        <f t="shared" si="13"/>
        <v>23</v>
      </c>
      <c r="AY18" s="263">
        <f t="shared" ref="AY18:AZ18" si="14">SUM(AU18:AX18)</f>
        <v>65</v>
      </c>
      <c r="AZ18" s="263">
        <f t="shared" si="14"/>
        <v>124</v>
      </c>
      <c r="BA18" s="224">
        <f>SUM(BA6:BA17)</f>
        <v>6300000</v>
      </c>
      <c r="BB18" s="224">
        <f>SUM(BB6:BB17)</f>
        <v>173244</v>
      </c>
      <c r="BC18" s="224">
        <f>SUM(BC6:BC17)</f>
        <v>6473244</v>
      </c>
    </row>
    <row r="21" spans="2:55" ht="27.75" customHeight="1">
      <c r="D21" s="306"/>
      <c r="E21" s="306"/>
      <c r="F21" s="306"/>
      <c r="G21" s="306"/>
      <c r="H21" s="306"/>
      <c r="I21" s="306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3" spans="2:55" ht="16.5">
      <c r="B23" s="179"/>
      <c r="C23" s="181"/>
    </row>
    <row r="24" spans="2:55" ht="16.5">
      <c r="B24" s="182"/>
    </row>
    <row r="25" spans="2:55" ht="16.5">
      <c r="B25" s="182"/>
    </row>
    <row r="26" spans="2:55" ht="16.5">
      <c r="B26" s="182"/>
    </row>
    <row r="27" spans="2:55" ht="16.5">
      <c r="B27" s="182"/>
    </row>
    <row r="28" spans="2:55" ht="16.5">
      <c r="B28" s="182"/>
    </row>
    <row r="29" spans="2:55" ht="16.5">
      <c r="B29" s="182"/>
    </row>
    <row r="30" spans="2:55" ht="16.5">
      <c r="B30" s="182"/>
    </row>
    <row r="31" spans="2:55" ht="16.5">
      <c r="B31" s="182"/>
    </row>
    <row r="32" spans="2:55" ht="16.5">
      <c r="B32" s="182"/>
    </row>
    <row r="33" spans="2:2" ht="16.5">
      <c r="B33" s="182"/>
    </row>
    <row r="34" spans="2:2" ht="16.5">
      <c r="B34" s="182"/>
    </row>
    <row r="35" spans="2:2" ht="16.5">
      <c r="B35" s="264" t="s">
        <v>160</v>
      </c>
    </row>
    <row r="36" spans="2:2">
      <c r="B36" s="303" t="s">
        <v>178</v>
      </c>
    </row>
  </sheetData>
  <mergeCells count="1">
    <mergeCell ref="D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F01E-FDB2-4615-84AE-235D00FBB3F8}">
  <dimension ref="B2:AA60"/>
  <sheetViews>
    <sheetView topLeftCell="I2" workbookViewId="0">
      <selection activeCell="I2" sqref="I2"/>
    </sheetView>
  </sheetViews>
  <sheetFormatPr defaultRowHeight="15"/>
  <cols>
    <col min="2" max="2" width="25.85546875" customWidth="1"/>
    <col min="3" max="3" width="30.7109375" bestFit="1" customWidth="1"/>
    <col min="4" max="4" width="32" bestFit="1" customWidth="1"/>
    <col min="5" max="5" width="37.5703125" bestFit="1" customWidth="1"/>
    <col min="6" max="7" width="26.5703125" customWidth="1"/>
    <col min="8" max="8" width="30.7109375" bestFit="1" customWidth="1"/>
    <col min="9" max="9" width="32" bestFit="1" customWidth="1"/>
    <col min="10" max="10" width="37.5703125" bestFit="1" customWidth="1"/>
    <col min="12" max="12" width="11" bestFit="1" customWidth="1"/>
    <col min="13" max="13" width="30.7109375" bestFit="1" customWidth="1"/>
    <col min="14" max="14" width="32" bestFit="1" customWidth="1"/>
    <col min="15" max="15" width="37.5703125" bestFit="1" customWidth="1"/>
    <col min="17" max="17" width="14.28515625" customWidth="1"/>
    <col min="18" max="18" width="30.7109375" bestFit="1" customWidth="1"/>
    <col min="19" max="19" width="32" bestFit="1" customWidth="1"/>
    <col min="20" max="20" width="37.5703125" bestFit="1" customWidth="1"/>
    <col min="23" max="23" width="30.7109375" bestFit="1" customWidth="1"/>
    <col min="24" max="24" width="32" bestFit="1" customWidth="1"/>
    <col min="25" max="25" width="37.5703125" bestFit="1" customWidth="1"/>
  </cols>
  <sheetData>
    <row r="2" spans="2:27" ht="15" customHeight="1">
      <c r="B2" s="277"/>
      <c r="C2" s="278"/>
      <c r="D2" s="272" t="s">
        <v>22</v>
      </c>
      <c r="E2" s="272" t="s">
        <v>23</v>
      </c>
      <c r="F2" s="272" t="s">
        <v>24</v>
      </c>
    </row>
    <row r="3" spans="2:27" ht="15" customHeight="1">
      <c r="B3" s="279" t="s">
        <v>19</v>
      </c>
      <c r="C3" s="280"/>
      <c r="D3" s="189">
        <f>'base de dados'!G19</f>
        <v>15000</v>
      </c>
      <c r="E3" s="189">
        <f>'base de dados'!G20</f>
        <v>16000</v>
      </c>
      <c r="F3" s="189">
        <f>'base de dados'!G21</f>
        <v>19000</v>
      </c>
    </row>
    <row r="4" spans="2:27" ht="15" customHeight="1">
      <c r="B4" s="279" t="s">
        <v>20</v>
      </c>
      <c r="C4" s="280"/>
      <c r="D4" s="189">
        <f>'base de dados'!H19</f>
        <v>80000</v>
      </c>
      <c r="E4" s="189">
        <f>'base de dados'!H20</f>
        <v>90000</v>
      </c>
      <c r="F4" s="189">
        <f>'base de dados'!H21</f>
        <v>100000</v>
      </c>
      <c r="L4" s="268"/>
    </row>
    <row r="5" spans="2:27" ht="15" customHeight="1">
      <c r="B5" s="279" t="s">
        <v>21</v>
      </c>
      <c r="C5" s="280"/>
      <c r="D5" s="189">
        <f>'base de dados'!I19</f>
        <v>68500</v>
      </c>
      <c r="E5" s="189">
        <f>'base de dados'!I20</f>
        <v>78500</v>
      </c>
      <c r="F5" s="189">
        <f>'base de dados'!I21</f>
        <v>82500</v>
      </c>
    </row>
    <row r="6" spans="2:27" ht="15" customHeight="1"/>
    <row r="7" spans="2:27" ht="15" customHeight="1">
      <c r="G7" s="70"/>
      <c r="H7" s="254"/>
      <c r="I7" s="254"/>
      <c r="J7" s="254"/>
    </row>
    <row r="8" spans="2:27" ht="15" customHeight="1">
      <c r="G8" s="268"/>
      <c r="H8" s="253"/>
      <c r="I8" s="253"/>
    </row>
    <row r="9" spans="2:27" ht="51.75" customHeight="1">
      <c r="D9" s="276" t="s">
        <v>187</v>
      </c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</row>
    <row r="10" spans="2:27" ht="15" customHeight="1">
      <c r="G10" s="268"/>
      <c r="H10" s="253"/>
      <c r="I10" s="253"/>
    </row>
    <row r="11" spans="2:27" ht="15" customHeight="1">
      <c r="G11" s="268"/>
      <c r="H11" s="253"/>
    </row>
    <row r="12" spans="2:27" ht="16.5">
      <c r="B12" s="225" t="s">
        <v>173</v>
      </c>
      <c r="C12" s="226" t="s">
        <v>22</v>
      </c>
      <c r="D12" s="227" t="s">
        <v>23</v>
      </c>
      <c r="E12" s="227" t="s">
        <v>24</v>
      </c>
      <c r="F12" s="228"/>
      <c r="G12" s="271" t="s">
        <v>174</v>
      </c>
      <c r="H12" s="269" t="s">
        <v>22</v>
      </c>
      <c r="I12" s="227" t="s">
        <v>23</v>
      </c>
      <c r="J12" s="227" t="s">
        <v>24</v>
      </c>
      <c r="K12" s="228"/>
      <c r="L12" s="225" t="s">
        <v>146</v>
      </c>
      <c r="M12" s="226" t="s">
        <v>22</v>
      </c>
      <c r="N12" s="227" t="s">
        <v>23</v>
      </c>
      <c r="O12" s="227" t="s">
        <v>24</v>
      </c>
      <c r="P12" s="228"/>
      <c r="Q12" s="225" t="s">
        <v>188</v>
      </c>
      <c r="R12" s="226" t="s">
        <v>22</v>
      </c>
      <c r="S12" s="227" t="s">
        <v>23</v>
      </c>
      <c r="T12" s="227" t="s">
        <v>24</v>
      </c>
      <c r="U12" s="228"/>
      <c r="V12" s="225" t="s">
        <v>148</v>
      </c>
      <c r="W12" s="226" t="s">
        <v>22</v>
      </c>
      <c r="X12" s="227" t="s">
        <v>23</v>
      </c>
      <c r="Y12" s="227" t="s">
        <v>24</v>
      </c>
      <c r="Z12" s="212"/>
      <c r="AA12" s="212"/>
    </row>
    <row r="13" spans="2:27" ht="16.5">
      <c r="B13" s="223" t="s">
        <v>149</v>
      </c>
      <c r="C13" s="190">
        <f>'Equipe e infraestrutura'!C7*D$3</f>
        <v>15000</v>
      </c>
      <c r="D13" s="190">
        <f>'Equipe e infraestrutura'!D7*'base de dados'!$G$20</f>
        <v>32000</v>
      </c>
      <c r="E13" s="190">
        <f>'Equipe e infraestrutura'!E7*$F$3</f>
        <v>114000</v>
      </c>
      <c r="F13" s="228"/>
      <c r="G13" s="270" t="s">
        <v>149</v>
      </c>
      <c r="H13" s="190">
        <f>'Equipe e infraestrutura'!H7*D$3</f>
        <v>45000</v>
      </c>
      <c r="I13" s="190">
        <f>'Equipe e infraestrutura'!I7*'base de dados'!$G$20</f>
        <v>80000</v>
      </c>
      <c r="J13" s="190">
        <f>'Equipe e infraestrutura'!J7*'base de dados'!$G$21</f>
        <v>304000</v>
      </c>
      <c r="K13" s="228"/>
      <c r="L13" s="223" t="s">
        <v>149</v>
      </c>
      <c r="M13" s="190">
        <f>'Equipe e infraestrutura'!M7*'base de dados'!$G$19</f>
        <v>30000</v>
      </c>
      <c r="N13" s="190">
        <f>'Equipe e infraestrutura'!N7*'base de dados'!$G$20</f>
        <v>48000</v>
      </c>
      <c r="O13" s="190">
        <f>'Equipe e infraestrutura'!O7*'base de dados'!$G$21</f>
        <v>114000</v>
      </c>
      <c r="P13" s="228"/>
      <c r="Q13" s="223" t="s">
        <v>149</v>
      </c>
      <c r="R13" s="190">
        <f>'Equipe e infraestrutura'!R7*'base de dados'!$G$19</f>
        <v>15000</v>
      </c>
      <c r="S13" s="190">
        <f>'Equipe e infraestrutura'!S7*'base de dados'!$G$20</f>
        <v>32000</v>
      </c>
      <c r="T13" s="190">
        <f>'Equipe e infraestrutura'!T7*'base de dados'!$G$21</f>
        <v>38000</v>
      </c>
      <c r="U13" s="228"/>
      <c r="V13" s="223" t="s">
        <v>149</v>
      </c>
      <c r="W13" s="190">
        <f>'Equipe e infraestrutura'!W7*'base de dados'!$G$19</f>
        <v>15000</v>
      </c>
      <c r="X13" s="190">
        <f>'Equipe e infraestrutura'!X7*'base de dados'!$G$20</f>
        <v>16000</v>
      </c>
      <c r="Y13" s="190">
        <f>'Equipe e infraestrutura'!Y7*'base de dados'!$G$21</f>
        <v>19000</v>
      </c>
      <c r="Z13" s="212"/>
      <c r="AA13" s="212"/>
    </row>
    <row r="14" spans="2:27" ht="16.5">
      <c r="B14" s="223" t="s">
        <v>150</v>
      </c>
      <c r="C14" s="190">
        <f>IF('Equipe e infraestrutura'!C7&gt;'Equipe e infraestrutura'!C8,0,('Equipe e infraestrutura'!C8-'Equipe e infraestrutura'!C7)*D$3)</f>
        <v>15000</v>
      </c>
      <c r="D14" s="190">
        <f>IF('Equipe e infraestrutura'!D7&gt;'Equipe e infraestrutura'!D8,0,('Equipe e infraestrutura'!D8-'Equipe e infraestrutura'!D7)*E$3)</f>
        <v>16000</v>
      </c>
      <c r="E14" s="190">
        <f>IF('Equipe e infraestrutura'!E7&gt;'Equipe e infraestrutura'!E8,0,('Equipe e infraestrutura'!E8-'Equipe e infraestrutura'!E7)*F$3)</f>
        <v>171000</v>
      </c>
      <c r="F14" s="228"/>
      <c r="G14" s="223" t="s">
        <v>150</v>
      </c>
      <c r="H14" s="190">
        <f>IF('Equipe e infraestrutura'!H7&gt;'Equipe e infraestrutura'!H8,0,('Equipe e infraestrutura'!H8-'Equipe e infraestrutura'!H7)*D$3)</f>
        <v>15000</v>
      </c>
      <c r="I14" s="190">
        <f>IF('Equipe e infraestrutura'!I7&gt;'Equipe e infraestrutura'!I8,0,('Equipe e infraestrutura'!I8-'Equipe e infraestrutura'!I7)*E$3)</f>
        <v>32000</v>
      </c>
      <c r="J14" s="190">
        <f>IF('Equipe e infraestrutura'!J7&gt;'Equipe e infraestrutura'!J8,0,('Equipe e infraestrutura'!J8-'Equipe e infraestrutura'!J7)*F$3)</f>
        <v>513000</v>
      </c>
      <c r="K14" s="228"/>
      <c r="L14" s="223" t="s">
        <v>150</v>
      </c>
      <c r="M14" s="190">
        <f>IF('Equipe e infraestrutura'!M7&gt;'Equipe e infraestrutura'!M8,0,('Equipe e infraestrutura'!M8-'Equipe e infraestrutura'!M7)*D$3)</f>
        <v>0</v>
      </c>
      <c r="N14" s="190">
        <f>IF('Equipe e infraestrutura'!N7&gt;'Equipe e infraestrutura'!N8,0,('Equipe e infraestrutura'!N8-'Equipe e infraestrutura'!N7)*E$3)</f>
        <v>16000</v>
      </c>
      <c r="O14" s="190">
        <f>IF('Equipe e infraestrutura'!O7&gt;'Equipe e infraestrutura'!O8,0,('Equipe e infraestrutura'!O8-'Equipe e infraestrutura'!O7)*F$3)</f>
        <v>133000</v>
      </c>
      <c r="P14" s="228"/>
      <c r="Q14" s="223" t="s">
        <v>150</v>
      </c>
      <c r="R14" s="190">
        <f>IF('Equipe e infraestrutura'!R7&gt;'Equipe e infraestrutura'!R8,0,('Equipe e infraestrutura'!R8-'Equipe e infraestrutura'!R7)*D$3)</f>
        <v>0</v>
      </c>
      <c r="S14" s="190">
        <f>IF('Equipe e infraestrutura'!S7&gt;'Equipe e infraestrutura'!S8,0,('Equipe e infraestrutura'!S8-'Equipe e infraestrutura'!S7)*E$3)</f>
        <v>0</v>
      </c>
      <c r="T14" s="190">
        <f>IF('Equipe e infraestrutura'!T7&gt;'Equipe e infraestrutura'!T8,0,('Equipe e infraestrutura'!T8-'Equipe e infraestrutura'!T7)*F$3)</f>
        <v>57000</v>
      </c>
      <c r="U14" s="228"/>
      <c r="V14" s="223" t="s">
        <v>150</v>
      </c>
      <c r="W14" s="190">
        <f>IF('Equipe e infraestrutura'!W7&gt;'Equipe e infraestrutura'!W8,0,('Equipe e infraestrutura'!W8-'Equipe e infraestrutura'!W7)*D$3)</f>
        <v>0</v>
      </c>
      <c r="X14" s="190">
        <f>IF('Equipe e infraestrutura'!X7&gt;'Equipe e infraestrutura'!X8,0,('Equipe e infraestrutura'!X8-'Equipe e infraestrutura'!X7)*E$3)</f>
        <v>0</v>
      </c>
      <c r="Y14" s="190">
        <f>IF('Equipe e infraestrutura'!Y7&gt;'Equipe e infraestrutura'!Y8,0,('Equipe e infraestrutura'!Y8-'Equipe e infraestrutura'!Y7)*F$3)</f>
        <v>57000</v>
      </c>
      <c r="Z14" s="212"/>
      <c r="AA14" s="212"/>
    </row>
    <row r="15" spans="2:27" ht="16.5">
      <c r="B15" s="223" t="s">
        <v>151</v>
      </c>
      <c r="C15" s="190">
        <f>IF('Equipe e infraestrutura'!C8&gt;'Equipe e infraestrutura'!C9,0,('Equipe e infraestrutura'!C9-'Equipe e infraestrutura'!C8)*D$3)</f>
        <v>0</v>
      </c>
      <c r="D15" s="190">
        <f>IF('Equipe e infraestrutura'!D8&gt;'Equipe e infraestrutura'!D9,0,('Equipe e infraestrutura'!D9-'Equipe e infraestrutura'!D8)*E$3)</f>
        <v>0</v>
      </c>
      <c r="E15" s="190">
        <f>IF('Equipe e infraestrutura'!E8&gt;'Equipe e infraestrutura'!E9,0,('Equipe e infraestrutura'!E9-'Equipe e infraestrutura'!E8)*F$3)</f>
        <v>0</v>
      </c>
      <c r="F15" s="228"/>
      <c r="G15" s="223" t="s">
        <v>151</v>
      </c>
      <c r="H15" s="190">
        <f>IF('Equipe e infraestrutura'!H8&gt;'Equipe e infraestrutura'!H9,0,('Equipe e infraestrutura'!H9-'Equipe e infraestrutura'!H8)*D$3)</f>
        <v>0</v>
      </c>
      <c r="I15" s="190">
        <f>IF('Equipe e infraestrutura'!I8&gt;'Equipe e infraestrutura'!I9,0,('Equipe e infraestrutura'!I9-'Equipe e infraestrutura'!I8)*E$3)</f>
        <v>0</v>
      </c>
      <c r="J15" s="190">
        <f>IF('Equipe e infraestrutura'!J8&gt;'Equipe e infraestrutura'!J9,0,('Equipe e infraestrutura'!J9-'Equipe e infraestrutura'!J8)*F$3)</f>
        <v>0</v>
      </c>
      <c r="K15" s="228"/>
      <c r="L15" s="223" t="s">
        <v>151</v>
      </c>
      <c r="M15" s="190">
        <f>IF('Equipe e infraestrutura'!M8&gt;'Equipe e infraestrutura'!M9,0,('Equipe e infraestrutura'!M9-'Equipe e infraestrutura'!M8)*D$3)</f>
        <v>0</v>
      </c>
      <c r="N15" s="190">
        <f>IF('Equipe e infraestrutura'!N8&gt;'Equipe e infraestrutura'!N9,0,('Equipe e infraestrutura'!N9-'Equipe e infraestrutura'!N8)*E$3)</f>
        <v>0</v>
      </c>
      <c r="O15" s="190">
        <f>IF('Equipe e infraestrutura'!O8&gt;'Equipe e infraestrutura'!O9,0,('Equipe e infraestrutura'!O9-'Equipe e infraestrutura'!O8)*F$3)</f>
        <v>0</v>
      </c>
      <c r="P15" s="228"/>
      <c r="Q15" s="223" t="s">
        <v>151</v>
      </c>
      <c r="R15" s="190">
        <f>IF('Equipe e infraestrutura'!R8&gt;'Equipe e infraestrutura'!R9,0,('Equipe e infraestrutura'!R9-'Equipe e infraestrutura'!R8)*D$3)</f>
        <v>0</v>
      </c>
      <c r="S15" s="190">
        <f>IF('Equipe e infraestrutura'!S8&gt;'Equipe e infraestrutura'!S9,0,('Equipe e infraestrutura'!S9-'Equipe e infraestrutura'!S8)*E$3)</f>
        <v>0</v>
      </c>
      <c r="T15" s="190">
        <f>IF('Equipe e infraestrutura'!T8&gt;'Equipe e infraestrutura'!T9,0,('Equipe e infraestrutura'!T9-'Equipe e infraestrutura'!T8)*F$3)</f>
        <v>0</v>
      </c>
      <c r="U15" s="228"/>
      <c r="V15" s="223" t="s">
        <v>151</v>
      </c>
      <c r="W15" s="190">
        <f>IF('Equipe e infraestrutura'!W8&gt;'Equipe e infraestrutura'!W9,0,('Equipe e infraestrutura'!W9-'Equipe e infraestrutura'!W8)*D$3)</f>
        <v>0</v>
      </c>
      <c r="X15" s="190">
        <f>IF('Equipe e infraestrutura'!X8&gt;'Equipe e infraestrutura'!X9,0,('Equipe e infraestrutura'!X9-'Equipe e infraestrutura'!X8)*E$3)</f>
        <v>0</v>
      </c>
      <c r="Y15" s="190">
        <f>IF('Equipe e infraestrutura'!Y8&gt;'Equipe e infraestrutura'!Y9,0,('Equipe e infraestrutura'!Y9-'Equipe e infraestrutura'!Y8)*F$3)</f>
        <v>0</v>
      </c>
      <c r="Z15" s="212"/>
      <c r="AA15" s="212"/>
    </row>
    <row r="16" spans="2:27" ht="16.5">
      <c r="B16" s="223" t="s">
        <v>152</v>
      </c>
      <c r="C16" s="190">
        <f>IF('Equipe e infraestrutura'!C9&gt;'Equipe e infraestrutura'!C10,0,('Equipe e infraestrutura'!C10-'Equipe e infraestrutura'!C9)*D$3)</f>
        <v>15000</v>
      </c>
      <c r="D16" s="190">
        <f>IF('Equipe e infraestrutura'!D9&gt;'Equipe e infraestrutura'!D10,0,('Equipe e infraestrutura'!D10-'Equipe e infraestrutura'!D9)*E$3)</f>
        <v>48000</v>
      </c>
      <c r="E16" s="190">
        <f>IF('Equipe e infraestrutura'!E9&gt;'Equipe e infraestrutura'!E10,0,('Equipe e infraestrutura'!E10-'Equipe e infraestrutura'!E9)*F$3)</f>
        <v>399000</v>
      </c>
      <c r="F16" s="228"/>
      <c r="G16" s="223" t="s">
        <v>152</v>
      </c>
      <c r="H16" s="190">
        <f>IF('Equipe e infraestrutura'!H9&gt;'Equipe e infraestrutura'!H10,0,('Equipe e infraestrutura'!H10-'Equipe e infraestrutura'!H9)*D$3)</f>
        <v>75000</v>
      </c>
      <c r="I16" s="190">
        <f>IF('Equipe e infraestrutura'!I9&gt;'Equipe e infraestrutura'!I10,0,('Equipe e infraestrutura'!I10-'Equipe e infraestrutura'!I9)*E$3)</f>
        <v>160000</v>
      </c>
      <c r="J16" s="190">
        <f>IF('Equipe e infraestrutura'!J9&gt;'Equipe e infraestrutura'!J10,0,('Equipe e infraestrutura'!J10-'Equipe e infraestrutura'!J9)*F$3)</f>
        <v>1140000</v>
      </c>
      <c r="K16" s="228"/>
      <c r="L16" s="223" t="s">
        <v>152</v>
      </c>
      <c r="M16" s="190">
        <f>IF('Equipe e infraestrutura'!M9&gt;'Equipe e infraestrutura'!M10,0,('Equipe e infraestrutura'!M10-'Equipe e infraestrutura'!M9)*D$3)</f>
        <v>30000</v>
      </c>
      <c r="N16" s="190">
        <f>IF('Equipe e infraestrutura'!N9&gt;'Equipe e infraestrutura'!N10,0,('Equipe e infraestrutura'!N10-'Equipe e infraestrutura'!N9)*E$3)</f>
        <v>80000</v>
      </c>
      <c r="O16" s="190">
        <f>IF('Equipe e infraestrutura'!O9&gt;'Equipe e infraestrutura'!O10,0,('Equipe e infraestrutura'!O10-'Equipe e infraestrutura'!O9)*F$3)</f>
        <v>323000</v>
      </c>
      <c r="P16" s="228"/>
      <c r="Q16" s="223" t="s">
        <v>152</v>
      </c>
      <c r="R16" s="190">
        <f>IF('Equipe e infraestrutura'!R9&gt;'Equipe e infraestrutura'!R10,0,('Equipe e infraestrutura'!R10-'Equipe e infraestrutura'!R9)*D$3)</f>
        <v>0</v>
      </c>
      <c r="S16" s="190">
        <f>IF('Equipe e infraestrutura'!S9&gt;'Equipe e infraestrutura'!S10,0,('Equipe e infraestrutura'!S10-'Equipe e infraestrutura'!S9)*E$3)</f>
        <v>16000</v>
      </c>
      <c r="T16" s="190">
        <f>IF('Equipe e infraestrutura'!T9&gt;'Equipe e infraestrutura'!T10,0,('Equipe e infraestrutura'!T10-'Equipe e infraestrutura'!T9)*F$3)</f>
        <v>133000</v>
      </c>
      <c r="U16" s="228"/>
      <c r="V16" s="223" t="s">
        <v>152</v>
      </c>
      <c r="W16" s="190">
        <f>IF('Equipe e infraestrutura'!W9&gt;'Equipe e infraestrutura'!W10,0,('Equipe e infraestrutura'!W10-'Equipe e infraestrutura'!W9)*D$3)</f>
        <v>0</v>
      </c>
      <c r="X16" s="190">
        <f>IF('Equipe e infraestrutura'!X9&gt;'Equipe e infraestrutura'!X10,0,('Equipe e infraestrutura'!X10-'Equipe e infraestrutura'!X9)*E$3)</f>
        <v>16000</v>
      </c>
      <c r="Y16" s="190">
        <f>IF('Equipe e infraestrutura'!Y9&gt;'Equipe e infraestrutura'!Y10,0,('Equipe e infraestrutura'!Y10-'Equipe e infraestrutura'!Y9)*F$3)</f>
        <v>114000</v>
      </c>
      <c r="Z16" s="212"/>
      <c r="AA16" s="212"/>
    </row>
    <row r="17" spans="2:27" ht="16.5">
      <c r="B17" s="223" t="s">
        <v>153</v>
      </c>
      <c r="C17" s="190">
        <f>IF('Equipe e infraestrutura'!C10&gt;'Equipe e infraestrutura'!C11,0,('Equipe e infraestrutura'!C11-'Equipe e infraestrutura'!C10)*D$3)</f>
        <v>0</v>
      </c>
      <c r="D17" s="190">
        <f>IF('Equipe e infraestrutura'!D10&gt;'Equipe e infraestrutura'!D11,0,('Equipe e infraestrutura'!D11-'Equipe e infraestrutura'!D10)*E$3)</f>
        <v>0</v>
      </c>
      <c r="E17" s="190">
        <f>IF('Equipe e infraestrutura'!E10&gt;'Equipe e infraestrutura'!E11,0,('Equipe e infraestrutura'!E11-'Equipe e infraestrutura'!E10)*F$3)</f>
        <v>0</v>
      </c>
      <c r="F17" s="228"/>
      <c r="G17" s="223" t="s">
        <v>153</v>
      </c>
      <c r="H17" s="190">
        <f>IF('Equipe e infraestrutura'!H10&gt;'Equipe e infraestrutura'!H11,0,('Equipe e infraestrutura'!H11-'Equipe e infraestrutura'!H10)*D$3)</f>
        <v>0</v>
      </c>
      <c r="I17" s="190">
        <f>IF('Equipe e infraestrutura'!I10&gt;'Equipe e infraestrutura'!I11,0,('Equipe e infraestrutura'!I11-'Equipe e infraestrutura'!I10)*E$3)</f>
        <v>0</v>
      </c>
      <c r="J17" s="190">
        <f>IF('Equipe e infraestrutura'!J10&gt;'Equipe e infraestrutura'!J11,0,('Equipe e infraestrutura'!J11-'Equipe e infraestrutura'!J10)*F$3)</f>
        <v>0</v>
      </c>
      <c r="K17" s="228"/>
      <c r="L17" s="223" t="s">
        <v>153</v>
      </c>
      <c r="M17" s="190">
        <f>IF('Equipe e infraestrutura'!M10&gt;'Equipe e infraestrutura'!M11,0,('Equipe e infraestrutura'!M11-'Equipe e infraestrutura'!M10)*D$3)</f>
        <v>0</v>
      </c>
      <c r="N17" s="190">
        <f>IF('Equipe e infraestrutura'!N10&gt;'Equipe e infraestrutura'!N11,0,('Equipe e infraestrutura'!N11-'Equipe e infraestrutura'!N10)*E$3)</f>
        <v>0</v>
      </c>
      <c r="O17" s="190">
        <f>IF('Equipe e infraestrutura'!O10&gt;'Equipe e infraestrutura'!O11,0,('Equipe e infraestrutura'!O11-'Equipe e infraestrutura'!O10)*F$3)</f>
        <v>0</v>
      </c>
      <c r="P17" s="228"/>
      <c r="Q17" s="223" t="s">
        <v>153</v>
      </c>
      <c r="R17" s="190">
        <f>IF('Equipe e infraestrutura'!R10&gt;'Equipe e infraestrutura'!R11,0,('Equipe e infraestrutura'!R11-'Equipe e infraestrutura'!R10)*D$3)</f>
        <v>0</v>
      </c>
      <c r="S17" s="190">
        <f>IF('Equipe e infraestrutura'!S10&gt;'Equipe e infraestrutura'!S11,0,('Equipe e infraestrutura'!S11-'Equipe e infraestrutura'!S10)*E$3)</f>
        <v>0</v>
      </c>
      <c r="T17" s="190">
        <f>IF('Equipe e infraestrutura'!T10&gt;'Equipe e infraestrutura'!T11,0,('Equipe e infraestrutura'!T11-'Equipe e infraestrutura'!T10)*F$3)</f>
        <v>0</v>
      </c>
      <c r="U17" s="228"/>
      <c r="V17" s="223" t="s">
        <v>153</v>
      </c>
      <c r="W17" s="190">
        <f>IF('Equipe e infraestrutura'!W10&gt;'Equipe e infraestrutura'!W11,0,('Equipe e infraestrutura'!W11-'Equipe e infraestrutura'!W10)*D$3)</f>
        <v>0</v>
      </c>
      <c r="X17" s="190">
        <f>IF('Equipe e infraestrutura'!X10&gt;'Equipe e infraestrutura'!X11,0,('Equipe e infraestrutura'!X11-'Equipe e infraestrutura'!X10)*E$3)</f>
        <v>0</v>
      </c>
      <c r="Y17" s="190">
        <f>IF('Equipe e infraestrutura'!Y10&gt;'Equipe e infraestrutura'!Y11,0,('Equipe e infraestrutura'!Y11-'Equipe e infraestrutura'!Y10)*F$3)</f>
        <v>0</v>
      </c>
      <c r="Z17" s="212"/>
      <c r="AA17" s="212"/>
    </row>
    <row r="18" spans="2:27" ht="16.5">
      <c r="B18" s="223" t="s">
        <v>154</v>
      </c>
      <c r="C18" s="190">
        <f>IF('Equipe e infraestrutura'!C11&gt;'Equipe e infraestrutura'!C12,0,('Equipe e infraestrutura'!C12-'Equipe e infraestrutura'!C11)*D$3)</f>
        <v>15000</v>
      </c>
      <c r="D18" s="190">
        <f>IF('Equipe e infraestrutura'!D11&gt;'Equipe e infraestrutura'!D12,0,('Equipe e infraestrutura'!D12-'Equipe e infraestrutura'!D11)*E$3)</f>
        <v>16000</v>
      </c>
      <c r="E18" s="190">
        <f>IF('Equipe e infraestrutura'!E11&gt;'Equipe e infraestrutura'!E12,0,('Equipe e infraestrutura'!E12-'Equipe e infraestrutura'!E11)*F$3)</f>
        <v>133000</v>
      </c>
      <c r="F18" s="228"/>
      <c r="G18" s="223" t="s">
        <v>154</v>
      </c>
      <c r="H18" s="190">
        <f>IF('Equipe e infraestrutura'!H11&gt;'Equipe e infraestrutura'!H12,0,('Equipe e infraestrutura'!H12-'Equipe e infraestrutura'!H11)*D$3)</f>
        <v>30000</v>
      </c>
      <c r="I18" s="190">
        <f>IF('Equipe e infraestrutura'!I11&gt;'Equipe e infraestrutura'!I12,0,('Equipe e infraestrutura'!I12-'Equipe e infraestrutura'!I11)*E$3)</f>
        <v>64000</v>
      </c>
      <c r="J18" s="190">
        <f>IF('Equipe e infraestrutura'!J11&gt;'Equipe e infraestrutura'!J12,0,('Equipe e infraestrutura'!J12-'Equipe e infraestrutura'!J11)*F$3)</f>
        <v>361000</v>
      </c>
      <c r="K18" s="228"/>
      <c r="L18" s="223" t="s">
        <v>154</v>
      </c>
      <c r="M18" s="190">
        <f>IF('Equipe e infraestrutura'!M11&gt;'Equipe e infraestrutura'!M12,0,('Equipe e infraestrutura'!M12-'Equipe e infraestrutura'!M11)*D$3)</f>
        <v>15000</v>
      </c>
      <c r="N18" s="190">
        <f>IF('Equipe e infraestrutura'!N11&gt;'Equipe e infraestrutura'!N12,0,('Equipe e infraestrutura'!N12-'Equipe e infraestrutura'!N11)*E$3)</f>
        <v>32000</v>
      </c>
      <c r="O18" s="190">
        <f>IF('Equipe e infraestrutura'!O11&gt;'Equipe e infraestrutura'!O12,0,('Equipe e infraestrutura'!O12-'Equipe e infraestrutura'!O11)*F$3)</f>
        <v>95000</v>
      </c>
      <c r="P18" s="228"/>
      <c r="Q18" s="223" t="s">
        <v>154</v>
      </c>
      <c r="R18" s="190">
        <f>IF('Equipe e infraestrutura'!R11&gt;'Equipe e infraestrutura'!R12,0,('Equipe e infraestrutura'!R12-'Equipe e infraestrutura'!R11)*D$3)</f>
        <v>0</v>
      </c>
      <c r="S18" s="190">
        <f>IF('Equipe e infraestrutura'!S11&gt;'Equipe e infraestrutura'!S12,0,('Equipe e infraestrutura'!S12-'Equipe e infraestrutura'!S11)*E$3)</f>
        <v>0</v>
      </c>
      <c r="T18" s="190">
        <f>IF('Equipe e infraestrutura'!T11&gt;'Equipe e infraestrutura'!T12,0,('Equipe e infraestrutura'!T12-'Equipe e infraestrutura'!T11)*F$3)</f>
        <v>38000</v>
      </c>
      <c r="U18" s="228"/>
      <c r="V18" s="223" t="s">
        <v>154</v>
      </c>
      <c r="W18" s="190">
        <f>IF('Equipe e infraestrutura'!W11&gt;'Equipe e infraestrutura'!W12,0,('Equipe e infraestrutura'!W12-'Equipe e infraestrutura'!W11)*D$3)</f>
        <v>0</v>
      </c>
      <c r="X18" s="190">
        <f>IF('Equipe e infraestrutura'!X11&gt;'Equipe e infraestrutura'!X12,0,('Equipe e infraestrutura'!X12-'Equipe e infraestrutura'!X11)*E$3)</f>
        <v>16000</v>
      </c>
      <c r="Y18" s="190">
        <f>IF('Equipe e infraestrutura'!Y11&gt;'Equipe e infraestrutura'!Y12,0,('Equipe e infraestrutura'!Y12-'Equipe e infraestrutura'!Y11)*F$3)</f>
        <v>38000</v>
      </c>
      <c r="Z18" s="212"/>
      <c r="AA18" s="212"/>
    </row>
    <row r="19" spans="2:27" ht="16.5">
      <c r="B19" s="223" t="s">
        <v>155</v>
      </c>
      <c r="C19" s="190">
        <f>IF('Equipe e infraestrutura'!C12&gt;'Equipe e infraestrutura'!C13,0,('Equipe e infraestrutura'!C13-'Equipe e infraestrutura'!C12)*D$3)</f>
        <v>0</v>
      </c>
      <c r="D19" s="190">
        <f>IF('Equipe e infraestrutura'!D12&gt;'Equipe e infraestrutura'!D13,0,('Equipe e infraestrutura'!D13-'Equipe e infraestrutura'!D12)*E$3)</f>
        <v>16000</v>
      </c>
      <c r="E19" s="190">
        <f>IF('Equipe e infraestrutura'!E12&gt;'Equipe e infraestrutura'!E13,0,('Equipe e infraestrutura'!E13-'Equipe e infraestrutura'!E12)*F$3)</f>
        <v>57000</v>
      </c>
      <c r="F19" s="228"/>
      <c r="G19" s="223" t="s">
        <v>155</v>
      </c>
      <c r="H19" s="190">
        <f>IF('Equipe e infraestrutura'!H12&gt;'Equipe e infraestrutura'!H13,0,('Equipe e infraestrutura'!H13-'Equipe e infraestrutura'!H12)*D$3)</f>
        <v>15000</v>
      </c>
      <c r="I19" s="190">
        <f>IF('Equipe e infraestrutura'!I12&gt;'Equipe e infraestrutura'!I13,0,('Equipe e infraestrutura'!I13-'Equipe e infraestrutura'!I12)*E$3)</f>
        <v>32000</v>
      </c>
      <c r="J19" s="190">
        <f>IF('Equipe e infraestrutura'!J12&gt;'Equipe e infraestrutura'!J13,0,('Equipe e infraestrutura'!J13-'Equipe e infraestrutura'!J12)*F$3)</f>
        <v>266000</v>
      </c>
      <c r="K19" s="228"/>
      <c r="L19" s="223" t="s">
        <v>155</v>
      </c>
      <c r="M19" s="190">
        <f>IF('Equipe e infraestrutura'!M12&gt;'Equipe e infraestrutura'!M13,0,('Equipe e infraestrutura'!M13-'Equipe e infraestrutura'!M12)*D$3)</f>
        <v>0</v>
      </c>
      <c r="N19" s="190">
        <f>IF('Equipe e infraestrutura'!N12&gt;'Equipe e infraestrutura'!N13,0,('Equipe e infraestrutura'!N13-'Equipe e infraestrutura'!N12)*E$3)</f>
        <v>16000</v>
      </c>
      <c r="O19" s="190">
        <f>IF('Equipe e infraestrutura'!O12&gt;'Equipe e infraestrutura'!O13,0,('Equipe e infraestrutura'!O13-'Equipe e infraestrutura'!O12)*F$3)</f>
        <v>95000</v>
      </c>
      <c r="P19" s="228"/>
      <c r="Q19" s="223" t="s">
        <v>155</v>
      </c>
      <c r="R19" s="190">
        <f>IF('Equipe e infraestrutura'!R12&gt;'Equipe e infraestrutura'!R13,0,('Equipe e infraestrutura'!R13-'Equipe e infraestrutura'!R12)*D$3)</f>
        <v>0</v>
      </c>
      <c r="S19" s="190">
        <f>IF('Equipe e infraestrutura'!S12&gt;'Equipe e infraestrutura'!S13,0,('Equipe e infraestrutura'!S13-'Equipe e infraestrutura'!S12)*E$3)</f>
        <v>0</v>
      </c>
      <c r="T19" s="190">
        <f>IF('Equipe e infraestrutura'!T12&gt;'Equipe e infraestrutura'!T13,0,('Equipe e infraestrutura'!T13-'Equipe e infraestrutura'!T12)*F$3)</f>
        <v>38000</v>
      </c>
      <c r="U19" s="228"/>
      <c r="V19" s="223" t="s">
        <v>155</v>
      </c>
      <c r="W19" s="190">
        <f>IF('Equipe e infraestrutura'!W12&gt;'Equipe e infraestrutura'!W13,0,('Equipe e infraestrutura'!W13-'Equipe e infraestrutura'!W12)*D$3)</f>
        <v>0</v>
      </c>
      <c r="X19" s="190">
        <f>IF('Equipe e infraestrutura'!X12&gt;'Equipe e infraestrutura'!X13,0,('Equipe e infraestrutura'!X13-'Equipe e infraestrutura'!X12)*E$3)</f>
        <v>0</v>
      </c>
      <c r="Y19" s="190">
        <f>IF('Equipe e infraestrutura'!Y12&gt;'Equipe e infraestrutura'!Y13,0,('Equipe e infraestrutura'!Y13-'Equipe e infraestrutura'!Y12)*F$3)</f>
        <v>19000</v>
      </c>
      <c r="Z19" s="212"/>
      <c r="AA19" s="212"/>
    </row>
    <row r="20" spans="2:27" ht="16.5">
      <c r="B20" s="223" t="s">
        <v>156</v>
      </c>
      <c r="C20" s="190">
        <f>IF('Equipe e infraestrutura'!C13&gt;'Equipe e infraestrutura'!C14,0,('Equipe e infraestrutura'!C14-'Equipe e infraestrutura'!C13)*D$3)</f>
        <v>0</v>
      </c>
      <c r="D20" s="190">
        <f>IF('Equipe e infraestrutura'!D13&gt;'Equipe e infraestrutura'!D14,0,('Equipe e infraestrutura'!D14-'Equipe e infraestrutura'!D13)*E$3)</f>
        <v>0</v>
      </c>
      <c r="E20" s="190">
        <f>IF('Equipe e infraestrutura'!E13&gt;'Equipe e infraestrutura'!E14,0,('Equipe e infraestrutura'!E14-'Equipe e infraestrutura'!E13)*F$3)</f>
        <v>0</v>
      </c>
      <c r="F20" s="228"/>
      <c r="G20" s="223" t="s">
        <v>156</v>
      </c>
      <c r="H20" s="190">
        <f>IF('Equipe e infraestrutura'!H13&gt;'Equipe e infraestrutura'!H14,0,('Equipe e infraestrutura'!H14-'Equipe e infraestrutura'!H13)*D$3)</f>
        <v>0</v>
      </c>
      <c r="I20" s="190">
        <f>IF('Equipe e infraestrutura'!I13&gt;'Equipe e infraestrutura'!I14,0,('Equipe e infraestrutura'!I14-'Equipe e infraestrutura'!I13)*E$3)</f>
        <v>0</v>
      </c>
      <c r="J20" s="190">
        <f>IF('Equipe e infraestrutura'!J13&gt;'Equipe e infraestrutura'!J14,0,('Equipe e infraestrutura'!J14-'Equipe e infraestrutura'!J13)*F$3)</f>
        <v>0</v>
      </c>
      <c r="K20" s="228"/>
      <c r="L20" s="223" t="s">
        <v>156</v>
      </c>
      <c r="M20" s="190">
        <f>IF('Equipe e infraestrutura'!M13&gt;'Equipe e infraestrutura'!M14,0,('Equipe e infraestrutura'!M14-'Equipe e infraestrutura'!M13)*D$3)</f>
        <v>0</v>
      </c>
      <c r="N20" s="190">
        <f>IF('Equipe e infraestrutura'!N13&gt;'Equipe e infraestrutura'!N14,0,('Equipe e infraestrutura'!N14-'Equipe e infraestrutura'!N13)*E$3)</f>
        <v>0</v>
      </c>
      <c r="O20" s="190">
        <f>IF('Equipe e infraestrutura'!O13&gt;'Equipe e infraestrutura'!O14,0,('Equipe e infraestrutura'!O14-'Equipe e infraestrutura'!O13)*F$3)</f>
        <v>0</v>
      </c>
      <c r="P20" s="228"/>
      <c r="Q20" s="223" t="s">
        <v>156</v>
      </c>
      <c r="R20" s="190">
        <f>IF('Equipe e infraestrutura'!R13&gt;'Equipe e infraestrutura'!R14,0,('Equipe e infraestrutura'!R14-'Equipe e infraestrutura'!R13)*D$3)</f>
        <v>0</v>
      </c>
      <c r="S20" s="190">
        <f>IF('Equipe e infraestrutura'!S13&gt;'Equipe e infraestrutura'!S14,0,('Equipe e infraestrutura'!S14-'Equipe e infraestrutura'!S13)*E$3)</f>
        <v>0</v>
      </c>
      <c r="T20" s="190">
        <f>IF('Equipe e infraestrutura'!T13&gt;'Equipe e infraestrutura'!T14,0,('Equipe e infraestrutura'!T14-'Equipe e infraestrutura'!T13)*F$3)</f>
        <v>0</v>
      </c>
      <c r="U20" s="228"/>
      <c r="V20" s="223" t="s">
        <v>156</v>
      </c>
      <c r="W20" s="190">
        <f>IF('Equipe e infraestrutura'!W13&gt;'Equipe e infraestrutura'!W14,0,('Equipe e infraestrutura'!W14-'Equipe e infraestrutura'!W13)*D$3)</f>
        <v>0</v>
      </c>
      <c r="X20" s="190">
        <f>IF('Equipe e infraestrutura'!X13&gt;'Equipe e infraestrutura'!X14,0,('Equipe e infraestrutura'!X14-'Equipe e infraestrutura'!X13)*E$3)</f>
        <v>0</v>
      </c>
      <c r="Y20" s="190">
        <f>IF('Equipe e infraestrutura'!Y13&gt;'Equipe e infraestrutura'!Y14,0,('Equipe e infraestrutura'!Y14-'Equipe e infraestrutura'!Y13)*F$3)</f>
        <v>0</v>
      </c>
      <c r="Z20" s="212"/>
      <c r="AA20" s="212"/>
    </row>
    <row r="21" spans="2:27" ht="16.5">
      <c r="B21" s="223" t="s">
        <v>157</v>
      </c>
      <c r="C21" s="190">
        <f>IF('Equipe e infraestrutura'!C14&gt;'Equipe e infraestrutura'!C15,0,('Equipe e infraestrutura'!C15-'Equipe e infraestrutura'!C14)*D$3)</f>
        <v>0</v>
      </c>
      <c r="D21" s="190">
        <f>IF('Equipe e infraestrutura'!D14&gt;'Equipe e infraestrutura'!D15,0,('Equipe e infraestrutura'!D15-'Equipe e infraestrutura'!D14)*E$3)</f>
        <v>0</v>
      </c>
      <c r="E21" s="190">
        <f>IF('Equipe e infraestrutura'!E14&gt;'Equipe e infraestrutura'!E15,0,('Equipe e infraestrutura'!E15-'Equipe e infraestrutura'!E14)*F$3)</f>
        <v>0</v>
      </c>
      <c r="F21" s="228"/>
      <c r="G21" s="223" t="s">
        <v>157</v>
      </c>
      <c r="H21" s="190">
        <f>IF('Equipe e infraestrutura'!H14&gt;'Equipe e infraestrutura'!H15,0,('Equipe e infraestrutura'!H15-'Equipe e infraestrutura'!H14)*D$3)</f>
        <v>0</v>
      </c>
      <c r="I21" s="190">
        <f>IF('Equipe e infraestrutura'!I14&gt;'Equipe e infraestrutura'!I15,0,('Equipe e infraestrutura'!I15-'Equipe e infraestrutura'!I14)*E$3)</f>
        <v>0</v>
      </c>
      <c r="J21" s="190">
        <f>IF('Equipe e infraestrutura'!J14&gt;'Equipe e infraestrutura'!J15,0,('Equipe e infraestrutura'!J15-'Equipe e infraestrutura'!J14)*F$3)</f>
        <v>0</v>
      </c>
      <c r="K21" s="228"/>
      <c r="L21" s="223" t="s">
        <v>157</v>
      </c>
      <c r="M21" s="190">
        <f>IF('Equipe e infraestrutura'!M14&gt;'Equipe e infraestrutura'!M15,0,('Equipe e infraestrutura'!M15-'Equipe e infraestrutura'!M14)*D$3)</f>
        <v>0</v>
      </c>
      <c r="N21" s="190">
        <f>IF('Equipe e infraestrutura'!N14&gt;'Equipe e infraestrutura'!N15,0,('Equipe e infraestrutura'!N15-'Equipe e infraestrutura'!N14)*E$3)</f>
        <v>0</v>
      </c>
      <c r="O21" s="190">
        <f>IF('Equipe e infraestrutura'!O14&gt;'Equipe e infraestrutura'!O15,0,('Equipe e infraestrutura'!O15-'Equipe e infraestrutura'!O14)*F$3)</f>
        <v>0</v>
      </c>
      <c r="P21" s="228"/>
      <c r="Q21" s="223" t="s">
        <v>157</v>
      </c>
      <c r="R21" s="190">
        <f>IF('Equipe e infraestrutura'!R14&gt;'Equipe e infraestrutura'!R15,0,('Equipe e infraestrutura'!R15-'Equipe e infraestrutura'!R14)*D$3)</f>
        <v>0</v>
      </c>
      <c r="S21" s="190">
        <f>IF('Equipe e infraestrutura'!S14&gt;'Equipe e infraestrutura'!S15,0,('Equipe e infraestrutura'!S15-'Equipe e infraestrutura'!S14)*E$3)</f>
        <v>0</v>
      </c>
      <c r="T21" s="190">
        <f>IF('Equipe e infraestrutura'!T14&gt;'Equipe e infraestrutura'!T15,0,('Equipe e infraestrutura'!T15-'Equipe e infraestrutura'!T14)*F$3)</f>
        <v>0</v>
      </c>
      <c r="U21" s="228"/>
      <c r="V21" s="223" t="s">
        <v>157</v>
      </c>
      <c r="W21" s="190">
        <f>IF('Equipe e infraestrutura'!W14&gt;'Equipe e infraestrutura'!W15,0,('Equipe e infraestrutura'!W15-'Equipe e infraestrutura'!W14)*D$3)</f>
        <v>0</v>
      </c>
      <c r="X21" s="190">
        <f>IF('Equipe e infraestrutura'!X14&gt;'Equipe e infraestrutura'!X15,0,('Equipe e infraestrutura'!X15-'Equipe e infraestrutura'!X14)*E$3)</f>
        <v>0</v>
      </c>
      <c r="Y21" s="190">
        <f>IF('Equipe e infraestrutura'!Y14&gt;'Equipe e infraestrutura'!Y15,0,('Equipe e infraestrutura'!Y15-'Equipe e infraestrutura'!Y14)*F$3)</f>
        <v>0</v>
      </c>
      <c r="Z21" s="212"/>
      <c r="AA21" s="212"/>
    </row>
    <row r="22" spans="2:27" ht="16.5">
      <c r="B22" s="223" t="s">
        <v>158</v>
      </c>
      <c r="C22" s="190">
        <f>IF('Equipe e infraestrutura'!C15&gt;'Equipe e infraestrutura'!C16,0,('Equipe e infraestrutura'!C16-'Equipe e infraestrutura'!C15)*D$3)</f>
        <v>30000</v>
      </c>
      <c r="D22" s="190">
        <f>IF('Equipe e infraestrutura'!D15&gt;'Equipe e infraestrutura'!D16,0,('Equipe e infraestrutura'!D16-'Equipe e infraestrutura'!D15)*E$3)</f>
        <v>64000</v>
      </c>
      <c r="E22" s="190">
        <f>IF('Equipe e infraestrutura'!E15&gt;'Equipe e infraestrutura'!E16,0,('Equipe e infraestrutura'!E16-'Equipe e infraestrutura'!E15)*F$3)</f>
        <v>399000</v>
      </c>
      <c r="F22" s="228"/>
      <c r="G22" s="223" t="s">
        <v>158</v>
      </c>
      <c r="H22" s="190">
        <f>IF('Equipe e infraestrutura'!H15&gt;'Equipe e infraestrutura'!H16,0,('Equipe e infraestrutura'!H16-'Equipe e infraestrutura'!H15)*D$3)</f>
        <v>60000</v>
      </c>
      <c r="I22" s="190">
        <f>IF('Equipe e infraestrutura'!I15&gt;'Equipe e infraestrutura'!I16,0,('Equipe e infraestrutura'!I16-'Equipe e infraestrutura'!I15)*E$3)</f>
        <v>144000</v>
      </c>
      <c r="J22" s="190">
        <f>IF('Equipe e infraestrutura'!J15&gt;'Equipe e infraestrutura'!J16,0,('Equipe e infraestrutura'!J16-'Equipe e infraestrutura'!J15)*F$3)</f>
        <v>1121000</v>
      </c>
      <c r="K22" s="228"/>
      <c r="L22" s="223" t="s">
        <v>158</v>
      </c>
      <c r="M22" s="190">
        <f>IF('Equipe e infraestrutura'!M15&gt;'Equipe e infraestrutura'!M16,0,('Equipe e infraestrutura'!M16-'Equipe e infraestrutura'!M15)*D$3)</f>
        <v>30000</v>
      </c>
      <c r="N22" s="190">
        <f>IF('Equipe e infraestrutura'!N15&gt;'Equipe e infraestrutura'!N16,0,('Equipe e infraestrutura'!N16-'Equipe e infraestrutura'!N15)*E$3)</f>
        <v>64000</v>
      </c>
      <c r="O22" s="190">
        <f>IF('Equipe e infraestrutura'!O15&gt;'Equipe e infraestrutura'!O16,0,('Equipe e infraestrutura'!O16-'Equipe e infraestrutura'!O15)*F$3)</f>
        <v>323000</v>
      </c>
      <c r="P22" s="228"/>
      <c r="Q22" s="223" t="s">
        <v>158</v>
      </c>
      <c r="R22" s="190">
        <f>IF('Equipe e infraestrutura'!R15&gt;'Equipe e infraestrutura'!R16,0,('Equipe e infraestrutura'!R16-'Equipe e infraestrutura'!R15)*D$3)</f>
        <v>15000</v>
      </c>
      <c r="S22" s="190">
        <f>IF('Equipe e infraestrutura'!S15&gt;'Equipe e infraestrutura'!S16,0,('Equipe e infraestrutura'!S16-'Equipe e infraestrutura'!S15)*E$3)</f>
        <v>32000</v>
      </c>
      <c r="T22" s="190">
        <f>IF('Equipe e infraestrutura'!T15&gt;'Equipe e infraestrutura'!T16,0,('Equipe e infraestrutura'!T16-'Equipe e infraestrutura'!T15)*F$3)</f>
        <v>114000</v>
      </c>
      <c r="U22" s="228"/>
      <c r="V22" s="223" t="s">
        <v>158</v>
      </c>
      <c r="W22" s="190">
        <f>IF('Equipe e infraestrutura'!W15&gt;'Equipe e infraestrutura'!W16,0,('Equipe e infraestrutura'!W16-'Equipe e infraestrutura'!W15)*D$3)</f>
        <v>0</v>
      </c>
      <c r="X22" s="190">
        <f>IF('Equipe e infraestrutura'!X15&gt;'Equipe e infraestrutura'!X16,0,('Equipe e infraestrutura'!X16-'Equipe e infraestrutura'!X15)*E$3)</f>
        <v>16000</v>
      </c>
      <c r="Y22" s="190">
        <f>IF('Equipe e infraestrutura'!Y15&gt;'Equipe e infraestrutura'!Y16,0,('Equipe e infraestrutura'!Y16-'Equipe e infraestrutura'!Y15)*F$3)</f>
        <v>114000</v>
      </c>
      <c r="Z22" s="212"/>
      <c r="AA22" s="212"/>
    </row>
    <row r="23" spans="2:27" ht="16.5">
      <c r="B23" s="223" t="s">
        <v>159</v>
      </c>
      <c r="C23" s="190">
        <f>IF('Equipe e infraestrutura'!C16&gt;'Equipe e infraestrutura'!C17,0,('Equipe e infraestrutura'!C17-'Equipe e infraestrutura'!C16)*D$3)</f>
        <v>0</v>
      </c>
      <c r="D23" s="190">
        <f>IF('Equipe e infraestrutura'!D16&gt;'Equipe e infraestrutura'!D17,0,('Equipe e infraestrutura'!D17-'Equipe e infraestrutura'!D16)*E$3)</f>
        <v>0</v>
      </c>
      <c r="E23" s="190">
        <f>IF('Equipe e infraestrutura'!E16&gt;'Equipe e infraestrutura'!E17,0,('Equipe e infraestrutura'!E17-'Equipe e infraestrutura'!E16)*F$3)</f>
        <v>0</v>
      </c>
      <c r="F23" s="228"/>
      <c r="G23" s="223" t="s">
        <v>159</v>
      </c>
      <c r="H23" s="190">
        <f>IF('Equipe e infraestrutura'!H16&gt;'Equipe e infraestrutura'!H17,0,('Equipe e infraestrutura'!H17-'Equipe e infraestrutura'!H16)*D$3)</f>
        <v>0</v>
      </c>
      <c r="I23" s="190">
        <f>IF('Equipe e infraestrutura'!I16&gt;'Equipe e infraestrutura'!I17,0,('Equipe e infraestrutura'!I17-'Equipe e infraestrutura'!I16)*E$3)</f>
        <v>0</v>
      </c>
      <c r="J23" s="190">
        <f>IF('Equipe e infraestrutura'!J16&gt;'Equipe e infraestrutura'!J17,0,('Equipe e infraestrutura'!J17-'Equipe e infraestrutura'!J16)*F$3)</f>
        <v>0</v>
      </c>
      <c r="K23" s="228"/>
      <c r="L23" s="223" t="s">
        <v>159</v>
      </c>
      <c r="M23" s="190">
        <f>IF('Equipe e infraestrutura'!M16&gt;'Equipe e infraestrutura'!M17,0,('Equipe e infraestrutura'!M17-'Equipe e infraestrutura'!M16)*D$3)</f>
        <v>0</v>
      </c>
      <c r="N23" s="190">
        <f>IF('Equipe e infraestrutura'!N16&gt;'Equipe e infraestrutura'!N17,0,('Equipe e infraestrutura'!N17-'Equipe e infraestrutura'!N16)*E$3)</f>
        <v>0</v>
      </c>
      <c r="O23" s="190">
        <f>IF('Equipe e infraestrutura'!O16&gt;'Equipe e infraestrutura'!O17,0,('Equipe e infraestrutura'!O17-'Equipe e infraestrutura'!O16)*F$3)</f>
        <v>0</v>
      </c>
      <c r="P23" s="228"/>
      <c r="Q23" s="223" t="s">
        <v>159</v>
      </c>
      <c r="R23" s="190">
        <f>IF('Equipe e infraestrutura'!R16&gt;'Equipe e infraestrutura'!R17,0,('Equipe e infraestrutura'!R17-'Equipe e infraestrutura'!R16)*D$3)</f>
        <v>0</v>
      </c>
      <c r="S23" s="190">
        <f>IF('Equipe e infraestrutura'!S16&gt;'Equipe e infraestrutura'!S17,0,('Equipe e infraestrutura'!S17-'Equipe e infraestrutura'!S16)*E$3)</f>
        <v>0</v>
      </c>
      <c r="T23" s="190">
        <f>IF('Equipe e infraestrutura'!T16&gt;'Equipe e infraestrutura'!T17,0,('Equipe e infraestrutura'!T17-'Equipe e infraestrutura'!T16)*F$3)</f>
        <v>0</v>
      </c>
      <c r="U23" s="228"/>
      <c r="V23" s="223" t="s">
        <v>159</v>
      </c>
      <c r="W23" s="190">
        <f>IF('Equipe e infraestrutura'!W16&gt;'Equipe e infraestrutura'!W17,0,('Equipe e infraestrutura'!W17-'Equipe e infraestrutura'!W16)*D$3)</f>
        <v>0</v>
      </c>
      <c r="X23" s="190">
        <f>IF('Equipe e infraestrutura'!X16&gt;'Equipe e infraestrutura'!X17,0,('Equipe e infraestrutura'!X17-'Equipe e infraestrutura'!X16)*E$3)</f>
        <v>0</v>
      </c>
      <c r="Y23" s="190">
        <f>IF('Equipe e infraestrutura'!Y16&gt;'Equipe e infraestrutura'!Y17,0,('Equipe e infraestrutura'!Y17-'Equipe e infraestrutura'!Y16)*F$3)</f>
        <v>0</v>
      </c>
      <c r="Z23" s="212"/>
      <c r="AA23" s="212"/>
    </row>
    <row r="24" spans="2:27" ht="16.5">
      <c r="B24" s="223" t="s">
        <v>160</v>
      </c>
      <c r="C24" s="190">
        <f>IF('Equipe e infraestrutura'!C17&gt;'Equipe e infraestrutura'!C18,0,('Equipe e infraestrutura'!C18-'Equipe e infraestrutura'!C17)*D$3)</f>
        <v>30000</v>
      </c>
      <c r="D24" s="190">
        <f>IF('Equipe e infraestrutura'!D17&gt;'Equipe e infraestrutura'!D18,0,('Equipe e infraestrutura'!D18-'Equipe e infraestrutura'!D17)*E$3)</f>
        <v>48000</v>
      </c>
      <c r="E24" s="190">
        <f>IF('Equipe e infraestrutura'!E17&gt;'Equipe e infraestrutura'!E18,0,('Equipe e infraestrutura'!E18-'Equipe e infraestrutura'!E17)*F$3)</f>
        <v>399000</v>
      </c>
      <c r="F24" s="228"/>
      <c r="G24" s="223" t="s">
        <v>160</v>
      </c>
      <c r="H24" s="190">
        <f>IF('Equipe e infraestrutura'!H17&gt;'Equipe e infraestrutura'!H18,0,('Equipe e infraestrutura'!H18-'Equipe e infraestrutura'!H17)*D$3)</f>
        <v>75000</v>
      </c>
      <c r="I24" s="190">
        <f>IF('Equipe e infraestrutura'!I17&gt;'Equipe e infraestrutura'!I18,0,('Equipe e infraestrutura'!I18-'Equipe e infraestrutura'!I17)*E$3)</f>
        <v>176000</v>
      </c>
      <c r="J24" s="190">
        <f>IF('Equipe e infraestrutura'!J17&gt;'Equipe e infraestrutura'!J18,0,('Equipe e infraestrutura'!J18-'Equipe e infraestrutura'!J17)*F$3)</f>
        <v>1235000</v>
      </c>
      <c r="K24" s="228"/>
      <c r="L24" s="223" t="s">
        <v>160</v>
      </c>
      <c r="M24" s="190">
        <f>IF('Equipe e infraestrutura'!M17&gt;'Equipe e infraestrutura'!M18,0,('Equipe e infraestrutura'!M18-'Equipe e infraestrutura'!M17)*D$3)</f>
        <v>45000</v>
      </c>
      <c r="N24" s="190">
        <f>IF('Equipe e infraestrutura'!N17&gt;'Equipe e infraestrutura'!N18,0,('Equipe e infraestrutura'!N18-'Equipe e infraestrutura'!N17)*E$3)</f>
        <v>80000</v>
      </c>
      <c r="O24" s="190">
        <f>IF('Equipe e infraestrutura'!O17&gt;'Equipe e infraestrutura'!O18,0,('Equipe e infraestrutura'!O18-'Equipe e infraestrutura'!O17)*F$3)</f>
        <v>323000</v>
      </c>
      <c r="P24" s="228"/>
      <c r="Q24" s="223" t="s">
        <v>160</v>
      </c>
      <c r="R24" s="190">
        <f>IF('Equipe e infraestrutura'!R17&gt;'Equipe e infraestrutura'!R18,0,('Equipe e infraestrutura'!R18-'Equipe e infraestrutura'!R17)*D$3)</f>
        <v>15000</v>
      </c>
      <c r="S24" s="190">
        <f>IF('Equipe e infraestrutura'!S17&gt;'Equipe e infraestrutura'!S18,0,('Equipe e infraestrutura'!S18-'Equipe e infraestrutura'!S17)*E$3)</f>
        <v>32000</v>
      </c>
      <c r="T24" s="190">
        <f>IF('Equipe e infraestrutura'!T17&gt;'Equipe e infraestrutura'!T18,0,('Equipe e infraestrutura'!T18-'Equipe e infraestrutura'!T17)*F$3)</f>
        <v>133000</v>
      </c>
      <c r="U24" s="228"/>
      <c r="V24" s="223" t="s">
        <v>160</v>
      </c>
      <c r="W24" s="190">
        <f>IF('Equipe e infraestrutura'!W17&gt;'Equipe e infraestrutura'!W18,0,('Equipe e infraestrutura'!W18-'Equipe e infraestrutura'!W17)*D$3)</f>
        <v>15000</v>
      </c>
      <c r="X24" s="190">
        <f>IF('Equipe e infraestrutura'!X17&gt;'Equipe e infraestrutura'!X18,0,('Equipe e infraestrutura'!X18-'Equipe e infraestrutura'!X17)*E$3)</f>
        <v>32000</v>
      </c>
      <c r="Y24" s="190">
        <f>IF('Equipe e infraestrutura'!Y17&gt;'Equipe e infraestrutura'!Y18,0,('Equipe e infraestrutura'!Y18-'Equipe e infraestrutura'!Y17)*F$3)</f>
        <v>114000</v>
      </c>
      <c r="Z24" s="212"/>
      <c r="AA24" s="212"/>
    </row>
    <row r="25" spans="2:27">
      <c r="B25" s="311" t="s">
        <v>178</v>
      </c>
      <c r="C25" s="190">
        <f>SUM(C13:C24)</f>
        <v>120000</v>
      </c>
      <c r="D25" s="190">
        <f t="shared" ref="D25:E25" si="0">SUM(D13:D24)</f>
        <v>240000</v>
      </c>
      <c r="E25" s="190">
        <f t="shared" si="0"/>
        <v>1672000</v>
      </c>
      <c r="F25" s="228"/>
      <c r="G25" s="311" t="s">
        <v>178</v>
      </c>
      <c r="H25" s="190">
        <f>SUM(H13:H24)</f>
        <v>315000</v>
      </c>
      <c r="I25" s="190">
        <f t="shared" ref="I25" si="1">SUM(I13:I24)</f>
        <v>688000</v>
      </c>
      <c r="J25" s="190">
        <f t="shared" ref="J25" si="2">SUM(J13:J24)</f>
        <v>4940000</v>
      </c>
      <c r="K25" s="228"/>
      <c r="L25" s="311" t="s">
        <v>178</v>
      </c>
      <c r="M25" s="311">
        <f>SUM(M13:M24)</f>
        <v>150000</v>
      </c>
      <c r="N25" s="311">
        <f>SUM(N13:N24)</f>
        <v>336000</v>
      </c>
      <c r="O25" s="311">
        <f>SUM(O13:O24)</f>
        <v>1406000</v>
      </c>
      <c r="P25" s="228"/>
      <c r="Q25" s="311" t="s">
        <v>178</v>
      </c>
      <c r="R25" s="311">
        <f>SUM(R13:R24)</f>
        <v>45000</v>
      </c>
      <c r="S25" s="311">
        <f>SUM(S13:S24)</f>
        <v>112000</v>
      </c>
      <c r="T25" s="311">
        <f>SUM(T13:T24)</f>
        <v>551000</v>
      </c>
      <c r="U25" s="228"/>
      <c r="V25" s="312" t="s">
        <v>178</v>
      </c>
      <c r="W25" s="313">
        <f>SUM(W13:W24)</f>
        <v>30000</v>
      </c>
      <c r="X25" s="313">
        <f>SUM(X13:X24)</f>
        <v>96000</v>
      </c>
      <c r="Y25" s="313">
        <f>SUM(Y13:Y24)</f>
        <v>475000</v>
      </c>
      <c r="Z25" s="212"/>
      <c r="AA25" s="212"/>
    </row>
    <row r="26" spans="2:27"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 spans="2:27"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 spans="2:27" ht="54" customHeight="1">
      <c r="B28" s="212"/>
      <c r="C28" s="212"/>
      <c r="D28" s="276" t="s">
        <v>20</v>
      </c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T28" s="212"/>
      <c r="U28" s="212"/>
      <c r="V28" s="212"/>
      <c r="W28" s="212"/>
      <c r="X28" s="212"/>
      <c r="Y28" s="212"/>
      <c r="Z28" s="212"/>
      <c r="AA28" s="212"/>
    </row>
    <row r="29" spans="2:27"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 spans="2:27" ht="16.5">
      <c r="B30" s="225" t="s">
        <v>173</v>
      </c>
      <c r="C30" s="226" t="s">
        <v>22</v>
      </c>
      <c r="D30" s="227" t="s">
        <v>23</v>
      </c>
      <c r="E30" s="227" t="s">
        <v>24</v>
      </c>
      <c r="F30" s="228"/>
      <c r="G30" s="225" t="s">
        <v>174</v>
      </c>
      <c r="H30" s="226" t="s">
        <v>22</v>
      </c>
      <c r="I30" s="227" t="s">
        <v>23</v>
      </c>
      <c r="J30" s="227" t="s">
        <v>24</v>
      </c>
      <c r="K30" s="228"/>
      <c r="L30" s="225" t="s">
        <v>146</v>
      </c>
      <c r="M30" s="226" t="s">
        <v>22</v>
      </c>
      <c r="N30" s="227" t="s">
        <v>23</v>
      </c>
      <c r="O30" s="227" t="s">
        <v>24</v>
      </c>
      <c r="P30" s="228"/>
      <c r="Q30" s="225" t="s">
        <v>188</v>
      </c>
      <c r="R30" s="226" t="s">
        <v>22</v>
      </c>
      <c r="S30" s="227" t="s">
        <v>23</v>
      </c>
      <c r="T30" s="227" t="s">
        <v>24</v>
      </c>
      <c r="U30" s="228"/>
      <c r="V30" s="225" t="s">
        <v>148</v>
      </c>
      <c r="W30" s="226" t="s">
        <v>22</v>
      </c>
      <c r="X30" s="227" t="s">
        <v>23</v>
      </c>
      <c r="Y30" s="227" t="s">
        <v>24</v>
      </c>
      <c r="Z30" s="212"/>
      <c r="AA30" s="212"/>
    </row>
    <row r="31" spans="2:27" ht="16.5">
      <c r="B31" s="223" t="s">
        <v>149</v>
      </c>
      <c r="C31" s="190">
        <f>'Equipe e infraestrutura'!C7*'base de dados'!$H$19</f>
        <v>80000</v>
      </c>
      <c r="D31" s="190">
        <f>'Equipe e infraestrutura'!D7*'base de dados'!$H$20</f>
        <v>180000</v>
      </c>
      <c r="E31" s="190">
        <f>'Equipe e infraestrutura'!E7*'base de dados'!$H$21</f>
        <v>600000</v>
      </c>
      <c r="F31" s="228"/>
      <c r="G31" s="223" t="s">
        <v>149</v>
      </c>
      <c r="H31" s="190">
        <f>'Equipe e infraestrutura'!H7*'base de dados'!$H$19</f>
        <v>240000</v>
      </c>
      <c r="I31" s="190">
        <f>'Equipe e infraestrutura'!I7*'base de dados'!$H$20</f>
        <v>450000</v>
      </c>
      <c r="J31" s="190">
        <f>'Equipe e infraestrutura'!J7*'base de dados'!$H$21</f>
        <v>1600000</v>
      </c>
      <c r="K31" s="228"/>
      <c r="L31" s="223" t="s">
        <v>149</v>
      </c>
      <c r="M31" s="190">
        <f>'Equipe e infraestrutura'!M7*'base de dados'!$H$19</f>
        <v>160000</v>
      </c>
      <c r="N31" s="190">
        <f>'Equipe e infraestrutura'!N7*'base de dados'!$H$20</f>
        <v>270000</v>
      </c>
      <c r="O31" s="190">
        <f>'Equipe e infraestrutura'!O7*'base de dados'!$H$21</f>
        <v>600000</v>
      </c>
      <c r="P31" s="228"/>
      <c r="Q31" s="223" t="s">
        <v>149</v>
      </c>
      <c r="R31" s="190">
        <f>'Equipe e infraestrutura'!R7*'base de dados'!$H$19</f>
        <v>80000</v>
      </c>
      <c r="S31" s="190">
        <f>'Equipe e infraestrutura'!S7*'base de dados'!$H$20</f>
        <v>180000</v>
      </c>
      <c r="T31" s="190">
        <f>'Equipe e infraestrutura'!T7*'base de dados'!$H$21</f>
        <v>200000</v>
      </c>
      <c r="U31" s="228"/>
      <c r="V31" s="223" t="s">
        <v>149</v>
      </c>
      <c r="W31" s="190">
        <f>'Equipe e infraestrutura'!W7*'base de dados'!$H$19</f>
        <v>80000</v>
      </c>
      <c r="X31" s="190">
        <f>'Equipe e infraestrutura'!X7*'base de dados'!$H$20</f>
        <v>90000</v>
      </c>
      <c r="Y31" s="190">
        <f>'Equipe e infraestrutura'!Y7*'base de dados'!$H$21</f>
        <v>100000</v>
      </c>
    </row>
    <row r="32" spans="2:27" ht="16.5">
      <c r="B32" s="223" t="s">
        <v>150</v>
      </c>
      <c r="C32" s="190">
        <f>IF('Equipe e infraestrutura'!C7&gt;'Equipe e infraestrutura'!C8,0,('Equipe e infraestrutura'!C8-'Equipe e infraestrutura'!C7)*D$4)</f>
        <v>80000</v>
      </c>
      <c r="D32" s="190">
        <f>IF('Equipe e infraestrutura'!D7&gt;'Equipe e infraestrutura'!D8,0,('Equipe e infraestrutura'!D8-'Equipe e infraestrutura'!D7)*E$4)</f>
        <v>90000</v>
      </c>
      <c r="E32" s="190">
        <f>IF('Equipe e infraestrutura'!E7&gt;'Equipe e infraestrutura'!E8,0,('Equipe e infraestrutura'!E8-'Equipe e infraestrutura'!E7)*F$4)</f>
        <v>900000</v>
      </c>
      <c r="F32" s="228"/>
      <c r="G32" s="223" t="s">
        <v>150</v>
      </c>
      <c r="H32" s="190">
        <f>IF('Equipe e infraestrutura'!H7&gt;'Equipe e infraestrutura'!H8,0,('Equipe e infraestrutura'!H8-'Equipe e infraestrutura'!H7)*D$4)</f>
        <v>80000</v>
      </c>
      <c r="I32" s="190">
        <f>IF('Equipe e infraestrutura'!I7&gt;'Equipe e infraestrutura'!I8,0,('Equipe e infraestrutura'!I8-'Equipe e infraestrutura'!I7)*E$4)</f>
        <v>180000</v>
      </c>
      <c r="J32" s="190">
        <f>IF('Equipe e infraestrutura'!J7&gt;'Equipe e infraestrutura'!J8,0,('Equipe e infraestrutura'!J8-'Equipe e infraestrutura'!J7)*F$4)</f>
        <v>2700000</v>
      </c>
      <c r="K32" s="228"/>
      <c r="L32" s="223" t="s">
        <v>150</v>
      </c>
      <c r="M32" s="190">
        <f>IF('Equipe e infraestrutura'!M7&gt;'Equipe e infraestrutura'!M8,0,('Equipe e infraestrutura'!M8-'Equipe e infraestrutura'!M7)*D$4)</f>
        <v>0</v>
      </c>
      <c r="N32" s="190">
        <f>IF('Equipe e infraestrutura'!N7&gt;'Equipe e infraestrutura'!N8,0,('Equipe e infraestrutura'!N8-'Equipe e infraestrutura'!N7)*E$4)</f>
        <v>90000</v>
      </c>
      <c r="O32" s="190">
        <f>IF('Equipe e infraestrutura'!O7&gt;'Equipe e infraestrutura'!O8,0,('Equipe e infraestrutura'!O8-'Equipe e infraestrutura'!O7)*F$4)</f>
        <v>700000</v>
      </c>
      <c r="P32" s="228"/>
      <c r="Q32" s="223" t="s">
        <v>150</v>
      </c>
      <c r="R32" s="190">
        <f>IF('Equipe e infraestrutura'!R7&gt;'Equipe e infraestrutura'!R8,0,('Equipe e infraestrutura'!R8-'Equipe e infraestrutura'!R7)*D$4)</f>
        <v>0</v>
      </c>
      <c r="S32" s="190">
        <f>IF('Equipe e infraestrutura'!S7&gt;'Equipe e infraestrutura'!S8,0,('Equipe e infraestrutura'!S8-'Equipe e infraestrutura'!S7)*E$4)</f>
        <v>0</v>
      </c>
      <c r="T32" s="190">
        <f>IF('Equipe e infraestrutura'!T7&gt;'Equipe e infraestrutura'!T8,0,('Equipe e infraestrutura'!T8-'Equipe e infraestrutura'!T7)*F$4)</f>
        <v>300000</v>
      </c>
      <c r="U32" s="228"/>
      <c r="V32" s="223" t="s">
        <v>150</v>
      </c>
      <c r="W32" s="190">
        <f>IF('Equipe e infraestrutura'!W8&gt;'Equipe e infraestrutura'!W7,'Equipe e infraestrutura'!W8*'base de dados'!$H$19,)</f>
        <v>0</v>
      </c>
      <c r="X32" s="190">
        <f>IF('Equipe e infraestrutura'!X8&gt;'Equipe e infraestrutura'!X7,'Equipe e infraestrutura'!X8*'base de dados'!$H$20,)</f>
        <v>0</v>
      </c>
      <c r="Y32" s="190">
        <f>IF('Equipe e infraestrutura'!Y8&gt;'Equipe e infraestrutura'!Y7,'Equipe e infraestrutura'!Y8*'base de dados'!$H$21,)</f>
        <v>400000</v>
      </c>
    </row>
    <row r="33" spans="2:25" ht="16.5">
      <c r="B33" s="223" t="s">
        <v>151</v>
      </c>
      <c r="C33" s="190">
        <f>IF('Equipe e infraestrutura'!C8&gt;'Equipe e infraestrutura'!C9,0,('Equipe e infraestrutura'!C9-'Equipe e infraestrutura'!C8)*D$4)</f>
        <v>0</v>
      </c>
      <c r="D33" s="190">
        <f>IF('Equipe e infraestrutura'!D8&gt;'Equipe e infraestrutura'!D9,0,('Equipe e infraestrutura'!D9-'Equipe e infraestrutura'!D8)*E$4)</f>
        <v>0</v>
      </c>
      <c r="E33" s="190">
        <f>IF('Equipe e infraestrutura'!E8&gt;'Equipe e infraestrutura'!E9,0,('Equipe e infraestrutura'!E9-'Equipe e infraestrutura'!E8)*F$4)</f>
        <v>0</v>
      </c>
      <c r="F33" s="228"/>
      <c r="G33" s="223" t="s">
        <v>151</v>
      </c>
      <c r="H33" s="190">
        <f>IF('Equipe e infraestrutura'!H8&gt;'Equipe e infraestrutura'!H9,0,('Equipe e infraestrutura'!H9-'Equipe e infraestrutura'!H8)*D$4)</f>
        <v>0</v>
      </c>
      <c r="I33" s="190">
        <f>IF('Equipe e infraestrutura'!I8&gt;'Equipe e infraestrutura'!I9,0,('Equipe e infraestrutura'!I9-'Equipe e infraestrutura'!I8)*E$4)</f>
        <v>0</v>
      </c>
      <c r="J33" s="190">
        <f>IF('Equipe e infraestrutura'!J8&gt;'Equipe e infraestrutura'!J9,0,('Equipe e infraestrutura'!J9-'Equipe e infraestrutura'!J8)*F$4)</f>
        <v>0</v>
      </c>
      <c r="K33" s="228"/>
      <c r="L33" s="223" t="s">
        <v>151</v>
      </c>
      <c r="M33" s="190">
        <f>IF('Equipe e infraestrutura'!M8&gt;'Equipe e infraestrutura'!M9,0,('Equipe e infraestrutura'!M9-'Equipe e infraestrutura'!M8)*D$4)</f>
        <v>0</v>
      </c>
      <c r="N33" s="190">
        <f>IF('Equipe e infraestrutura'!N8&gt;'Equipe e infraestrutura'!N9,0,('Equipe e infraestrutura'!N9-'Equipe e infraestrutura'!N8)*E$4)</f>
        <v>0</v>
      </c>
      <c r="O33" s="190">
        <f>IF('Equipe e infraestrutura'!O8&gt;'Equipe e infraestrutura'!O9,0,('Equipe e infraestrutura'!O9-'Equipe e infraestrutura'!O8)*F$4)</f>
        <v>0</v>
      </c>
      <c r="P33" s="228"/>
      <c r="Q33" s="223" t="s">
        <v>151</v>
      </c>
      <c r="R33" s="190">
        <f>IF('Equipe e infraestrutura'!R8&gt;'Equipe e infraestrutura'!R9,0,('Equipe e infraestrutura'!R9-'Equipe e infraestrutura'!R8)*D$4)</f>
        <v>0</v>
      </c>
      <c r="S33" s="190">
        <f>IF('Equipe e infraestrutura'!S8&gt;'Equipe e infraestrutura'!S9,0,('Equipe e infraestrutura'!S9-'Equipe e infraestrutura'!S8)*E$4)</f>
        <v>0</v>
      </c>
      <c r="T33" s="190">
        <f>IF('Equipe e infraestrutura'!T8&gt;'Equipe e infraestrutura'!T9,0,('Equipe e infraestrutura'!T9-'Equipe e infraestrutura'!T8)*F$4)</f>
        <v>0</v>
      </c>
      <c r="U33" s="228"/>
      <c r="V33" s="223" t="s">
        <v>151</v>
      </c>
      <c r="W33" s="190">
        <f>IF('Equipe e infraestrutura'!W9&gt;'Equipe e infraestrutura'!W8,'Equipe e infraestrutura'!W9*'base de dados'!$H$19,)</f>
        <v>0</v>
      </c>
      <c r="X33" s="190">
        <f>IF('Equipe e infraestrutura'!X9&gt;'Equipe e infraestrutura'!X8,'Equipe e infraestrutura'!X9*'base de dados'!$H$20,)</f>
        <v>0</v>
      </c>
      <c r="Y33" s="190">
        <f>IF('Equipe e infraestrutura'!Y9&gt;'Equipe e infraestrutura'!Y8,'Equipe e infraestrutura'!Y9*'base de dados'!$H$21,)</f>
        <v>0</v>
      </c>
    </row>
    <row r="34" spans="2:25" ht="16.5">
      <c r="B34" s="223" t="s">
        <v>152</v>
      </c>
      <c r="C34" s="190">
        <f>IF('Equipe e infraestrutura'!C9&gt;'Equipe e infraestrutura'!C10,0,('Equipe e infraestrutura'!C10-'Equipe e infraestrutura'!C9)*D$4)</f>
        <v>80000</v>
      </c>
      <c r="D34" s="190">
        <f>IF('Equipe e infraestrutura'!D9&gt;'Equipe e infraestrutura'!D10,0,('Equipe e infraestrutura'!D10-'Equipe e infraestrutura'!D9)*E$4)</f>
        <v>270000</v>
      </c>
      <c r="E34" s="190">
        <f>IF('Equipe e infraestrutura'!E9&gt;'Equipe e infraestrutura'!E10,0,('Equipe e infraestrutura'!E10-'Equipe e infraestrutura'!E9)*F$4)</f>
        <v>2100000</v>
      </c>
      <c r="F34" s="228"/>
      <c r="G34" s="223" t="s">
        <v>152</v>
      </c>
      <c r="H34" s="190">
        <f>IF('Equipe e infraestrutura'!H9&gt;'Equipe e infraestrutura'!H10,0,('Equipe e infraestrutura'!H10-'Equipe e infraestrutura'!H9)*D$4)</f>
        <v>400000</v>
      </c>
      <c r="I34" s="190">
        <f>IF('Equipe e infraestrutura'!I9&gt;'Equipe e infraestrutura'!I10,0,('Equipe e infraestrutura'!I10-'Equipe e infraestrutura'!I9)*E$4)</f>
        <v>900000</v>
      </c>
      <c r="J34" s="190">
        <f>IF('Equipe e infraestrutura'!J9&gt;'Equipe e infraestrutura'!J10,0,('Equipe e infraestrutura'!J10-'Equipe e infraestrutura'!J9)*F$4)</f>
        <v>6000000</v>
      </c>
      <c r="K34" s="228"/>
      <c r="L34" s="223" t="s">
        <v>152</v>
      </c>
      <c r="M34" s="190">
        <f>IF('Equipe e infraestrutura'!M9&gt;'Equipe e infraestrutura'!M10,0,('Equipe e infraestrutura'!M10-'Equipe e infraestrutura'!M9)*D$4)</f>
        <v>160000</v>
      </c>
      <c r="N34" s="190">
        <f>IF('Equipe e infraestrutura'!N9&gt;'Equipe e infraestrutura'!N10,0,('Equipe e infraestrutura'!N10-'Equipe e infraestrutura'!N9)*E$4)</f>
        <v>450000</v>
      </c>
      <c r="O34" s="190">
        <f>IF('Equipe e infraestrutura'!O9&gt;'Equipe e infraestrutura'!O10,0,('Equipe e infraestrutura'!O10-'Equipe e infraestrutura'!O9)*F$4)</f>
        <v>1700000</v>
      </c>
      <c r="P34" s="228"/>
      <c r="Q34" s="223" t="s">
        <v>152</v>
      </c>
      <c r="R34" s="190">
        <f>IF('Equipe e infraestrutura'!R9&gt;'Equipe e infraestrutura'!R10,0,('Equipe e infraestrutura'!R10-'Equipe e infraestrutura'!R9)*D$4)</f>
        <v>0</v>
      </c>
      <c r="S34" s="190">
        <f>IF('Equipe e infraestrutura'!S9&gt;'Equipe e infraestrutura'!S10,0,('Equipe e infraestrutura'!S10-'Equipe e infraestrutura'!S9)*E$4)</f>
        <v>90000</v>
      </c>
      <c r="T34" s="190">
        <f>IF('Equipe e infraestrutura'!T9&gt;'Equipe e infraestrutura'!T10,0,('Equipe e infraestrutura'!T10-'Equipe e infraestrutura'!T9)*F$4)</f>
        <v>700000</v>
      </c>
      <c r="U34" s="228"/>
      <c r="V34" s="223" t="s">
        <v>152</v>
      </c>
      <c r="W34" s="190">
        <f>IF('Equipe e infraestrutura'!W10&gt;'Equipe e infraestrutura'!W9,'Equipe e infraestrutura'!W10*'base de dados'!$H$19,)</f>
        <v>0</v>
      </c>
      <c r="X34" s="190">
        <f>IF('Equipe e infraestrutura'!X10&gt;'Equipe e infraestrutura'!X9,'Equipe e infraestrutura'!X10*'base de dados'!$H$20,)</f>
        <v>180000</v>
      </c>
      <c r="Y34" s="190">
        <f>IF('Equipe e infraestrutura'!Y10&gt;'Equipe e infraestrutura'!Y9,'Equipe e infraestrutura'!Y10*'base de dados'!$H$21,)</f>
        <v>600000</v>
      </c>
    </row>
    <row r="35" spans="2:25" ht="16.5">
      <c r="B35" s="223" t="s">
        <v>153</v>
      </c>
      <c r="C35" s="190">
        <f>IF('Equipe e infraestrutura'!C10&gt;'Equipe e infraestrutura'!C11,0,('Equipe e infraestrutura'!C11-'Equipe e infraestrutura'!C10)*D$4)</f>
        <v>0</v>
      </c>
      <c r="D35" s="190">
        <f>IF('Equipe e infraestrutura'!D10&gt;'Equipe e infraestrutura'!D11,0,('Equipe e infraestrutura'!D11-'Equipe e infraestrutura'!D10)*E$4)</f>
        <v>0</v>
      </c>
      <c r="E35" s="190">
        <f>IF('Equipe e infraestrutura'!E10&gt;'Equipe e infraestrutura'!E11,0,('Equipe e infraestrutura'!E11-'Equipe e infraestrutura'!E10)*F$4)</f>
        <v>0</v>
      </c>
      <c r="F35" s="228"/>
      <c r="G35" s="223" t="s">
        <v>153</v>
      </c>
      <c r="H35" s="190">
        <f>IF('Equipe e infraestrutura'!H10&gt;'Equipe e infraestrutura'!H11,0,('Equipe e infraestrutura'!H11-'Equipe e infraestrutura'!H10)*D$4)</f>
        <v>0</v>
      </c>
      <c r="I35" s="190">
        <f>IF('Equipe e infraestrutura'!I10&gt;'Equipe e infraestrutura'!I11,0,('Equipe e infraestrutura'!I11-'Equipe e infraestrutura'!I10)*E$4)</f>
        <v>0</v>
      </c>
      <c r="J35" s="190">
        <f>IF('Equipe e infraestrutura'!J10&gt;'Equipe e infraestrutura'!J11,0,('Equipe e infraestrutura'!J11-'Equipe e infraestrutura'!J10)*F$4)</f>
        <v>0</v>
      </c>
      <c r="K35" s="228"/>
      <c r="L35" s="223" t="s">
        <v>153</v>
      </c>
      <c r="M35" s="190">
        <f>IF('Equipe e infraestrutura'!M10&gt;'Equipe e infraestrutura'!M11,0,('Equipe e infraestrutura'!M11-'Equipe e infraestrutura'!M10)*D$4)</f>
        <v>0</v>
      </c>
      <c r="N35" s="190">
        <f>IF('Equipe e infraestrutura'!N10&gt;'Equipe e infraestrutura'!N11,0,('Equipe e infraestrutura'!N11-'Equipe e infraestrutura'!N10)*E$4)</f>
        <v>0</v>
      </c>
      <c r="O35" s="190">
        <f>IF('Equipe e infraestrutura'!O10&gt;'Equipe e infraestrutura'!O11,0,('Equipe e infraestrutura'!O11-'Equipe e infraestrutura'!O10)*F$4)</f>
        <v>0</v>
      </c>
      <c r="P35" s="228"/>
      <c r="Q35" s="223" t="s">
        <v>153</v>
      </c>
      <c r="R35" s="190">
        <f>IF('Equipe e infraestrutura'!R10&gt;'Equipe e infraestrutura'!R11,0,('Equipe e infraestrutura'!R11-'Equipe e infraestrutura'!R10)*D$4)</f>
        <v>0</v>
      </c>
      <c r="S35" s="190">
        <f>IF('Equipe e infraestrutura'!S10&gt;'Equipe e infraestrutura'!S11,0,('Equipe e infraestrutura'!S11-'Equipe e infraestrutura'!S10)*E$4)</f>
        <v>0</v>
      </c>
      <c r="T35" s="190">
        <f>IF('Equipe e infraestrutura'!T10&gt;'Equipe e infraestrutura'!T11,0,('Equipe e infraestrutura'!T11-'Equipe e infraestrutura'!T10)*F$4)</f>
        <v>0</v>
      </c>
      <c r="U35" s="228"/>
      <c r="V35" s="223" t="s">
        <v>153</v>
      </c>
      <c r="W35" s="190">
        <f>IF('Equipe e infraestrutura'!W11&gt;'Equipe e infraestrutura'!W10,'Equipe e infraestrutura'!W11*'base de dados'!$H$19,)</f>
        <v>0</v>
      </c>
      <c r="X35" s="190">
        <f>IF('Equipe e infraestrutura'!X11&gt;'Equipe e infraestrutura'!X10,'Equipe e infraestrutura'!X11*'base de dados'!$H$20,)</f>
        <v>0</v>
      </c>
      <c r="Y35" s="190">
        <f>IF('Equipe e infraestrutura'!Y11&gt;'Equipe e infraestrutura'!Y10,'Equipe e infraestrutura'!Y11*'base de dados'!$H$21,)</f>
        <v>0</v>
      </c>
    </row>
    <row r="36" spans="2:25" ht="16.5">
      <c r="B36" s="223" t="s">
        <v>154</v>
      </c>
      <c r="C36" s="190">
        <f>IF('Equipe e infraestrutura'!C11&gt;'Equipe e infraestrutura'!C12,0,('Equipe e infraestrutura'!C12-'Equipe e infraestrutura'!C11)*D$4)</f>
        <v>80000</v>
      </c>
      <c r="D36" s="190">
        <f>IF('Equipe e infraestrutura'!D11&gt;'Equipe e infraestrutura'!D12,0,('Equipe e infraestrutura'!D12-'Equipe e infraestrutura'!D11)*E$4)</f>
        <v>90000</v>
      </c>
      <c r="E36" s="190">
        <f>IF('Equipe e infraestrutura'!E11&gt;'Equipe e infraestrutura'!E12,0,('Equipe e infraestrutura'!E12-'Equipe e infraestrutura'!E11)*F$4)</f>
        <v>700000</v>
      </c>
      <c r="F36" s="228"/>
      <c r="G36" s="223" t="s">
        <v>154</v>
      </c>
      <c r="H36" s="190">
        <f>IF('Equipe e infraestrutura'!H11&gt;'Equipe e infraestrutura'!H12,0,('Equipe e infraestrutura'!H12-'Equipe e infraestrutura'!H11)*D$4)</f>
        <v>160000</v>
      </c>
      <c r="I36" s="190">
        <f>IF('Equipe e infraestrutura'!I11&gt;'Equipe e infraestrutura'!I12,0,('Equipe e infraestrutura'!I12-'Equipe e infraestrutura'!I11)*E$4)</f>
        <v>360000</v>
      </c>
      <c r="J36" s="190">
        <f>IF('Equipe e infraestrutura'!J11&gt;'Equipe e infraestrutura'!J12,0,('Equipe e infraestrutura'!J12-'Equipe e infraestrutura'!J11)*F$4)</f>
        <v>1900000</v>
      </c>
      <c r="K36" s="228"/>
      <c r="L36" s="223" t="s">
        <v>154</v>
      </c>
      <c r="M36" s="190">
        <f>IF('Equipe e infraestrutura'!M11&gt;'Equipe e infraestrutura'!M12,0,('Equipe e infraestrutura'!M12-'Equipe e infraestrutura'!M11)*D$4)</f>
        <v>80000</v>
      </c>
      <c r="N36" s="190">
        <f>IF('Equipe e infraestrutura'!N11&gt;'Equipe e infraestrutura'!N12,0,('Equipe e infraestrutura'!N12-'Equipe e infraestrutura'!N11)*E$4)</f>
        <v>180000</v>
      </c>
      <c r="O36" s="190">
        <f>IF('Equipe e infraestrutura'!O11&gt;'Equipe e infraestrutura'!O12,0,('Equipe e infraestrutura'!O12-'Equipe e infraestrutura'!O11)*F$4)</f>
        <v>500000</v>
      </c>
      <c r="P36" s="228"/>
      <c r="Q36" s="223" t="s">
        <v>154</v>
      </c>
      <c r="R36" s="190">
        <f>IF('Equipe e infraestrutura'!R11&gt;'Equipe e infraestrutura'!R12,0,('Equipe e infraestrutura'!R12-'Equipe e infraestrutura'!R11)*D$4)</f>
        <v>0</v>
      </c>
      <c r="S36" s="190">
        <f>IF('Equipe e infraestrutura'!S11&gt;'Equipe e infraestrutura'!S12,0,('Equipe e infraestrutura'!S12-'Equipe e infraestrutura'!S11)*E$4)</f>
        <v>0</v>
      </c>
      <c r="T36" s="190">
        <f>IF('Equipe e infraestrutura'!T11&gt;'Equipe e infraestrutura'!T12,0,('Equipe e infraestrutura'!T12-'Equipe e infraestrutura'!T11)*F$4)</f>
        <v>200000</v>
      </c>
      <c r="U36" s="228"/>
      <c r="V36" s="223" t="s">
        <v>154</v>
      </c>
      <c r="W36" s="190">
        <f>IF('Equipe e infraestrutura'!W12&gt;'Equipe e infraestrutura'!W11,'Equipe e infraestrutura'!W12*'base de dados'!$H$19,)</f>
        <v>0</v>
      </c>
      <c r="X36" s="190">
        <f>IF('Equipe e infraestrutura'!X12&gt;'Equipe e infraestrutura'!X11,'Equipe e infraestrutura'!X12*'base de dados'!$H$20,)</f>
        <v>180000</v>
      </c>
      <c r="Y36" s="190">
        <f>IF('Equipe e infraestrutura'!Y12&gt;'Equipe e infraestrutura'!Y11,'Equipe e infraestrutura'!Y12*'base de dados'!$H$21,)</f>
        <v>500000</v>
      </c>
    </row>
    <row r="37" spans="2:25" ht="16.5">
      <c r="B37" s="223" t="s">
        <v>155</v>
      </c>
      <c r="C37" s="190">
        <f>IF('Equipe e infraestrutura'!C12&gt;'Equipe e infraestrutura'!C13,0,('Equipe e infraestrutura'!C13-'Equipe e infraestrutura'!C12)*D$4)</f>
        <v>0</v>
      </c>
      <c r="D37" s="190">
        <f>IF('Equipe e infraestrutura'!D12&gt;'Equipe e infraestrutura'!D13,0,('Equipe e infraestrutura'!D13-'Equipe e infraestrutura'!D12)*E$4)</f>
        <v>90000</v>
      </c>
      <c r="E37" s="190">
        <f>IF('Equipe e infraestrutura'!E12&gt;'Equipe e infraestrutura'!E13,0,('Equipe e infraestrutura'!E13-'Equipe e infraestrutura'!E12)*F$4)</f>
        <v>300000</v>
      </c>
      <c r="F37" s="228"/>
      <c r="G37" s="223" t="s">
        <v>155</v>
      </c>
      <c r="H37" s="190">
        <f>IF('Equipe e infraestrutura'!H12&gt;'Equipe e infraestrutura'!H13,0,('Equipe e infraestrutura'!H13-'Equipe e infraestrutura'!H12)*D$4)</f>
        <v>80000</v>
      </c>
      <c r="I37" s="190">
        <f>IF('Equipe e infraestrutura'!I12&gt;'Equipe e infraestrutura'!I13,0,('Equipe e infraestrutura'!I13-'Equipe e infraestrutura'!I12)*E$4)</f>
        <v>180000</v>
      </c>
      <c r="J37" s="190">
        <f>IF('Equipe e infraestrutura'!J12&gt;'Equipe e infraestrutura'!J13,0,('Equipe e infraestrutura'!J13-'Equipe e infraestrutura'!J12)*F$4)</f>
        <v>1400000</v>
      </c>
      <c r="K37" s="228"/>
      <c r="L37" s="223" t="s">
        <v>155</v>
      </c>
      <c r="M37" s="190">
        <f>IF('Equipe e infraestrutura'!M12&gt;'Equipe e infraestrutura'!M13,0,('Equipe e infraestrutura'!M13-'Equipe e infraestrutura'!M12)*D$4)</f>
        <v>0</v>
      </c>
      <c r="N37" s="190">
        <f>IF('Equipe e infraestrutura'!N12&gt;'Equipe e infraestrutura'!N13,0,('Equipe e infraestrutura'!N13-'Equipe e infraestrutura'!N12)*E$4)</f>
        <v>90000</v>
      </c>
      <c r="O37" s="190">
        <f>IF('Equipe e infraestrutura'!O12&gt;'Equipe e infraestrutura'!O13,0,('Equipe e infraestrutura'!O13-'Equipe e infraestrutura'!O12)*F$4)</f>
        <v>500000</v>
      </c>
      <c r="P37" s="228"/>
      <c r="Q37" s="223" t="s">
        <v>155</v>
      </c>
      <c r="R37" s="190">
        <f>IF('Equipe e infraestrutura'!R12&gt;'Equipe e infraestrutura'!R13,0,('Equipe e infraestrutura'!R13-'Equipe e infraestrutura'!R12)*D$4)</f>
        <v>0</v>
      </c>
      <c r="S37" s="190">
        <f>IF('Equipe e infraestrutura'!S12&gt;'Equipe e infraestrutura'!S13,0,('Equipe e infraestrutura'!S13-'Equipe e infraestrutura'!S12)*E$4)</f>
        <v>0</v>
      </c>
      <c r="T37" s="190">
        <f>IF('Equipe e infraestrutura'!T12&gt;'Equipe e infraestrutura'!T13,0,('Equipe e infraestrutura'!T13-'Equipe e infraestrutura'!T12)*F$4)</f>
        <v>200000</v>
      </c>
      <c r="U37" s="228"/>
      <c r="V37" s="223" t="s">
        <v>155</v>
      </c>
      <c r="W37" s="190">
        <f>IF('Equipe e infraestrutura'!W13&gt;'Equipe e infraestrutura'!W12,'Equipe e infraestrutura'!W13*'base de dados'!$H$19,)</f>
        <v>0</v>
      </c>
      <c r="X37" s="190">
        <f>IF('Equipe e infraestrutura'!X13&gt;'Equipe e infraestrutura'!X12,'Equipe e infraestrutura'!X13*'base de dados'!$H$20,)</f>
        <v>0</v>
      </c>
      <c r="Y37" s="190">
        <f>IF('Equipe e infraestrutura'!Y13&gt;'Equipe e infraestrutura'!Y12,'Equipe e infraestrutura'!Y13*'base de dados'!$H$21,)</f>
        <v>600000</v>
      </c>
    </row>
    <row r="38" spans="2:25" ht="16.5">
      <c r="B38" s="223" t="s">
        <v>156</v>
      </c>
      <c r="C38" s="190">
        <f>IF('Equipe e infraestrutura'!C13&gt;'Equipe e infraestrutura'!C14,0,('Equipe e infraestrutura'!C14-'Equipe e infraestrutura'!C13)*D$4)</f>
        <v>0</v>
      </c>
      <c r="D38" s="190">
        <f>IF('Equipe e infraestrutura'!D13&gt;'Equipe e infraestrutura'!D14,0,('Equipe e infraestrutura'!D14-'Equipe e infraestrutura'!D13)*E$4)</f>
        <v>0</v>
      </c>
      <c r="E38" s="190">
        <f>IF('Equipe e infraestrutura'!E13&gt;'Equipe e infraestrutura'!E14,0,('Equipe e infraestrutura'!E14-'Equipe e infraestrutura'!E13)*F$4)</f>
        <v>0</v>
      </c>
      <c r="F38" s="228"/>
      <c r="G38" s="223" t="s">
        <v>156</v>
      </c>
      <c r="H38" s="190">
        <f>IF('Equipe e infraestrutura'!H13&gt;'Equipe e infraestrutura'!H14,0,('Equipe e infraestrutura'!H14-'Equipe e infraestrutura'!H13)*D$4)</f>
        <v>0</v>
      </c>
      <c r="I38" s="190">
        <f>IF('Equipe e infraestrutura'!I13&gt;'Equipe e infraestrutura'!I14,0,('Equipe e infraestrutura'!I14-'Equipe e infraestrutura'!I13)*E$4)</f>
        <v>0</v>
      </c>
      <c r="J38" s="190">
        <f>IF('Equipe e infraestrutura'!J13&gt;'Equipe e infraestrutura'!J14,0,('Equipe e infraestrutura'!J14-'Equipe e infraestrutura'!J13)*F$4)</f>
        <v>0</v>
      </c>
      <c r="K38" s="228"/>
      <c r="L38" s="223" t="s">
        <v>156</v>
      </c>
      <c r="M38" s="190">
        <f>IF('Equipe e infraestrutura'!M13&gt;'Equipe e infraestrutura'!M14,0,('Equipe e infraestrutura'!M14-'Equipe e infraestrutura'!M13)*D$4)</f>
        <v>0</v>
      </c>
      <c r="N38" s="190">
        <f>IF('Equipe e infraestrutura'!N13&gt;'Equipe e infraestrutura'!N14,0,('Equipe e infraestrutura'!N14-'Equipe e infraestrutura'!N13)*E$4)</f>
        <v>0</v>
      </c>
      <c r="O38" s="190">
        <f>IF('Equipe e infraestrutura'!O13&gt;'Equipe e infraestrutura'!O14,0,('Equipe e infraestrutura'!O14-'Equipe e infraestrutura'!O13)*F$4)</f>
        <v>0</v>
      </c>
      <c r="P38" s="228"/>
      <c r="Q38" s="223" t="s">
        <v>156</v>
      </c>
      <c r="R38" s="190">
        <f>IF('Equipe e infraestrutura'!R13&gt;'Equipe e infraestrutura'!R14,0,('Equipe e infraestrutura'!R14-'Equipe e infraestrutura'!R13)*D$4)</f>
        <v>0</v>
      </c>
      <c r="S38" s="190">
        <f>IF('Equipe e infraestrutura'!S13&gt;'Equipe e infraestrutura'!S14,0,('Equipe e infraestrutura'!S14-'Equipe e infraestrutura'!S13)*E$4)</f>
        <v>0</v>
      </c>
      <c r="T38" s="190">
        <f>IF('Equipe e infraestrutura'!T13&gt;'Equipe e infraestrutura'!T14,0,('Equipe e infraestrutura'!T14-'Equipe e infraestrutura'!T13)*F$4)</f>
        <v>0</v>
      </c>
      <c r="U38" s="228"/>
      <c r="V38" s="223" t="s">
        <v>156</v>
      </c>
      <c r="W38" s="190">
        <f>IF('Equipe e infraestrutura'!W14&gt;'Equipe e infraestrutura'!W13,'Equipe e infraestrutura'!W14*'base de dados'!$H$19,)</f>
        <v>0</v>
      </c>
      <c r="X38" s="190">
        <f>IF('Equipe e infraestrutura'!X14&gt;'Equipe e infraestrutura'!X13,'Equipe e infraestrutura'!X14*'base de dados'!$H$20,)</f>
        <v>0</v>
      </c>
      <c r="Y38" s="190">
        <f>IF('Equipe e infraestrutura'!Y14&gt;'Equipe e infraestrutura'!Y13,'Equipe e infraestrutura'!Y14*'base de dados'!$H$21,)</f>
        <v>0</v>
      </c>
    </row>
    <row r="39" spans="2:25" ht="16.5">
      <c r="B39" s="223" t="s">
        <v>157</v>
      </c>
      <c r="C39" s="190">
        <f>IF('Equipe e infraestrutura'!C14&gt;'Equipe e infraestrutura'!C15,0,('Equipe e infraestrutura'!C15-'Equipe e infraestrutura'!C14)*D$4)</f>
        <v>0</v>
      </c>
      <c r="D39" s="190">
        <f>IF('Equipe e infraestrutura'!D14&gt;'Equipe e infraestrutura'!D15,0,('Equipe e infraestrutura'!D15-'Equipe e infraestrutura'!D14)*E$4)</f>
        <v>0</v>
      </c>
      <c r="E39" s="190">
        <f>IF('Equipe e infraestrutura'!E14&gt;'Equipe e infraestrutura'!E15,0,('Equipe e infraestrutura'!E15-'Equipe e infraestrutura'!E14)*F$4)</f>
        <v>0</v>
      </c>
      <c r="F39" s="228"/>
      <c r="G39" s="223" t="s">
        <v>157</v>
      </c>
      <c r="H39" s="190">
        <f>IF('Equipe e infraestrutura'!H14&gt;'Equipe e infraestrutura'!H15,0,('Equipe e infraestrutura'!H15-'Equipe e infraestrutura'!H14)*D$4)</f>
        <v>0</v>
      </c>
      <c r="I39" s="190">
        <f>IF('Equipe e infraestrutura'!I14&gt;'Equipe e infraestrutura'!I15,0,('Equipe e infraestrutura'!I15-'Equipe e infraestrutura'!I14)*E$4)</f>
        <v>0</v>
      </c>
      <c r="J39" s="190">
        <f>IF('Equipe e infraestrutura'!J14&gt;'Equipe e infraestrutura'!J15,0,('Equipe e infraestrutura'!J15-'Equipe e infraestrutura'!J14)*F$4)</f>
        <v>0</v>
      </c>
      <c r="K39" s="228"/>
      <c r="L39" s="223" t="s">
        <v>157</v>
      </c>
      <c r="M39" s="190">
        <f>IF('Equipe e infraestrutura'!M14&gt;'Equipe e infraestrutura'!M15,0,('Equipe e infraestrutura'!M15-'Equipe e infraestrutura'!M14)*D$4)</f>
        <v>0</v>
      </c>
      <c r="N39" s="190">
        <f>IF('Equipe e infraestrutura'!N14&gt;'Equipe e infraestrutura'!N15,0,('Equipe e infraestrutura'!N15-'Equipe e infraestrutura'!N14)*E$4)</f>
        <v>0</v>
      </c>
      <c r="O39" s="190">
        <f>IF('Equipe e infraestrutura'!O14&gt;'Equipe e infraestrutura'!O15,0,('Equipe e infraestrutura'!O15-'Equipe e infraestrutura'!O14)*F$4)</f>
        <v>0</v>
      </c>
      <c r="P39" s="228"/>
      <c r="Q39" s="223" t="s">
        <v>157</v>
      </c>
      <c r="R39" s="190">
        <f>IF('Equipe e infraestrutura'!R14&gt;'Equipe e infraestrutura'!R15,0,('Equipe e infraestrutura'!R15-'Equipe e infraestrutura'!R14)*D$4)</f>
        <v>0</v>
      </c>
      <c r="S39" s="190">
        <f>IF('Equipe e infraestrutura'!S14&gt;'Equipe e infraestrutura'!S15,0,('Equipe e infraestrutura'!S15-'Equipe e infraestrutura'!S14)*E$4)</f>
        <v>0</v>
      </c>
      <c r="T39" s="190">
        <f>IF('Equipe e infraestrutura'!T14&gt;'Equipe e infraestrutura'!T15,0,('Equipe e infraestrutura'!T15-'Equipe e infraestrutura'!T14)*F$4)</f>
        <v>0</v>
      </c>
      <c r="U39" s="228"/>
      <c r="V39" s="223" t="s">
        <v>157</v>
      </c>
      <c r="W39" s="190">
        <f>IF('Equipe e infraestrutura'!W15&gt;'Equipe e infraestrutura'!W14,'Equipe e infraestrutura'!W15*'base de dados'!$H$19,)</f>
        <v>0</v>
      </c>
      <c r="X39" s="190">
        <f>IF('Equipe e infraestrutura'!X15&gt;'Equipe e infraestrutura'!X14,'Equipe e infraestrutura'!X15*'base de dados'!$H$20,)</f>
        <v>0</v>
      </c>
      <c r="Y39" s="190">
        <f>IF('Equipe e infraestrutura'!Y15&gt;'Equipe e infraestrutura'!Y14,'Equipe e infraestrutura'!Y15*'base de dados'!$H$21,)</f>
        <v>0</v>
      </c>
    </row>
    <row r="40" spans="2:25" ht="16.5">
      <c r="B40" s="223" t="s">
        <v>158</v>
      </c>
      <c r="C40" s="190">
        <f>IF('Equipe e infraestrutura'!C15&gt;'Equipe e infraestrutura'!C16,0,('Equipe e infraestrutura'!C16-'Equipe e infraestrutura'!C15)*D$4)</f>
        <v>160000</v>
      </c>
      <c r="D40" s="190">
        <f>IF('Equipe e infraestrutura'!D15&gt;'Equipe e infraestrutura'!D16,0,('Equipe e infraestrutura'!D16-'Equipe e infraestrutura'!D15)*E$4)</f>
        <v>360000</v>
      </c>
      <c r="E40" s="190">
        <f>IF('Equipe e infraestrutura'!E15&gt;'Equipe e infraestrutura'!E16,0,('Equipe e infraestrutura'!E16-'Equipe e infraestrutura'!E15)*F$4)</f>
        <v>2100000</v>
      </c>
      <c r="F40" s="228"/>
      <c r="G40" s="223" t="s">
        <v>158</v>
      </c>
      <c r="H40" s="190">
        <f>IF('Equipe e infraestrutura'!H15&gt;'Equipe e infraestrutura'!H16,0,('Equipe e infraestrutura'!H16-'Equipe e infraestrutura'!H15)*D$4)</f>
        <v>320000</v>
      </c>
      <c r="I40" s="190">
        <f>IF('Equipe e infraestrutura'!I15&gt;'Equipe e infraestrutura'!I16,0,('Equipe e infraestrutura'!I16-'Equipe e infraestrutura'!I15)*E$4)</f>
        <v>810000</v>
      </c>
      <c r="J40" s="190">
        <f>IF('Equipe e infraestrutura'!J15&gt;'Equipe e infraestrutura'!J16,0,('Equipe e infraestrutura'!J16-'Equipe e infraestrutura'!J15)*F$4)</f>
        <v>5900000</v>
      </c>
      <c r="K40" s="228"/>
      <c r="L40" s="223" t="s">
        <v>158</v>
      </c>
      <c r="M40" s="190">
        <f>IF('Equipe e infraestrutura'!M15&gt;'Equipe e infraestrutura'!M16,0,('Equipe e infraestrutura'!M16-'Equipe e infraestrutura'!M15)*D$4)</f>
        <v>160000</v>
      </c>
      <c r="N40" s="190">
        <f>IF('Equipe e infraestrutura'!N15&gt;'Equipe e infraestrutura'!N16,0,('Equipe e infraestrutura'!N16-'Equipe e infraestrutura'!N15)*E$4)</f>
        <v>360000</v>
      </c>
      <c r="O40" s="190">
        <f>IF('Equipe e infraestrutura'!O15&gt;'Equipe e infraestrutura'!O16,0,('Equipe e infraestrutura'!O16-'Equipe e infraestrutura'!O15)*F$4)</f>
        <v>1700000</v>
      </c>
      <c r="P40" s="228"/>
      <c r="Q40" s="223" t="s">
        <v>158</v>
      </c>
      <c r="R40" s="190">
        <f>IF('Equipe e infraestrutura'!R15&gt;'Equipe e infraestrutura'!R16,0,('Equipe e infraestrutura'!R16-'Equipe e infraestrutura'!R15)*D$4)</f>
        <v>80000</v>
      </c>
      <c r="S40" s="190">
        <f>IF('Equipe e infraestrutura'!S15&gt;'Equipe e infraestrutura'!S16,0,('Equipe e infraestrutura'!S16-'Equipe e infraestrutura'!S15)*E$4)</f>
        <v>180000</v>
      </c>
      <c r="T40" s="190">
        <f>IF('Equipe e infraestrutura'!T15&gt;'Equipe e infraestrutura'!T16,0,('Equipe e infraestrutura'!T16-'Equipe e infraestrutura'!T15)*F$4)</f>
        <v>600000</v>
      </c>
      <c r="U40" s="228"/>
      <c r="V40" s="223" t="s">
        <v>158</v>
      </c>
      <c r="W40" s="190">
        <f>IF('Equipe e infraestrutura'!W16&gt;'Equipe e infraestrutura'!W15,'Equipe e infraestrutura'!W16*'base de dados'!$H$19,)</f>
        <v>0</v>
      </c>
      <c r="X40" s="190">
        <f>IF('Equipe e infraestrutura'!X16&gt;'Equipe e infraestrutura'!X15,'Equipe e infraestrutura'!X16*'base de dados'!$H$20,)</f>
        <v>180000</v>
      </c>
      <c r="Y40" s="190">
        <f>IF('Equipe e infraestrutura'!Y16&gt;'Equipe e infraestrutura'!Y15,'Equipe e infraestrutura'!Y16*'base de dados'!$H$21,)</f>
        <v>700000</v>
      </c>
    </row>
    <row r="41" spans="2:25" ht="16.5">
      <c r="B41" s="223" t="s">
        <v>159</v>
      </c>
      <c r="C41" s="190">
        <f>IF('Equipe e infraestrutura'!C16&gt;'Equipe e infraestrutura'!C17,0,('Equipe e infraestrutura'!C17-'Equipe e infraestrutura'!C16)*D$4)</f>
        <v>0</v>
      </c>
      <c r="D41" s="190">
        <f>IF('Equipe e infraestrutura'!D16&gt;'Equipe e infraestrutura'!D17,0,('Equipe e infraestrutura'!D17-'Equipe e infraestrutura'!D16)*E$4)</f>
        <v>0</v>
      </c>
      <c r="E41" s="190">
        <f>IF('Equipe e infraestrutura'!E16&gt;'Equipe e infraestrutura'!E17,0,('Equipe e infraestrutura'!E17-'Equipe e infraestrutura'!E16)*F$4)</f>
        <v>0</v>
      </c>
      <c r="F41" s="228"/>
      <c r="G41" s="223" t="s">
        <v>159</v>
      </c>
      <c r="H41" s="190">
        <f>IF('Equipe e infraestrutura'!H16&gt;'Equipe e infraestrutura'!H17,0,('Equipe e infraestrutura'!H17-'Equipe e infraestrutura'!H16)*D$4)</f>
        <v>0</v>
      </c>
      <c r="I41" s="190">
        <f>IF('Equipe e infraestrutura'!I16&gt;'Equipe e infraestrutura'!I17,0,('Equipe e infraestrutura'!I17-'Equipe e infraestrutura'!I16)*E$4)</f>
        <v>0</v>
      </c>
      <c r="J41" s="190">
        <f>IF('Equipe e infraestrutura'!J16&gt;'Equipe e infraestrutura'!J17,0,('Equipe e infraestrutura'!J17-'Equipe e infraestrutura'!J16)*F$4)</f>
        <v>0</v>
      </c>
      <c r="K41" s="228"/>
      <c r="L41" s="223" t="s">
        <v>159</v>
      </c>
      <c r="M41" s="190">
        <f>IF('Equipe e infraestrutura'!M16&gt;'Equipe e infraestrutura'!M17,0,('Equipe e infraestrutura'!M17-'Equipe e infraestrutura'!M16)*D$4)</f>
        <v>0</v>
      </c>
      <c r="N41" s="190">
        <f>IF('Equipe e infraestrutura'!N16&gt;'Equipe e infraestrutura'!N17,0,('Equipe e infraestrutura'!N17-'Equipe e infraestrutura'!N16)*E$4)</f>
        <v>0</v>
      </c>
      <c r="O41" s="190">
        <f>IF('Equipe e infraestrutura'!O16&gt;'Equipe e infraestrutura'!O17,0,('Equipe e infraestrutura'!O17-'Equipe e infraestrutura'!O16)*F$4)</f>
        <v>0</v>
      </c>
      <c r="P41" s="228"/>
      <c r="Q41" s="223" t="s">
        <v>159</v>
      </c>
      <c r="R41" s="190">
        <f>IF('Equipe e infraestrutura'!R16&gt;'Equipe e infraestrutura'!R17,0,('Equipe e infraestrutura'!R17-'Equipe e infraestrutura'!R16)*D$4)</f>
        <v>0</v>
      </c>
      <c r="S41" s="190">
        <f>IF('Equipe e infraestrutura'!S16&gt;'Equipe e infraestrutura'!S17,0,('Equipe e infraestrutura'!S17-'Equipe e infraestrutura'!S16)*E$4)</f>
        <v>0</v>
      </c>
      <c r="T41" s="190">
        <f>IF('Equipe e infraestrutura'!T16&gt;'Equipe e infraestrutura'!T17,0,('Equipe e infraestrutura'!T17-'Equipe e infraestrutura'!T16)*F$4)</f>
        <v>0</v>
      </c>
      <c r="U41" s="228"/>
      <c r="V41" s="223" t="s">
        <v>159</v>
      </c>
      <c r="W41" s="190">
        <f>IF('Equipe e infraestrutura'!W17&gt;'Equipe e infraestrutura'!W16,'Equipe e infraestrutura'!W17*'base de dados'!$H$19,)</f>
        <v>0</v>
      </c>
      <c r="X41" s="190">
        <f>IF('Equipe e infraestrutura'!X17&gt;'Equipe e infraestrutura'!X16,'Equipe e infraestrutura'!X17*'base de dados'!$H$20,)</f>
        <v>0</v>
      </c>
      <c r="Y41" s="190">
        <f>IF('Equipe e infraestrutura'!Y17&gt;'Equipe e infraestrutura'!Y16,'Equipe e infraestrutura'!Y17*'base de dados'!$H$21,)</f>
        <v>0</v>
      </c>
    </row>
    <row r="42" spans="2:25" ht="16.5">
      <c r="B42" s="223" t="s">
        <v>160</v>
      </c>
      <c r="C42" s="190">
        <f>IF('Equipe e infraestrutura'!C17&gt;'Equipe e infraestrutura'!C18,0,('Equipe e infraestrutura'!C18-'Equipe e infraestrutura'!C17)*D$4)</f>
        <v>160000</v>
      </c>
      <c r="D42" s="190">
        <f>IF('Equipe e infraestrutura'!D17&gt;'Equipe e infraestrutura'!D18,0,('Equipe e infraestrutura'!D18-'Equipe e infraestrutura'!D17)*E$4)</f>
        <v>270000</v>
      </c>
      <c r="E42" s="190">
        <f>IF('Equipe e infraestrutura'!E17&gt;'Equipe e infraestrutura'!E18,0,('Equipe e infraestrutura'!E18-'Equipe e infraestrutura'!E17)*F$4)</f>
        <v>2100000</v>
      </c>
      <c r="F42" s="228"/>
      <c r="G42" s="223" t="s">
        <v>160</v>
      </c>
      <c r="H42" s="190">
        <f>IF('Equipe e infraestrutura'!H17&gt;'Equipe e infraestrutura'!H18,0,('Equipe e infraestrutura'!H18-'Equipe e infraestrutura'!H17)*D$4)</f>
        <v>400000</v>
      </c>
      <c r="I42" s="190">
        <f>IF('Equipe e infraestrutura'!I17&gt;'Equipe e infraestrutura'!I18,0,('Equipe e infraestrutura'!I18-'Equipe e infraestrutura'!I17)*E$4)</f>
        <v>990000</v>
      </c>
      <c r="J42" s="190">
        <f>IF('Equipe e infraestrutura'!J17&gt;'Equipe e infraestrutura'!J18,0,('Equipe e infraestrutura'!J18-'Equipe e infraestrutura'!J17)*F$4)</f>
        <v>6500000</v>
      </c>
      <c r="K42" s="228"/>
      <c r="L42" s="223" t="s">
        <v>160</v>
      </c>
      <c r="M42" s="190">
        <f>IF('Equipe e infraestrutura'!M17&gt;'Equipe e infraestrutura'!M18,0,('Equipe e infraestrutura'!M18-'Equipe e infraestrutura'!M17)*D$4)</f>
        <v>240000</v>
      </c>
      <c r="N42" s="190">
        <f>IF('Equipe e infraestrutura'!N17&gt;'Equipe e infraestrutura'!N18,0,('Equipe e infraestrutura'!N18-'Equipe e infraestrutura'!N17)*E$4)</f>
        <v>450000</v>
      </c>
      <c r="O42" s="190">
        <f>IF('Equipe e infraestrutura'!O17&gt;'Equipe e infraestrutura'!O18,0,('Equipe e infraestrutura'!O18-'Equipe e infraestrutura'!O17)*F$4)</f>
        <v>1700000</v>
      </c>
      <c r="P42" s="228"/>
      <c r="Q42" s="223" t="s">
        <v>160</v>
      </c>
      <c r="R42" s="190">
        <f>IF('Equipe e infraestrutura'!R17&gt;'Equipe e infraestrutura'!R18,0,('Equipe e infraestrutura'!R18-'Equipe e infraestrutura'!R17)*D$4)</f>
        <v>80000</v>
      </c>
      <c r="S42" s="190">
        <f>IF('Equipe e infraestrutura'!S17&gt;'Equipe e infraestrutura'!S18,0,('Equipe e infraestrutura'!S18-'Equipe e infraestrutura'!S17)*E$4)</f>
        <v>180000</v>
      </c>
      <c r="T42" s="190">
        <f>IF('Equipe e infraestrutura'!T17&gt;'Equipe e infraestrutura'!T18,0,('Equipe e infraestrutura'!T18-'Equipe e infraestrutura'!T17)*F$4)</f>
        <v>700000</v>
      </c>
      <c r="U42" s="228"/>
      <c r="V42" s="223" t="s">
        <v>160</v>
      </c>
      <c r="W42" s="190">
        <f>IF('Equipe e infraestrutura'!W18&gt;'Equipe e infraestrutura'!W17,'Equipe e infraestrutura'!W18*'base de dados'!$H$19,)</f>
        <v>160000</v>
      </c>
      <c r="X42" s="190">
        <f>IF('Equipe e infraestrutura'!X18&gt;'Equipe e infraestrutura'!X17,'Equipe e infraestrutura'!X18*'base de dados'!$H$20,)</f>
        <v>270000</v>
      </c>
      <c r="Y42" s="190">
        <f>IF('Equipe e infraestrutura'!Y18&gt;'Equipe e infraestrutura'!Y17,'Equipe e infraestrutura'!Y18*'base de dados'!$H$21,)</f>
        <v>800000</v>
      </c>
    </row>
    <row r="43" spans="2:25" s="229" customFormat="1">
      <c r="B43" s="311" t="s">
        <v>178</v>
      </c>
      <c r="C43" s="311">
        <f>SUM(C31:C42)</f>
        <v>640000</v>
      </c>
      <c r="D43" s="311">
        <f t="shared" ref="D43" si="3">SUM(D31:D42)</f>
        <v>1350000</v>
      </c>
      <c r="E43" s="311">
        <f t="shared" ref="E43" si="4">SUM(E31:E42)</f>
        <v>8800000</v>
      </c>
      <c r="F43" s="314"/>
      <c r="G43" s="311" t="s">
        <v>178</v>
      </c>
      <c r="H43" s="190">
        <f>IF('Equipe e infraestrutura'!H19&gt;'Equipe e infraestrutura'!H18,'Equipe e infraestrutura'!H19*'base de dados'!$H$19,)</f>
        <v>3920000</v>
      </c>
      <c r="I43" s="190">
        <f>IF('Equipe e infraestrutura'!I19&gt;'Equipe e infraestrutura'!I18,'Equipe e infraestrutura'!I19*'base de dados'!$H$19,)</f>
        <v>7120000</v>
      </c>
      <c r="J43" s="190">
        <f>IF('Equipe e infraestrutura'!J19&gt;'Equipe e infraestrutura'!J18,'Equipe e infraestrutura'!J19*'base de dados'!$H$19,)</f>
        <v>40000000</v>
      </c>
      <c r="K43" s="314"/>
      <c r="L43" s="311" t="s">
        <v>178</v>
      </c>
      <c r="M43" s="311">
        <f>SUM(M31:M42)</f>
        <v>800000</v>
      </c>
      <c r="N43" s="311">
        <f>SUM(N31:N42)</f>
        <v>1890000</v>
      </c>
      <c r="O43" s="311">
        <f>SUM(O31:O42)</f>
        <v>7400000</v>
      </c>
      <c r="P43" s="314"/>
      <c r="Q43" s="311" t="s">
        <v>178</v>
      </c>
      <c r="R43" s="311">
        <f>SUM(R31:R42)</f>
        <v>240000</v>
      </c>
      <c r="S43" s="311">
        <f>SUM(S31:S42)</f>
        <v>630000</v>
      </c>
      <c r="T43" s="311">
        <f>SUM(T31:T42)</f>
        <v>2900000</v>
      </c>
      <c r="U43" s="314"/>
      <c r="V43" s="312" t="s">
        <v>178</v>
      </c>
      <c r="W43" s="313">
        <f>SUM(W31:W42)</f>
        <v>240000</v>
      </c>
      <c r="X43" s="313">
        <f>SUM(X31:X42)</f>
        <v>900000</v>
      </c>
      <c r="Y43" s="313">
        <f>SUM(Y31:Y42)</f>
        <v>3700000</v>
      </c>
    </row>
    <row r="44" spans="2:25" ht="20.25" customHeight="1"/>
    <row r="45" spans="2:25" ht="48.75" customHeight="1">
      <c r="D45" s="276" t="s">
        <v>21</v>
      </c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</row>
    <row r="47" spans="2:25" ht="16.5">
      <c r="B47" s="225" t="s">
        <v>173</v>
      </c>
      <c r="C47" s="226" t="s">
        <v>22</v>
      </c>
      <c r="D47" s="227" t="s">
        <v>23</v>
      </c>
      <c r="E47" s="227" t="s">
        <v>24</v>
      </c>
      <c r="F47" s="228"/>
      <c r="G47" s="225" t="s">
        <v>174</v>
      </c>
      <c r="H47" s="226" t="s">
        <v>22</v>
      </c>
      <c r="I47" s="227" t="s">
        <v>23</v>
      </c>
      <c r="J47" s="227" t="s">
        <v>24</v>
      </c>
      <c r="K47" s="228"/>
      <c r="L47" s="225" t="s">
        <v>146</v>
      </c>
      <c r="M47" s="226" t="s">
        <v>22</v>
      </c>
      <c r="N47" s="227" t="s">
        <v>23</v>
      </c>
      <c r="O47" s="227" t="s">
        <v>24</v>
      </c>
      <c r="P47" s="228"/>
      <c r="Q47" s="225" t="s">
        <v>188</v>
      </c>
      <c r="R47" s="226" t="s">
        <v>22</v>
      </c>
      <c r="S47" s="227" t="s">
        <v>23</v>
      </c>
      <c r="T47" s="227" t="s">
        <v>24</v>
      </c>
      <c r="U47" s="228"/>
      <c r="V47" s="225" t="s">
        <v>148</v>
      </c>
      <c r="W47" s="226" t="s">
        <v>22</v>
      </c>
      <c r="X47" s="227" t="s">
        <v>23</v>
      </c>
      <c r="Y47" s="227" t="s">
        <v>24</v>
      </c>
    </row>
    <row r="48" spans="2:25" ht="16.5">
      <c r="B48" s="223" t="s">
        <v>149</v>
      </c>
      <c r="C48" s="190">
        <f>'Equipe e infraestrutura'!C7*'base de dados'!$I$19</f>
        <v>68500</v>
      </c>
      <c r="D48" s="190">
        <f>'Equipe e infraestrutura'!D7*'base de dados'!$I$20</f>
        <v>157000</v>
      </c>
      <c r="E48" s="190">
        <f>'Equipe e infraestrutura'!E7*'base de dados'!$I$21</f>
        <v>495000</v>
      </c>
      <c r="F48" s="228"/>
      <c r="G48" s="223" t="s">
        <v>149</v>
      </c>
      <c r="H48" s="190">
        <f>'Equipe e infraestrutura'!H7*'base de dados'!$I$19</f>
        <v>205500</v>
      </c>
      <c r="I48" s="190">
        <f>'Equipe e infraestrutura'!I7*'base de dados'!$I$20</f>
        <v>392500</v>
      </c>
      <c r="J48" s="190">
        <f>'Equipe e infraestrutura'!J7*'base de dados'!$I$21</f>
        <v>1320000</v>
      </c>
      <c r="K48" s="228"/>
      <c r="L48" s="223" t="s">
        <v>149</v>
      </c>
      <c r="M48" s="190">
        <f>'Equipe e infraestrutura'!M7*'base de dados'!$I$19</f>
        <v>137000</v>
      </c>
      <c r="N48" s="190">
        <f>'Equipe e infraestrutura'!N7*'base de dados'!$I$20</f>
        <v>235500</v>
      </c>
      <c r="O48" s="190">
        <f>'Equipe e infraestrutura'!O7*'base de dados'!$I$21</f>
        <v>495000</v>
      </c>
      <c r="P48" s="228"/>
      <c r="Q48" s="223" t="s">
        <v>149</v>
      </c>
      <c r="R48" s="190">
        <f>'Equipe e infraestrutura'!R7*'base de dados'!$I$19</f>
        <v>68500</v>
      </c>
      <c r="S48" s="190">
        <f>'Equipe e infraestrutura'!S7*'base de dados'!$I$20</f>
        <v>157000</v>
      </c>
      <c r="T48" s="190">
        <f>'Equipe e infraestrutura'!T7*'base de dados'!$I$21</f>
        <v>165000</v>
      </c>
      <c r="U48" s="228"/>
      <c r="V48" s="223" t="s">
        <v>149</v>
      </c>
      <c r="W48" s="190">
        <f>'Equipe e infraestrutura'!W7*'base de dados'!$I$19</f>
        <v>68500</v>
      </c>
      <c r="X48" s="190">
        <f>'Equipe e infraestrutura'!X7*'base de dados'!$I$20</f>
        <v>78500</v>
      </c>
      <c r="Y48" s="190">
        <f>'Equipe e infraestrutura'!Y7*'base de dados'!$I$21</f>
        <v>82500</v>
      </c>
    </row>
    <row r="49" spans="2:25" ht="16.5">
      <c r="B49" s="223" t="s">
        <v>150</v>
      </c>
      <c r="C49" s="190">
        <f>'Equipe e infraestrutura'!C8*'base de dados'!$I$19</f>
        <v>137000</v>
      </c>
      <c r="D49" s="190">
        <f>'Equipe e infraestrutura'!D8*'base de dados'!$I$20</f>
        <v>235500</v>
      </c>
      <c r="E49" s="190">
        <f>'Equipe e infraestrutura'!E8*'base de dados'!$I$21</f>
        <v>1237500</v>
      </c>
      <c r="F49" s="228"/>
      <c r="G49" s="223" t="s">
        <v>150</v>
      </c>
      <c r="H49" s="190">
        <f>'Equipe e infraestrutura'!H8*'base de dados'!$I$19</f>
        <v>274000</v>
      </c>
      <c r="I49" s="190">
        <f>'Equipe e infraestrutura'!I8*'base de dados'!$I$20</f>
        <v>549500</v>
      </c>
      <c r="J49" s="190">
        <f>'Equipe e infraestrutura'!J8*'base de dados'!$I$21</f>
        <v>3547500</v>
      </c>
      <c r="K49" s="228"/>
      <c r="L49" s="223" t="s">
        <v>150</v>
      </c>
      <c r="M49" s="190">
        <f>'Equipe e infraestrutura'!M8*'base de dados'!$I$19</f>
        <v>137000</v>
      </c>
      <c r="N49" s="190">
        <f>'Equipe e infraestrutura'!N8*'base de dados'!$I$20</f>
        <v>314000</v>
      </c>
      <c r="O49" s="190">
        <f>'Equipe e infraestrutura'!O8*'base de dados'!$I$21</f>
        <v>1072500</v>
      </c>
      <c r="P49" s="228"/>
      <c r="Q49" s="223" t="s">
        <v>150</v>
      </c>
      <c r="R49" s="190">
        <f>'Equipe e infraestrutura'!R8*'base de dados'!$I$19</f>
        <v>68500</v>
      </c>
      <c r="S49" s="190">
        <f>'Equipe e infraestrutura'!S8*'base de dados'!$I$20</f>
        <v>157000</v>
      </c>
      <c r="T49" s="190">
        <f>'Equipe e infraestrutura'!T8*'base de dados'!$I$21</f>
        <v>412500</v>
      </c>
      <c r="U49" s="228"/>
      <c r="V49" s="223" t="s">
        <v>150</v>
      </c>
      <c r="W49" s="190">
        <f>'Equipe e infraestrutura'!W8*'base de dados'!$I$19</f>
        <v>68500</v>
      </c>
      <c r="X49" s="190">
        <f>'Equipe e infraestrutura'!X8*'base de dados'!$I$20</f>
        <v>78500</v>
      </c>
      <c r="Y49" s="190">
        <f>'Equipe e infraestrutura'!Y8*'base de dados'!$I$21</f>
        <v>330000</v>
      </c>
    </row>
    <row r="50" spans="2:25" ht="16.5">
      <c r="B50" s="223" t="s">
        <v>151</v>
      </c>
      <c r="C50" s="190">
        <f>'Equipe e infraestrutura'!C9*'base de dados'!$I$19</f>
        <v>68500</v>
      </c>
      <c r="D50" s="190">
        <f>'Equipe e infraestrutura'!D9*'base de dados'!$I$20</f>
        <v>78500</v>
      </c>
      <c r="E50" s="190">
        <f>'Equipe e infraestrutura'!E9*'base de dados'!$I$21</f>
        <v>0</v>
      </c>
      <c r="F50" s="228"/>
      <c r="G50" s="223" t="s">
        <v>151</v>
      </c>
      <c r="H50" s="190">
        <f>'Equipe e infraestrutura'!H9*'base de dados'!$I$19</f>
        <v>68500</v>
      </c>
      <c r="I50" s="190">
        <f>'Equipe e infraestrutura'!I9*'base de dados'!$I$20</f>
        <v>78500</v>
      </c>
      <c r="J50" s="190">
        <f>'Equipe e infraestrutura'!J9*'base de dados'!$I$21</f>
        <v>247500</v>
      </c>
      <c r="K50" s="228"/>
      <c r="L50" s="223" t="s">
        <v>151</v>
      </c>
      <c r="M50" s="190">
        <f>'Equipe e infraestrutura'!M9*'base de dados'!$I$19</f>
        <v>68500</v>
      </c>
      <c r="N50" s="190">
        <f>'Equipe e infraestrutura'!N9*'base de dados'!$I$20</f>
        <v>78500</v>
      </c>
      <c r="O50" s="190">
        <f>'Equipe e infraestrutura'!O9*'base de dados'!$I$21</f>
        <v>82500</v>
      </c>
      <c r="P50" s="228"/>
      <c r="Q50" s="223" t="s">
        <v>151</v>
      </c>
      <c r="R50" s="190">
        <f>'Equipe e infraestrutura'!R9*'base de dados'!$I$19</f>
        <v>68500</v>
      </c>
      <c r="S50" s="190">
        <f>'Equipe e infraestrutura'!S9*'base de dados'!$I$20</f>
        <v>78500</v>
      </c>
      <c r="T50" s="190">
        <f>'Equipe e infraestrutura'!T9*'base de dados'!$I$21</f>
        <v>0</v>
      </c>
      <c r="U50" s="228"/>
      <c r="V50" s="223" t="s">
        <v>151</v>
      </c>
      <c r="W50" s="190">
        <f>'Equipe e infraestrutura'!W9*'base de dados'!$I$19</f>
        <v>68500</v>
      </c>
      <c r="X50" s="190">
        <f>'Equipe e infraestrutura'!X9*'base de dados'!$I$20</f>
        <v>78500</v>
      </c>
      <c r="Y50" s="190">
        <f>'Equipe e infraestrutura'!Y9*'base de dados'!$I$21</f>
        <v>0</v>
      </c>
    </row>
    <row r="51" spans="2:25" ht="16.5">
      <c r="B51" s="223" t="s">
        <v>152</v>
      </c>
      <c r="C51" s="190">
        <f>'Equipe e infraestrutura'!C10*'base de dados'!$I$19</f>
        <v>137000</v>
      </c>
      <c r="D51" s="190">
        <f>'Equipe e infraestrutura'!D10*'base de dados'!$I$20</f>
        <v>314000</v>
      </c>
      <c r="E51" s="190">
        <f>'Equipe e infraestrutura'!E10*'base de dados'!$I$21</f>
        <v>1732500</v>
      </c>
      <c r="F51" s="228"/>
      <c r="G51" s="223" t="s">
        <v>152</v>
      </c>
      <c r="H51" s="190">
        <f>'Equipe e infraestrutura'!H10*'base de dados'!$I$19</f>
        <v>411000</v>
      </c>
      <c r="I51" s="190">
        <f>'Equipe e infraestrutura'!I10*'base de dados'!$I$20</f>
        <v>863500</v>
      </c>
      <c r="J51" s="190">
        <f>'Equipe e infraestrutura'!J10*'base de dados'!$I$21</f>
        <v>5197500</v>
      </c>
      <c r="K51" s="228"/>
      <c r="L51" s="223" t="s">
        <v>152</v>
      </c>
      <c r="M51" s="190">
        <f>'Equipe e infraestrutura'!M10*'base de dados'!$I$19</f>
        <v>205500</v>
      </c>
      <c r="N51" s="190">
        <f>'Equipe e infraestrutura'!N10*'base de dados'!$I$20</f>
        <v>471000</v>
      </c>
      <c r="O51" s="190">
        <f>'Equipe e infraestrutura'!O10*'base de dados'!$I$21</f>
        <v>1485000</v>
      </c>
      <c r="P51" s="228"/>
      <c r="Q51" s="223" t="s">
        <v>152</v>
      </c>
      <c r="R51" s="190">
        <f>'Equipe e infraestrutura'!R10*'base de dados'!$I$19</f>
        <v>68500</v>
      </c>
      <c r="S51" s="190">
        <f>'Equipe e infraestrutura'!S10*'base de dados'!$I$20</f>
        <v>157000</v>
      </c>
      <c r="T51" s="190">
        <f>'Equipe e infraestrutura'!T10*'base de dados'!$I$21</f>
        <v>577500</v>
      </c>
      <c r="U51" s="228"/>
      <c r="V51" s="223" t="s">
        <v>152</v>
      </c>
      <c r="W51" s="190">
        <f>'Equipe e infraestrutura'!W10*'base de dados'!$I$19</f>
        <v>68500</v>
      </c>
      <c r="X51" s="190">
        <f>'Equipe e infraestrutura'!X10*'base de dados'!$I$20</f>
        <v>157000</v>
      </c>
      <c r="Y51" s="190">
        <f>'Equipe e infraestrutura'!Y10*'base de dados'!$I$21</f>
        <v>495000</v>
      </c>
    </row>
    <row r="52" spans="2:25" ht="16.5">
      <c r="B52" s="223" t="s">
        <v>153</v>
      </c>
      <c r="C52" s="190">
        <f>'Equipe e infraestrutura'!C11*'base de dados'!$I$19</f>
        <v>68500</v>
      </c>
      <c r="D52" s="190">
        <f>'Equipe e infraestrutura'!D11*'base de dados'!$I$20</f>
        <v>157000</v>
      </c>
      <c r="E52" s="190">
        <f>'Equipe e infraestrutura'!E11*'base de dados'!$I$21</f>
        <v>907500</v>
      </c>
      <c r="F52" s="228"/>
      <c r="G52" s="223" t="s">
        <v>153</v>
      </c>
      <c r="H52" s="190">
        <f>'Equipe e infraestrutura'!H11*'base de dados'!$I$19</f>
        <v>205500</v>
      </c>
      <c r="I52" s="190">
        <f>'Equipe e infraestrutura'!I11*'base de dados'!$I$20</f>
        <v>392500</v>
      </c>
      <c r="J52" s="190">
        <f>'Equipe e infraestrutura'!J11*'base de dados'!$I$21</f>
        <v>2475000</v>
      </c>
      <c r="K52" s="228"/>
      <c r="L52" s="223" t="s">
        <v>153</v>
      </c>
      <c r="M52" s="190">
        <f>'Equipe e infraestrutura'!M11*'base de dados'!$I$19</f>
        <v>137000</v>
      </c>
      <c r="N52" s="190">
        <f>'Equipe e infraestrutura'!N11*'base de dados'!$I$20</f>
        <v>235500</v>
      </c>
      <c r="O52" s="190">
        <f>'Equipe e infraestrutura'!O11*'base de dados'!$I$21</f>
        <v>742500</v>
      </c>
      <c r="P52" s="228"/>
      <c r="Q52" s="223" t="s">
        <v>153</v>
      </c>
      <c r="R52" s="190">
        <f>'Equipe e infraestrutura'!R11*'base de dados'!$I$19</f>
        <v>68500</v>
      </c>
      <c r="S52" s="190">
        <f>'Equipe e infraestrutura'!S11*'base de dados'!$I$20</f>
        <v>157000</v>
      </c>
      <c r="T52" s="190">
        <f>'Equipe e infraestrutura'!T11*'base de dados'!$I$21</f>
        <v>247500</v>
      </c>
      <c r="U52" s="228"/>
      <c r="V52" s="223" t="s">
        <v>153</v>
      </c>
      <c r="W52" s="190">
        <f>'Equipe e infraestrutura'!W11*'base de dados'!$I$19</f>
        <v>68500</v>
      </c>
      <c r="X52" s="190">
        <f>'Equipe e infraestrutura'!X11*'base de dados'!$I$20</f>
        <v>78500</v>
      </c>
      <c r="Y52" s="190">
        <f>'Equipe e infraestrutura'!Y11*'base de dados'!$I$21</f>
        <v>247500</v>
      </c>
    </row>
    <row r="53" spans="2:25" ht="16.5">
      <c r="B53" s="223" t="s">
        <v>154</v>
      </c>
      <c r="C53" s="190">
        <f>'Equipe e infraestrutura'!C12*'base de dados'!$I$19</f>
        <v>137000</v>
      </c>
      <c r="D53" s="190">
        <f>'Equipe e infraestrutura'!D12*'base de dados'!$I$20</f>
        <v>235500</v>
      </c>
      <c r="E53" s="190">
        <f>'Equipe e infraestrutura'!E12*'base de dados'!$I$21</f>
        <v>1485000</v>
      </c>
      <c r="F53" s="228"/>
      <c r="G53" s="223" t="s">
        <v>154</v>
      </c>
      <c r="H53" s="190">
        <f>'Equipe e infraestrutura'!H12*'base de dados'!$I$19</f>
        <v>342500</v>
      </c>
      <c r="I53" s="190">
        <f>'Equipe e infraestrutura'!I12*'base de dados'!$I$20</f>
        <v>706500</v>
      </c>
      <c r="J53" s="190">
        <f>'Equipe e infraestrutura'!J12*'base de dados'!$I$21</f>
        <v>4042500</v>
      </c>
      <c r="K53" s="228"/>
      <c r="L53" s="223" t="s">
        <v>154</v>
      </c>
      <c r="M53" s="190">
        <f>'Equipe e infraestrutura'!M12*'base de dados'!$I$19</f>
        <v>205500</v>
      </c>
      <c r="N53" s="190">
        <f>'Equipe e infraestrutura'!N12*'base de dados'!$I$20</f>
        <v>392500</v>
      </c>
      <c r="O53" s="190">
        <f>'Equipe e infraestrutura'!O12*'base de dados'!$I$21</f>
        <v>1155000</v>
      </c>
      <c r="P53" s="228"/>
      <c r="Q53" s="223" t="s">
        <v>154</v>
      </c>
      <c r="R53" s="190">
        <f>'Equipe e infraestrutura'!R12*'base de dados'!$I$19</f>
        <v>68500</v>
      </c>
      <c r="S53" s="190">
        <f>'Equipe e infraestrutura'!S12*'base de dados'!$I$20</f>
        <v>157000</v>
      </c>
      <c r="T53" s="190">
        <f>'Equipe e infraestrutura'!T12*'base de dados'!$I$21</f>
        <v>412500</v>
      </c>
      <c r="U53" s="228"/>
      <c r="V53" s="223" t="s">
        <v>154</v>
      </c>
      <c r="W53" s="190">
        <f>'Equipe e infraestrutura'!W12*'base de dados'!$I$19</f>
        <v>68500</v>
      </c>
      <c r="X53" s="190">
        <f>'Equipe e infraestrutura'!X12*'base de dados'!$I$20</f>
        <v>157000</v>
      </c>
      <c r="Y53" s="190">
        <f>'Equipe e infraestrutura'!Y12*'base de dados'!$I$21</f>
        <v>412500</v>
      </c>
    </row>
    <row r="54" spans="2:25" ht="16.5">
      <c r="B54" s="223" t="s">
        <v>155</v>
      </c>
      <c r="C54" s="190">
        <f>'Equipe e infraestrutura'!C13*'base de dados'!$I$19</f>
        <v>137000</v>
      </c>
      <c r="D54" s="190">
        <f>'Equipe e infraestrutura'!D13*'base de dados'!$I$20</f>
        <v>314000</v>
      </c>
      <c r="E54" s="190">
        <f>'Equipe e infraestrutura'!E13*'base de dados'!$I$21</f>
        <v>1732500</v>
      </c>
      <c r="F54" s="228"/>
      <c r="G54" s="223" t="s">
        <v>155</v>
      </c>
      <c r="H54" s="190">
        <f>'Equipe e infraestrutura'!H13*'base de dados'!$I$19</f>
        <v>411000</v>
      </c>
      <c r="I54" s="190">
        <f>'Equipe e infraestrutura'!I13*'base de dados'!$I$20</f>
        <v>863500</v>
      </c>
      <c r="J54" s="190">
        <f>'Equipe e infraestrutura'!J13*'base de dados'!$I$21</f>
        <v>5197500</v>
      </c>
      <c r="K54" s="228"/>
      <c r="L54" s="223" t="s">
        <v>155</v>
      </c>
      <c r="M54" s="190">
        <f>'Equipe e infraestrutura'!M13*'base de dados'!$I$19</f>
        <v>205500</v>
      </c>
      <c r="N54" s="190">
        <f>'Equipe e infraestrutura'!N13*'base de dados'!$I$20</f>
        <v>471000</v>
      </c>
      <c r="O54" s="190">
        <f>'Equipe e infraestrutura'!O13*'base de dados'!$I$21</f>
        <v>1567500</v>
      </c>
      <c r="P54" s="228"/>
      <c r="Q54" s="223" t="s">
        <v>155</v>
      </c>
      <c r="R54" s="190">
        <f>'Equipe e infraestrutura'!R13*'base de dados'!$I$19</f>
        <v>68500</v>
      </c>
      <c r="S54" s="190">
        <f>'Equipe e infraestrutura'!S13*'base de dados'!$I$20</f>
        <v>157000</v>
      </c>
      <c r="T54" s="190">
        <f>'Equipe e infraestrutura'!T13*'base de dados'!$I$21</f>
        <v>577500</v>
      </c>
      <c r="U54" s="228"/>
      <c r="V54" s="223" t="s">
        <v>155</v>
      </c>
      <c r="W54" s="190">
        <f>'Equipe e infraestrutura'!W13*'base de dados'!$I$19</f>
        <v>68500</v>
      </c>
      <c r="X54" s="190">
        <f>'Equipe e infraestrutura'!X13*'base de dados'!$I$20</f>
        <v>157000</v>
      </c>
      <c r="Y54" s="190">
        <f>'Equipe e infraestrutura'!Y13*'base de dados'!$I$21</f>
        <v>495000</v>
      </c>
    </row>
    <row r="55" spans="2:25" ht="16.5">
      <c r="B55" s="223" t="s">
        <v>156</v>
      </c>
      <c r="C55" s="190">
        <f>'Equipe e infraestrutura'!C14*'base de dados'!$I$19</f>
        <v>137000</v>
      </c>
      <c r="D55" s="190">
        <f>'Equipe e infraestrutura'!D14*'base de dados'!$I$20</f>
        <v>235500</v>
      </c>
      <c r="E55" s="190">
        <f>'Equipe e infraestrutura'!E14*'base de dados'!$I$21</f>
        <v>1320000</v>
      </c>
      <c r="F55" s="228"/>
      <c r="G55" s="223" t="s">
        <v>156</v>
      </c>
      <c r="H55" s="190">
        <f>'Equipe e infraestrutura'!H14*'base de dados'!$I$19</f>
        <v>274000</v>
      </c>
      <c r="I55" s="190">
        <f>'Equipe e infraestrutura'!I14*'base de dados'!$I$20</f>
        <v>628000</v>
      </c>
      <c r="J55" s="190">
        <f>'Equipe e infraestrutura'!J14*'base de dados'!$I$21</f>
        <v>3712500</v>
      </c>
      <c r="K55" s="228"/>
      <c r="L55" s="223" t="s">
        <v>156</v>
      </c>
      <c r="M55" s="190">
        <f>'Equipe e infraestrutura'!M14*'base de dados'!$I$19</f>
        <v>137000</v>
      </c>
      <c r="N55" s="190">
        <f>'Equipe e infraestrutura'!N14*'base de dados'!$I$20</f>
        <v>314000</v>
      </c>
      <c r="O55" s="190">
        <f>'Equipe e infraestrutura'!O14*'base de dados'!$I$21</f>
        <v>1072500</v>
      </c>
      <c r="P55" s="228"/>
      <c r="Q55" s="223" t="s">
        <v>156</v>
      </c>
      <c r="R55" s="190">
        <f>'Equipe e infraestrutura'!R14*'base de dados'!$I$19</f>
        <v>68500</v>
      </c>
      <c r="S55" s="190">
        <f>'Equipe e infraestrutura'!S14*'base de dados'!$I$20</f>
        <v>157000</v>
      </c>
      <c r="T55" s="190">
        <f>'Equipe e infraestrutura'!T14*'base de dados'!$I$21</f>
        <v>412500</v>
      </c>
      <c r="U55" s="228"/>
      <c r="V55" s="223" t="s">
        <v>156</v>
      </c>
      <c r="W55" s="190">
        <f>'Equipe e infraestrutura'!W14*'base de dados'!$I$19</f>
        <v>68500</v>
      </c>
      <c r="X55" s="190">
        <f>'Equipe e infraestrutura'!X14*'base de dados'!$I$20</f>
        <v>157000</v>
      </c>
      <c r="Y55" s="190">
        <f>'Equipe e infraestrutura'!Y14*'base de dados'!$I$21</f>
        <v>330000</v>
      </c>
    </row>
    <row r="56" spans="2:25" ht="16.5">
      <c r="B56" s="223" t="s">
        <v>157</v>
      </c>
      <c r="C56" s="190">
        <f>'Equipe e infraestrutura'!C15*'base de dados'!$I$19</f>
        <v>68500</v>
      </c>
      <c r="D56" s="190">
        <f>'Equipe e infraestrutura'!D15*'base de dados'!$I$20</f>
        <v>78500</v>
      </c>
      <c r="E56" s="190">
        <f>'Equipe e infraestrutura'!E15*'base de dados'!$I$21</f>
        <v>412500</v>
      </c>
      <c r="F56" s="228"/>
      <c r="G56" s="223" t="s">
        <v>157</v>
      </c>
      <c r="H56" s="190">
        <f>'Equipe e infraestrutura'!H15*'base de dados'!$I$19</f>
        <v>137000</v>
      </c>
      <c r="I56" s="190">
        <f>'Equipe e infraestrutura'!I15*'base de dados'!$I$20</f>
        <v>235500</v>
      </c>
      <c r="J56" s="190">
        <f>'Equipe e infraestrutura'!J15*'base de dados'!$I$21</f>
        <v>1155000</v>
      </c>
      <c r="K56" s="228"/>
      <c r="L56" s="223" t="s">
        <v>157</v>
      </c>
      <c r="M56" s="190">
        <f>'Equipe e infraestrutura'!M15*'base de dados'!$I$19</f>
        <v>68500</v>
      </c>
      <c r="N56" s="190">
        <f>'Equipe e infraestrutura'!N15*'base de dados'!$I$20</f>
        <v>157000</v>
      </c>
      <c r="O56" s="190">
        <f>'Equipe e infraestrutura'!O15*'base de dados'!$I$21</f>
        <v>330000</v>
      </c>
      <c r="P56" s="228"/>
      <c r="Q56" s="223" t="s">
        <v>157</v>
      </c>
      <c r="R56" s="190">
        <f>'Equipe e infraestrutura'!R15*'base de dados'!$I$19</f>
        <v>68500</v>
      </c>
      <c r="S56" s="190">
        <f>'Equipe e infraestrutura'!S15*'base de dados'!$I$20</f>
        <v>78500</v>
      </c>
      <c r="T56" s="190">
        <f>'Equipe e infraestrutura'!T15*'base de dados'!$I$21</f>
        <v>165000</v>
      </c>
      <c r="U56" s="228"/>
      <c r="V56" s="223" t="s">
        <v>157</v>
      </c>
      <c r="W56" s="190">
        <f>'Equipe e infraestrutura'!W15*'base de dados'!$I$19</f>
        <v>68500</v>
      </c>
      <c r="X56" s="190">
        <f>'Equipe e infraestrutura'!X15*'base de dados'!$I$20</f>
        <v>78500</v>
      </c>
      <c r="Y56" s="190">
        <f>'Equipe e infraestrutura'!Y15*'base de dados'!$I$21</f>
        <v>82500</v>
      </c>
    </row>
    <row r="57" spans="2:25" ht="16.5">
      <c r="B57" s="223" t="s">
        <v>158</v>
      </c>
      <c r="C57" s="190">
        <f>'Equipe e infraestrutura'!C16*'base de dados'!$I$19</f>
        <v>205500</v>
      </c>
      <c r="D57" s="190">
        <f>'Equipe e infraestrutura'!D16*'base de dados'!$I$20</f>
        <v>392500</v>
      </c>
      <c r="E57" s="190">
        <f>'Equipe e infraestrutura'!E16*'base de dados'!$I$21</f>
        <v>2145000</v>
      </c>
      <c r="F57" s="228"/>
      <c r="G57" s="223" t="s">
        <v>158</v>
      </c>
      <c r="H57" s="190">
        <f>'Equipe e infraestrutura'!H16*'base de dados'!$I$19</f>
        <v>411000</v>
      </c>
      <c r="I57" s="190">
        <f>'Equipe e infraestrutura'!I16*'base de dados'!$I$20</f>
        <v>942000</v>
      </c>
      <c r="J57" s="190">
        <f>'Equipe e infraestrutura'!J16*'base de dados'!$I$21</f>
        <v>6022500</v>
      </c>
      <c r="K57" s="228"/>
      <c r="L57" s="223" t="s">
        <v>158</v>
      </c>
      <c r="M57" s="190">
        <f>'Equipe e infraestrutura'!M16*'base de dados'!$I$19</f>
        <v>205500</v>
      </c>
      <c r="N57" s="190">
        <f>'Equipe e infraestrutura'!N16*'base de dados'!$I$20</f>
        <v>471000</v>
      </c>
      <c r="O57" s="190">
        <f>'Equipe e infraestrutura'!O16*'base de dados'!$I$21</f>
        <v>1732500</v>
      </c>
      <c r="P57" s="228"/>
      <c r="Q57" s="223" t="s">
        <v>158</v>
      </c>
      <c r="R57" s="190">
        <f>'Equipe e infraestrutura'!R16*'base de dados'!$I$19</f>
        <v>137000</v>
      </c>
      <c r="S57" s="190">
        <f>'Equipe e infraestrutura'!S16*'base de dados'!$I$20</f>
        <v>235500</v>
      </c>
      <c r="T57" s="190">
        <f>'Equipe e infraestrutura'!T16*'base de dados'!$I$21</f>
        <v>660000</v>
      </c>
      <c r="U57" s="228"/>
      <c r="V57" s="223" t="s">
        <v>158</v>
      </c>
      <c r="W57" s="190">
        <f>'Equipe e infraestrutura'!W16*'base de dados'!$I$19</f>
        <v>68500</v>
      </c>
      <c r="X57" s="190">
        <f>'Equipe e infraestrutura'!X16*'base de dados'!$I$20</f>
        <v>157000</v>
      </c>
      <c r="Y57" s="190">
        <f>'Equipe e infraestrutura'!Y16*'base de dados'!$I$21</f>
        <v>577500</v>
      </c>
    </row>
    <row r="58" spans="2:25" ht="16.5">
      <c r="B58" s="223" t="s">
        <v>159</v>
      </c>
      <c r="C58" s="190">
        <f>'Equipe e infraestrutura'!C17*'base de dados'!$I$19</f>
        <v>68500</v>
      </c>
      <c r="D58" s="190">
        <f>'Equipe e infraestrutura'!D17*'base de dados'!$I$20</f>
        <v>157000</v>
      </c>
      <c r="E58" s="190">
        <f>'Equipe e infraestrutura'!E17*'base de dados'!$I$21</f>
        <v>577500</v>
      </c>
      <c r="F58" s="228"/>
      <c r="G58" s="223" t="s">
        <v>159</v>
      </c>
      <c r="H58" s="190">
        <f>'Equipe e infraestrutura'!H17*'base de dados'!$I$19</f>
        <v>137000</v>
      </c>
      <c r="I58" s="190">
        <f>'Equipe e infraestrutura'!I17*'base de dados'!$I$20</f>
        <v>235500</v>
      </c>
      <c r="J58" s="190">
        <f>'Equipe e infraestrutura'!J17*'base de dados'!$I$21</f>
        <v>1485000</v>
      </c>
      <c r="K58" s="228"/>
      <c r="L58" s="223" t="s">
        <v>159</v>
      </c>
      <c r="M58" s="190">
        <f>'Equipe e infraestrutura'!M17*'base de dados'!$I$19</f>
        <v>68500</v>
      </c>
      <c r="N58" s="190">
        <f>'Equipe e infraestrutura'!N17*'base de dados'!$I$20</f>
        <v>157000</v>
      </c>
      <c r="O58" s="190">
        <f>'Equipe e infraestrutura'!O17*'base de dados'!$I$21</f>
        <v>577500</v>
      </c>
      <c r="P58" s="228"/>
      <c r="Q58" s="223" t="s">
        <v>159</v>
      </c>
      <c r="R58" s="190">
        <f>'Equipe e infraestrutura'!R17*'base de dados'!$I$19</f>
        <v>68500</v>
      </c>
      <c r="S58" s="190">
        <f>'Equipe e infraestrutura'!S17*'base de dados'!$I$20</f>
        <v>78500</v>
      </c>
      <c r="T58" s="190">
        <f>'Equipe e infraestrutura'!T17*'base de dados'!$I$21</f>
        <v>165000</v>
      </c>
      <c r="U58" s="228"/>
      <c r="V58" s="223" t="s">
        <v>159</v>
      </c>
      <c r="W58" s="190">
        <f>'Equipe e infraestrutura'!W17*'base de dados'!$I$19</f>
        <v>68500</v>
      </c>
      <c r="X58" s="190">
        <f>'Equipe e infraestrutura'!X17*'base de dados'!$I$20</f>
        <v>78500</v>
      </c>
      <c r="Y58" s="190">
        <f>'Equipe e infraestrutura'!Y17*'base de dados'!$I$21</f>
        <v>165000</v>
      </c>
    </row>
    <row r="59" spans="2:25" ht="16.5">
      <c r="B59" s="223" t="s">
        <v>160</v>
      </c>
      <c r="C59" s="190">
        <f>'Equipe e infraestrutura'!C18*'base de dados'!$I$19</f>
        <v>205500</v>
      </c>
      <c r="D59" s="190">
        <f>'Equipe e infraestrutura'!D18*'base de dados'!$I$20</f>
        <v>392500</v>
      </c>
      <c r="E59" s="190">
        <f>'Equipe e infraestrutura'!E18*'base de dados'!$I$21</f>
        <v>2310000</v>
      </c>
      <c r="F59" s="228"/>
      <c r="G59" s="223" t="s">
        <v>160</v>
      </c>
      <c r="H59" s="190">
        <f>'Equipe e infraestrutura'!H18*'base de dados'!$I$19</f>
        <v>479500</v>
      </c>
      <c r="I59" s="190">
        <f>'Equipe e infraestrutura'!I18*'base de dados'!$I$20</f>
        <v>1099000</v>
      </c>
      <c r="J59" s="190">
        <f>'Equipe e infraestrutura'!J18*'base de dados'!$I$21</f>
        <v>6847500</v>
      </c>
      <c r="K59" s="228"/>
      <c r="L59" s="223" t="s">
        <v>160</v>
      </c>
      <c r="M59" s="190">
        <f>'Equipe e infraestrutura'!M18*'base de dados'!$I$19</f>
        <v>274000</v>
      </c>
      <c r="N59" s="190">
        <f>'Equipe e infraestrutura'!N18*'base de dados'!$I$20</f>
        <v>549500</v>
      </c>
      <c r="O59" s="190">
        <f>'Equipe e infraestrutura'!O18*'base de dados'!$I$21</f>
        <v>1980000</v>
      </c>
      <c r="P59" s="228"/>
      <c r="Q59" s="223" t="s">
        <v>160</v>
      </c>
      <c r="R59" s="190">
        <f>'Equipe e infraestrutura'!R18*'base de dados'!$I$19</f>
        <v>137000</v>
      </c>
      <c r="S59" s="190">
        <f>'Equipe e infraestrutura'!S18*'base de dados'!$I$20</f>
        <v>235500</v>
      </c>
      <c r="T59" s="190">
        <f>'Equipe e infraestrutura'!T18*'base de dados'!$I$21</f>
        <v>742500</v>
      </c>
      <c r="U59" s="228"/>
      <c r="V59" s="223" t="s">
        <v>160</v>
      </c>
      <c r="W59" s="190">
        <f>'Equipe e infraestrutura'!W18*'base de dados'!$I$19</f>
        <v>137000</v>
      </c>
      <c r="X59" s="190">
        <f>'Equipe e infraestrutura'!X18*'base de dados'!$I$20</f>
        <v>235500</v>
      </c>
      <c r="Y59" s="190">
        <f>'Equipe e infraestrutura'!Y18*'base de dados'!$I$21</f>
        <v>660000</v>
      </c>
    </row>
    <row r="60" spans="2:25">
      <c r="B60" s="311" t="s">
        <v>178</v>
      </c>
      <c r="C60" s="311">
        <f>SUM(C48:C59)</f>
        <v>1438500</v>
      </c>
      <c r="D60" s="311">
        <f t="shared" ref="D60" si="5">SUM(D48:D59)</f>
        <v>2747500</v>
      </c>
      <c r="E60" s="311">
        <f t="shared" ref="E60" si="6">SUM(E48:E59)</f>
        <v>14355000</v>
      </c>
      <c r="F60" s="314"/>
      <c r="G60" s="311" t="s">
        <v>178</v>
      </c>
      <c r="H60" s="311">
        <f>SUM(H48:H59)</f>
        <v>3356500</v>
      </c>
      <c r="I60" s="311">
        <f t="shared" ref="I60" si="7">SUM(I48:I59)</f>
        <v>6986500</v>
      </c>
      <c r="J60" s="311">
        <f t="shared" ref="J60" si="8">SUM(J48:J59)</f>
        <v>41250000</v>
      </c>
      <c r="K60" s="314"/>
      <c r="L60" s="311" t="s">
        <v>178</v>
      </c>
      <c r="M60" s="311">
        <f>SUM(M48:M59)</f>
        <v>1849500</v>
      </c>
      <c r="N60" s="311">
        <f>SUM(N48:N59)</f>
        <v>3846500</v>
      </c>
      <c r="O60" s="311">
        <f>SUM(O48:O59)</f>
        <v>12292500</v>
      </c>
      <c r="P60" s="314"/>
      <c r="Q60" s="311" t="s">
        <v>178</v>
      </c>
      <c r="R60" s="311">
        <f>SUM(R48:R59)</f>
        <v>959000</v>
      </c>
      <c r="S60" s="311">
        <f>SUM(S48:S59)</f>
        <v>1805500</v>
      </c>
      <c r="T60" s="311">
        <f>SUM(T48:T59)</f>
        <v>4537500</v>
      </c>
      <c r="U60" s="314"/>
      <c r="V60" s="312" t="s">
        <v>178</v>
      </c>
      <c r="W60" s="313">
        <f>SUM(W48:W59)</f>
        <v>890500</v>
      </c>
      <c r="X60" s="313">
        <f>SUM(X48:X59)</f>
        <v>1491500</v>
      </c>
      <c r="Y60" s="313">
        <f>SUM(Y48:Y59)</f>
        <v>3877500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D3C3-01EF-43CA-9046-9616A7CE79A7}">
  <dimension ref="B2:Y57"/>
  <sheetViews>
    <sheetView topLeftCell="A24" workbookViewId="0">
      <selection activeCell="C41" sqref="C41"/>
    </sheetView>
  </sheetViews>
  <sheetFormatPr defaultRowHeight="15"/>
  <cols>
    <col min="2" max="2" width="12.28515625" customWidth="1"/>
    <col min="3" max="3" width="30.7109375" bestFit="1" customWidth="1"/>
    <col min="4" max="4" width="32" bestFit="1" customWidth="1"/>
    <col min="5" max="5" width="20.85546875" customWidth="1"/>
    <col min="7" max="7" width="17.140625" customWidth="1"/>
    <col min="8" max="8" width="30.7109375" bestFit="1" customWidth="1"/>
    <col min="9" max="9" width="32" bestFit="1" customWidth="1"/>
    <col min="10" max="10" width="29.7109375" customWidth="1"/>
    <col min="12" max="12" width="11" bestFit="1" customWidth="1"/>
    <col min="13" max="13" width="30.7109375" bestFit="1" customWidth="1"/>
    <col min="14" max="14" width="32" bestFit="1" customWidth="1"/>
    <col min="15" max="15" width="37.5703125" bestFit="1" customWidth="1"/>
    <col min="17" max="17" width="13.140625" bestFit="1" customWidth="1"/>
    <col min="18" max="18" width="30.7109375" bestFit="1" customWidth="1"/>
    <col min="19" max="19" width="32" bestFit="1" customWidth="1"/>
    <col min="20" max="20" width="32.85546875" customWidth="1"/>
    <col min="22" max="22" width="13.140625" bestFit="1" customWidth="1"/>
    <col min="23" max="23" width="30.7109375" bestFit="1" customWidth="1"/>
    <col min="24" max="24" width="32" bestFit="1" customWidth="1"/>
    <col min="25" max="25" width="37.5703125" bestFit="1" customWidth="1"/>
  </cols>
  <sheetData>
    <row r="2" spans="2:25">
      <c r="B2" s="408" t="s">
        <v>25</v>
      </c>
      <c r="C2" s="409"/>
      <c r="D2" s="410"/>
      <c r="E2" s="6">
        <v>10</v>
      </c>
    </row>
    <row r="3" spans="2:25">
      <c r="B3" s="408" t="s">
        <v>26</v>
      </c>
      <c r="C3" s="409"/>
      <c r="D3" s="410"/>
      <c r="E3" s="6">
        <v>5</v>
      </c>
    </row>
    <row r="4" spans="2:25">
      <c r="B4" s="408" t="s">
        <v>27</v>
      </c>
      <c r="C4" s="409"/>
      <c r="D4" s="410"/>
      <c r="E4" s="6">
        <v>5</v>
      </c>
    </row>
    <row r="6" spans="2:25" ht="15.75">
      <c r="B6" s="171" t="s">
        <v>173</v>
      </c>
      <c r="C6" s="173" t="s">
        <v>22</v>
      </c>
      <c r="D6" s="174" t="s">
        <v>23</v>
      </c>
      <c r="E6" s="174" t="s">
        <v>24</v>
      </c>
      <c r="G6" s="171" t="s">
        <v>174</v>
      </c>
      <c r="H6" s="173" t="s">
        <v>22</v>
      </c>
      <c r="I6" s="174" t="s">
        <v>23</v>
      </c>
      <c r="J6" s="174" t="s">
        <v>24</v>
      </c>
      <c r="L6" s="171" t="s">
        <v>146</v>
      </c>
      <c r="M6" s="173" t="s">
        <v>22</v>
      </c>
      <c r="N6" s="174" t="s">
        <v>23</v>
      </c>
      <c r="O6" s="174" t="s">
        <v>24</v>
      </c>
      <c r="Q6" s="171" t="s">
        <v>188</v>
      </c>
      <c r="R6" s="173" t="s">
        <v>22</v>
      </c>
      <c r="S6" s="174" t="s">
        <v>23</v>
      </c>
      <c r="T6" s="174" t="s">
        <v>24</v>
      </c>
      <c r="V6" s="171" t="s">
        <v>148</v>
      </c>
      <c r="W6" s="173" t="s">
        <v>22</v>
      </c>
      <c r="X6" s="174" t="s">
        <v>23</v>
      </c>
      <c r="Y6" s="174" t="s">
        <v>24</v>
      </c>
    </row>
    <row r="7" spans="2:25" ht="15.75">
      <c r="B7" s="172" t="s">
        <v>149</v>
      </c>
      <c r="C7" s="213">
        <f>MROUND(IF(('Lotes de celulares'!$G6/$E$2+0.4)&lt;1,1,'Lotes de celulares'!$G6/$E$2+0.4),1)</f>
        <v>1</v>
      </c>
      <c r="D7" s="213">
        <f>MROUND(IF(('Lotes de celulares'!$G6/$E$3+0.4)&lt;1,1,'Lotes de celulares'!$G6/$E$3+0.4),1)</f>
        <v>2</v>
      </c>
      <c r="E7" s="213">
        <f>MROUND(C29/5,1)</f>
        <v>6</v>
      </c>
      <c r="G7" s="172" t="s">
        <v>149</v>
      </c>
      <c r="H7" s="213">
        <f>MROUND(IF(('Lotes de celulares'!$N6/$E$2+0.4)&lt;1,1,'Lotes de celulares'!$N6/$E$2+0.4),1)</f>
        <v>3</v>
      </c>
      <c r="I7" s="213">
        <f>MROUND(IF(('Lotes de celulares'!$N6/$E$3+0.4)&lt;1,1,'Lotes de celulares'!$N6/$E$3+0.4),1)</f>
        <v>5</v>
      </c>
      <c r="J7" s="213">
        <f>MROUND(H29/5,1)</f>
        <v>16</v>
      </c>
      <c r="L7" s="172" t="s">
        <v>149</v>
      </c>
      <c r="M7" s="213">
        <f>MROUND(IF(('Lotes de celulares'!$U6/$E$2+0.4)&lt;1,1,'Lotes de celulares'!$U6/$E$2+0.4),1)</f>
        <v>2</v>
      </c>
      <c r="N7" s="213">
        <f>MROUND(IF(('Lotes de celulares'!$U6/$E$3+0.4)&lt;1,1,'Lotes de celulares'!$U6/$E$3+0.4),1)</f>
        <v>3</v>
      </c>
      <c r="O7" s="213">
        <f>MROUND(M29/5,1)</f>
        <v>6</v>
      </c>
      <c r="Q7" s="172" t="s">
        <v>149</v>
      </c>
      <c r="R7" s="213">
        <f>MROUND(IF(('Lotes de celulares'!$AB6/$E$2+0.4)&lt;1,1,'Lotes de celulares'!$AB6/$E$2+0.4),1)</f>
        <v>1</v>
      </c>
      <c r="S7" s="213">
        <f>MROUND(IF(('Lotes de celulares'!$AB6/$E$3+0.4)&lt;1,1,'Lotes de celulares'!$AB6/$E$3+0.4),1)</f>
        <v>2</v>
      </c>
      <c r="T7" s="213">
        <f>MROUND(R29/5,1)</f>
        <v>2</v>
      </c>
      <c r="V7" s="172" t="s">
        <v>149</v>
      </c>
      <c r="W7" s="213">
        <f>MROUND(IF(('Lotes de celulares'!$AI6/$E$2+0.4)&lt;1,1,'Lotes de celulares'!$AI6/$E$2+0.4),1)</f>
        <v>1</v>
      </c>
      <c r="X7" s="213">
        <f>MROUND(IF(('Lotes de celulares'!$AI6/$E$3+0.4)&lt;1,1,'Lotes de celulares'!$AI6/$E$3+0.4),1)</f>
        <v>1</v>
      </c>
      <c r="Y7" s="213">
        <f>MROUND(W29/5,1)</f>
        <v>1</v>
      </c>
    </row>
    <row r="8" spans="2:25" ht="15.75">
      <c r="B8" s="172" t="s">
        <v>150</v>
      </c>
      <c r="C8" s="213">
        <f>MROUND(IF(('Lotes de celulares'!$G7/$E$2+0.4)&lt;1,1,'Lotes de celulares'!$G7/$E$2+0.4),1)</f>
        <v>2</v>
      </c>
      <c r="D8" s="213">
        <f>MROUND(IF(('Lotes de celulares'!$G7/$E$3+0.4)&lt;1,1,'Lotes de celulares'!$G7/$E$3+0.4),1)</f>
        <v>3</v>
      </c>
      <c r="E8" s="213">
        <f>MROUND(C30/5,1)</f>
        <v>15</v>
      </c>
      <c r="G8" s="172" t="s">
        <v>150</v>
      </c>
      <c r="H8" s="213">
        <f>MROUND(IF(('Lotes de celulares'!$N7/$E$2+0.4)&lt;1,1,'Lotes de celulares'!$N7/$E$2+0.4),1)</f>
        <v>4</v>
      </c>
      <c r="I8" s="213">
        <f>MROUND(IF(('Lotes de celulares'!$N7/$E$3+0.4)&lt;1,1,'Lotes de celulares'!$N7/$E$3+0.4),1)</f>
        <v>7</v>
      </c>
      <c r="J8" s="213">
        <f>MROUND(H30/5,1)</f>
        <v>43</v>
      </c>
      <c r="L8" s="172" t="s">
        <v>150</v>
      </c>
      <c r="M8" s="213">
        <f>MROUND(IF(('Lotes de celulares'!$U7/$E$2+0.4)&lt;1,1,'Lotes de celulares'!$U7/$E$2+0.4),1)</f>
        <v>2</v>
      </c>
      <c r="N8" s="213">
        <f>MROUND(IF(('Lotes de celulares'!$U7/$E$3+0.4)&lt;1,1,'Lotes de celulares'!$U7/$E$3+0.4),1)</f>
        <v>4</v>
      </c>
      <c r="O8" s="213">
        <f>MROUND(M30/5,1)</f>
        <v>13</v>
      </c>
      <c r="Q8" s="172" t="s">
        <v>150</v>
      </c>
      <c r="R8" s="213">
        <f>MROUND(IF(('Lotes de celulares'!$AB7/$E$2+0.4)&lt;1,1,'Lotes de celulares'!$AB7/$E$2+0.4),1)</f>
        <v>1</v>
      </c>
      <c r="S8" s="213">
        <f>MROUND(IF(('Lotes de celulares'!$AB7/$E$3+0.4)&lt;1,1,'Lotes de celulares'!$AB7/$E$3+0.4),1)</f>
        <v>2</v>
      </c>
      <c r="T8" s="213">
        <f>MROUND(R30/5,1)</f>
        <v>5</v>
      </c>
      <c r="V8" s="172" t="s">
        <v>150</v>
      </c>
      <c r="W8" s="213">
        <f>MROUND(IF(('Lotes de celulares'!$AI7/$E$2+0.4)&lt;1,1,'Lotes de celulares'!$AI7/$E$2+0.4),1)</f>
        <v>1</v>
      </c>
      <c r="X8" s="213">
        <f>MROUND(IF(('Lotes de celulares'!$AI7/$E$3+0.4)&lt;1,1,'Lotes de celulares'!$AI7/$E$3+0.4),1)</f>
        <v>1</v>
      </c>
      <c r="Y8" s="213">
        <f>MROUND(W30/5,1)</f>
        <v>4</v>
      </c>
    </row>
    <row r="9" spans="2:25" ht="15.75">
      <c r="B9" s="172" t="s">
        <v>151</v>
      </c>
      <c r="C9" s="213">
        <f>MROUND(IF(('Lotes de celulares'!$G8/$E$2+0.4)&lt;1,1,'Lotes de celulares'!$G8/$E$2+0.4),1)</f>
        <v>1</v>
      </c>
      <c r="D9" s="213">
        <f>MROUND(IF(('Lotes de celulares'!$G8/$E$3+0.4)&lt;1,1,'Lotes de celulares'!$G8/$E$3+0.4),1)</f>
        <v>1</v>
      </c>
      <c r="E9" s="213">
        <f>MROUND(C31/5,1)</f>
        <v>0</v>
      </c>
      <c r="G9" s="172" t="s">
        <v>151</v>
      </c>
      <c r="H9" s="213">
        <f>MROUND(IF(('Lotes de celulares'!$N8/$E$2+0.4)&lt;1,1,'Lotes de celulares'!$N8/$E$2+0.4),1)</f>
        <v>1</v>
      </c>
      <c r="I9" s="213">
        <f>MROUND(IF(('Lotes de celulares'!$N8/$E$3+0.4)&lt;1,1,'Lotes de celulares'!$N8/$E$3+0.4),1)</f>
        <v>1</v>
      </c>
      <c r="J9" s="213">
        <f>MROUND(H31/5,1)</f>
        <v>3</v>
      </c>
      <c r="L9" s="172" t="s">
        <v>151</v>
      </c>
      <c r="M9" s="213">
        <f>MROUND(IF(('Lotes de celulares'!$U8/$E$2+0.4)&lt;1,1,'Lotes de celulares'!$U8/$E$2+0.4),1)</f>
        <v>1</v>
      </c>
      <c r="N9" s="213">
        <f>MROUND(IF(('Lotes de celulares'!$U8/$E$3+0.4)&lt;1,1,'Lotes de celulares'!$U8/$E$3+0.4),1)</f>
        <v>1</v>
      </c>
      <c r="O9" s="213">
        <f>MROUND(M31/5,1)</f>
        <v>1</v>
      </c>
      <c r="Q9" s="172" t="s">
        <v>151</v>
      </c>
      <c r="R9" s="213">
        <f>MROUND(IF(('Lotes de celulares'!$AB8/$E$2+0.4)&lt;1,1,'Lotes de celulares'!$AB8/$E$2+0.4),1)</f>
        <v>1</v>
      </c>
      <c r="S9" s="213">
        <f>MROUND(IF(('Lotes de celulares'!$AB8/$E$3+0.4)&lt;1,1,'Lotes de celulares'!$AB8/$E$3+0.4),1)</f>
        <v>1</v>
      </c>
      <c r="T9" s="213">
        <f>MROUND(R31/5,1)</f>
        <v>0</v>
      </c>
      <c r="V9" s="172" t="s">
        <v>151</v>
      </c>
      <c r="W9" s="213">
        <f>MROUND(IF(('Lotes de celulares'!$AI8/$E$2+0.4)&lt;1,1,'Lotes de celulares'!$AI8/$E$2+0.4),1)</f>
        <v>1</v>
      </c>
      <c r="X9" s="213">
        <f>MROUND(IF(('Lotes de celulares'!$AI8/$E$3+0.4)&lt;1,1,'Lotes de celulares'!$AI8/$E$3+0.4),1)</f>
        <v>1</v>
      </c>
      <c r="Y9" s="213">
        <f>MROUND(W31/5,1)</f>
        <v>0</v>
      </c>
    </row>
    <row r="10" spans="2:25" ht="15.75">
      <c r="B10" s="172" t="s">
        <v>152</v>
      </c>
      <c r="C10" s="213">
        <f>MROUND(IF(('Lotes de celulares'!$G9/$E$2+0.4)&lt;1,1,'Lotes de celulares'!$G9/$E$2+0.4),1)</f>
        <v>2</v>
      </c>
      <c r="D10" s="213">
        <f>MROUND(IF(('Lotes de celulares'!$G9/$E$3+0.4)&lt;1,1,'Lotes de celulares'!$G9/$E$3+0.4),1)</f>
        <v>4</v>
      </c>
      <c r="E10" s="213">
        <f>MROUND(C32/5,1)</f>
        <v>21</v>
      </c>
      <c r="G10" s="172" t="s">
        <v>152</v>
      </c>
      <c r="H10" s="213">
        <f>MROUND(IF(('Lotes de celulares'!$N9/$E$2+0.4)&lt;1,1,'Lotes de celulares'!$N9/$E$2+0.4),1)</f>
        <v>6</v>
      </c>
      <c r="I10" s="213">
        <f>MROUND(IF(('Lotes de celulares'!$N9/$E$3+0.4)&lt;1,1,'Lotes de celulares'!$N9/$E$3+0.4),1)</f>
        <v>11</v>
      </c>
      <c r="J10" s="213">
        <f>MROUND(H32/5,1)</f>
        <v>63</v>
      </c>
      <c r="L10" s="172" t="s">
        <v>152</v>
      </c>
      <c r="M10" s="213">
        <f>MROUND(IF(('Lotes de celulares'!$U9/$E$2+0.4)&lt;1,1,'Lotes de celulares'!$U9/$E$2+0.4),1)</f>
        <v>3</v>
      </c>
      <c r="N10" s="213">
        <f>MROUND(IF(('Lotes de celulares'!$U9/$E$3+0.4)&lt;1,1,'Lotes de celulares'!$U9/$E$3+0.4),1)</f>
        <v>6</v>
      </c>
      <c r="O10" s="213">
        <f>MROUND(M32/5,1)</f>
        <v>18</v>
      </c>
      <c r="Q10" s="172" t="s">
        <v>152</v>
      </c>
      <c r="R10" s="213">
        <f>MROUND(IF(('Lotes de celulares'!$AB9/$E$2+0.4)&lt;1,1,'Lotes de celulares'!$AB9/$E$2+0.4),1)</f>
        <v>1</v>
      </c>
      <c r="S10" s="213">
        <f>MROUND(IF(('Lotes de celulares'!$AB9/$E$3+0.4)&lt;1,1,'Lotes de celulares'!$AB9/$E$3+0.4),1)</f>
        <v>2</v>
      </c>
      <c r="T10" s="213">
        <f>MROUND(R32/5,1)</f>
        <v>7</v>
      </c>
      <c r="V10" s="172" t="s">
        <v>152</v>
      </c>
      <c r="W10" s="213">
        <f>MROUND(IF(('Lotes de celulares'!$AI9/$E$2+0.4)&lt;1,1,'Lotes de celulares'!$AI9/$E$2+0.4),1)</f>
        <v>1</v>
      </c>
      <c r="X10" s="213">
        <f>MROUND(IF(('Lotes de celulares'!$AI9/$E$3+0.4)&lt;1,1,'Lotes de celulares'!$AI9/$E$3+0.4),1)</f>
        <v>2</v>
      </c>
      <c r="Y10" s="213">
        <f>MROUND(W32/5,1)</f>
        <v>6</v>
      </c>
    </row>
    <row r="11" spans="2:25" ht="15.75">
      <c r="B11" s="172" t="s">
        <v>153</v>
      </c>
      <c r="C11" s="213">
        <f>MROUND(IF(('Lotes de celulares'!$G10/$E$2+0.4)&lt;1,1,'Lotes de celulares'!$G10/$E$2+0.4),1)</f>
        <v>1</v>
      </c>
      <c r="D11" s="213">
        <f>MROUND(IF(('Lotes de celulares'!$G10/$E$3+0.4)&lt;1,1,'Lotes de celulares'!$G10/$E$3+0.4),1)</f>
        <v>2</v>
      </c>
      <c r="E11" s="213">
        <f>MROUND(C33/5,1)</f>
        <v>11</v>
      </c>
      <c r="G11" s="172" t="s">
        <v>153</v>
      </c>
      <c r="H11" s="213">
        <f>MROUND(IF(('Lotes de celulares'!$N10/$E$2+0.4)&lt;1,1,'Lotes de celulares'!$N10/$E$2+0.4),1)</f>
        <v>3</v>
      </c>
      <c r="I11" s="213">
        <f>MROUND(IF(('Lotes de celulares'!$N10/$E$3+0.4)&lt;1,1,'Lotes de celulares'!$N10/$E$3+0.4),1)</f>
        <v>5</v>
      </c>
      <c r="J11" s="213">
        <f>MROUND(H33/5,1)</f>
        <v>30</v>
      </c>
      <c r="L11" s="172" t="s">
        <v>153</v>
      </c>
      <c r="M11" s="213">
        <f>MROUND(IF(('Lotes de celulares'!$U10/$E$2+0.4)&lt;1,1,'Lotes de celulares'!$U10/$E$2+0.4),1)</f>
        <v>2</v>
      </c>
      <c r="N11" s="213">
        <f>MROUND(IF(('Lotes de celulares'!$U10/$E$3+0.4)&lt;1,1,'Lotes de celulares'!$U10/$E$3+0.4),1)</f>
        <v>3</v>
      </c>
      <c r="O11" s="213">
        <f>MROUND(M33/5,1)</f>
        <v>9</v>
      </c>
      <c r="Q11" s="172" t="s">
        <v>153</v>
      </c>
      <c r="R11" s="213">
        <f>MROUND(IF(('Lotes de celulares'!$AB10/$E$2+0.4)&lt;1,1,'Lotes de celulares'!$AB10/$E$2+0.4),1)</f>
        <v>1</v>
      </c>
      <c r="S11" s="213">
        <f>MROUND(IF(('Lotes de celulares'!$AB10/$E$3+0.4)&lt;1,1,'Lotes de celulares'!$AB10/$E$3+0.4),1)</f>
        <v>2</v>
      </c>
      <c r="T11" s="213">
        <f>MROUND(R33/5,1)</f>
        <v>3</v>
      </c>
      <c r="V11" s="172" t="s">
        <v>153</v>
      </c>
      <c r="W11" s="213">
        <f>MROUND(IF(('Lotes de celulares'!$AI10/$E$2+0.4)&lt;1,1,'Lotes de celulares'!$AI10/$E$2+0.4),1)</f>
        <v>1</v>
      </c>
      <c r="X11" s="213">
        <f>MROUND(IF(('Lotes de celulares'!$AI10/$E$3+0.4)&lt;1,1,'Lotes de celulares'!$AI10/$E$3+0.4),1)</f>
        <v>1</v>
      </c>
      <c r="Y11" s="213">
        <f>MROUND(W33/5,1)</f>
        <v>3</v>
      </c>
    </row>
    <row r="12" spans="2:25" ht="15.75">
      <c r="B12" s="172" t="s">
        <v>154</v>
      </c>
      <c r="C12" s="213">
        <f>MROUND(IF(('Lotes de celulares'!$G11/$E$2+0.4)&lt;1,1,'Lotes de celulares'!$G11/$E$2+0.4),1)</f>
        <v>2</v>
      </c>
      <c r="D12" s="213">
        <f>MROUND(IF(('Lotes de celulares'!$G11/$E$3+0.4)&lt;1,1,'Lotes de celulares'!$G11/$E$3+0.4),1)</f>
        <v>3</v>
      </c>
      <c r="E12" s="213">
        <f>MROUND(C34/5,1)</f>
        <v>18</v>
      </c>
      <c r="G12" s="172" t="s">
        <v>154</v>
      </c>
      <c r="H12" s="213">
        <f>MROUND(IF(('Lotes de celulares'!$N11/$E$2+0.4)&lt;1,1,'Lotes de celulares'!$N11/$E$2+0.4),1)</f>
        <v>5</v>
      </c>
      <c r="I12" s="213">
        <f>MROUND(IF(('Lotes de celulares'!$N11/$E$3+0.4)&lt;1,1,'Lotes de celulares'!$N11/$E$3+0.4),1)</f>
        <v>9</v>
      </c>
      <c r="J12" s="213">
        <f>MROUND(H34/5,1)</f>
        <v>49</v>
      </c>
      <c r="L12" s="172" t="s">
        <v>154</v>
      </c>
      <c r="M12" s="213">
        <f>MROUND(IF(('Lotes de celulares'!$U11/$E$2+0.4)&lt;1,1,'Lotes de celulares'!$U11/$E$2+0.4),1)</f>
        <v>3</v>
      </c>
      <c r="N12" s="213">
        <f>MROUND(IF(('Lotes de celulares'!$U11/$E$3+0.4)&lt;1,1,'Lotes de celulares'!$U11/$E$3+0.4),1)</f>
        <v>5</v>
      </c>
      <c r="O12" s="213">
        <f>MROUND(M34/5,1)</f>
        <v>14</v>
      </c>
      <c r="Q12" s="172" t="s">
        <v>154</v>
      </c>
      <c r="R12" s="213">
        <f>MROUND(IF(('Lotes de celulares'!$AB11/$E$2+0.4)&lt;1,1,'Lotes de celulares'!$AB11/$E$2+0.4),1)</f>
        <v>1</v>
      </c>
      <c r="S12" s="213">
        <f>MROUND(IF(('Lotes de celulares'!$AB11/$E$3+0.4)&lt;1,1,'Lotes de celulares'!$AB11/$E$3+0.4),1)</f>
        <v>2</v>
      </c>
      <c r="T12" s="213">
        <f>MROUND(R34/5,1)</f>
        <v>5</v>
      </c>
      <c r="V12" s="172" t="s">
        <v>154</v>
      </c>
      <c r="W12" s="213">
        <f>MROUND(IF(('Lotes de celulares'!$AI11/$E$2+0.4)&lt;1,1,'Lotes de celulares'!$AI11/$E$2+0.4),1)</f>
        <v>1</v>
      </c>
      <c r="X12" s="213">
        <f>MROUND(IF(('Lotes de celulares'!$AI11/$E$3+0.4)&lt;1,1,'Lotes de celulares'!$AI11/$E$3+0.4),1)</f>
        <v>2</v>
      </c>
      <c r="Y12" s="213">
        <f>MROUND(W34/5,1)</f>
        <v>5</v>
      </c>
    </row>
    <row r="13" spans="2:25" ht="15.75">
      <c r="B13" s="172" t="s">
        <v>155</v>
      </c>
      <c r="C13" s="213">
        <f>MROUND(IF(('Lotes de celulares'!$G12/$E$2+0.4)&lt;1,1,'Lotes de celulares'!$G12/$E$2+0.4),1)</f>
        <v>2</v>
      </c>
      <c r="D13" s="213">
        <f>MROUND(IF(('Lotes de celulares'!$G12/$E$3+0.4)&lt;1,1,'Lotes de celulares'!$G12/$E$3+0.4),1)</f>
        <v>4</v>
      </c>
      <c r="E13" s="213">
        <f>MROUND(C35/5,1)</f>
        <v>21</v>
      </c>
      <c r="G13" s="172" t="s">
        <v>155</v>
      </c>
      <c r="H13" s="213">
        <f>MROUND(IF(('Lotes de celulares'!$N12/$E$2+0.4)&lt;1,1,'Lotes de celulares'!$N12/$E$2+0.4),1)</f>
        <v>6</v>
      </c>
      <c r="I13" s="213">
        <f>MROUND(IF(('Lotes de celulares'!$N12/$E$3+0.4)&lt;1,1,'Lotes de celulares'!$N12/$E$3+0.4),1)</f>
        <v>11</v>
      </c>
      <c r="J13" s="213">
        <f>MROUND(H35/5,1)</f>
        <v>63</v>
      </c>
      <c r="L13" s="172" t="s">
        <v>155</v>
      </c>
      <c r="M13" s="213">
        <f>MROUND(IF(('Lotes de celulares'!$U12/$E$2+0.4)&lt;1,1,'Lotes de celulares'!$U12/$E$2+0.4),1)</f>
        <v>3</v>
      </c>
      <c r="N13" s="213">
        <f>MROUND(IF(('Lotes de celulares'!$U12/$E$3+0.4)&lt;1,1,'Lotes de celulares'!$U12/$E$3+0.4),1)</f>
        <v>6</v>
      </c>
      <c r="O13" s="213">
        <f>MROUND(M35/5,1)</f>
        <v>19</v>
      </c>
      <c r="Q13" s="172" t="s">
        <v>155</v>
      </c>
      <c r="R13" s="213">
        <f>MROUND(IF(('Lotes de celulares'!$AB12/$E$2+0.4)&lt;1,1,'Lotes de celulares'!$AB12/$E$2+0.4),1)</f>
        <v>1</v>
      </c>
      <c r="S13" s="213">
        <f>MROUND(IF(('Lotes de celulares'!$AB12/$E$3+0.4)&lt;1,1,'Lotes de celulares'!$AB12/$E$3+0.4),1)</f>
        <v>2</v>
      </c>
      <c r="T13" s="213">
        <f>MROUND(R35/5,1)</f>
        <v>7</v>
      </c>
      <c r="V13" s="172" t="s">
        <v>155</v>
      </c>
      <c r="W13" s="213">
        <f>MROUND(IF(('Lotes de celulares'!$AI12/$E$2+0.4)&lt;1,1,'Lotes de celulares'!$AI12/$E$2+0.4),1)</f>
        <v>1</v>
      </c>
      <c r="X13" s="213">
        <f>MROUND(IF(('Lotes de celulares'!$AI12/$E$3+0.4)&lt;1,1,'Lotes de celulares'!$AI12/$E$3+0.4),1)</f>
        <v>2</v>
      </c>
      <c r="Y13" s="213">
        <f>MROUND(W35/5,1)</f>
        <v>6</v>
      </c>
    </row>
    <row r="14" spans="2:25" ht="15.75">
      <c r="B14" s="172" t="s">
        <v>156</v>
      </c>
      <c r="C14" s="213">
        <f>MROUND(IF(('Lotes de celulares'!$G13/$E$2+0.4)&lt;1,1,'Lotes de celulares'!$G13/$E$2+0.4),1)</f>
        <v>2</v>
      </c>
      <c r="D14" s="213">
        <f>MROUND(IF(('Lotes de celulares'!$G13/$E$3+0.4)&lt;1,1,'Lotes de celulares'!$G13/$E$3+0.4),1)</f>
        <v>3</v>
      </c>
      <c r="E14" s="213">
        <f>MROUND(C36/5,1)</f>
        <v>16</v>
      </c>
      <c r="G14" s="172" t="s">
        <v>156</v>
      </c>
      <c r="H14" s="213">
        <f>MROUND(IF(('Lotes de celulares'!$N13/$E$2+0.4)&lt;1,1,'Lotes de celulares'!$N13/$E$2+0.4),1)</f>
        <v>4</v>
      </c>
      <c r="I14" s="213">
        <f>MROUND(IF(('Lotes de celulares'!$N13/$E$3+0.4)&lt;1,1,'Lotes de celulares'!$N13/$E$3+0.4),1)</f>
        <v>8</v>
      </c>
      <c r="J14" s="213">
        <f>MROUND(H36/5,1)</f>
        <v>45</v>
      </c>
      <c r="L14" s="172" t="s">
        <v>156</v>
      </c>
      <c r="M14" s="213">
        <f>MROUND(IF(('Lotes de celulares'!$U13/$E$2+0.4)&lt;1,1,'Lotes de celulares'!$U13/$E$2+0.4),1)</f>
        <v>2</v>
      </c>
      <c r="N14" s="213">
        <f>MROUND(IF(('Lotes de celulares'!$U13/$E$3+0.4)&lt;1,1,'Lotes de celulares'!$U13/$E$3+0.4),1)</f>
        <v>4</v>
      </c>
      <c r="O14" s="213">
        <f>MROUND(M36/5,1)</f>
        <v>13</v>
      </c>
      <c r="Q14" s="172" t="s">
        <v>156</v>
      </c>
      <c r="R14" s="213">
        <f>MROUND(IF(('Lotes de celulares'!$AB13/$E$2+0.4)&lt;1,1,'Lotes de celulares'!$AB13/$E$2+0.4),1)</f>
        <v>1</v>
      </c>
      <c r="S14" s="213">
        <f>MROUND(IF(('Lotes de celulares'!$AB13/$E$3+0.4)&lt;1,1,'Lotes de celulares'!$AB13/$E$3+0.4),1)</f>
        <v>2</v>
      </c>
      <c r="T14" s="213">
        <f>MROUND(R36/5,1)</f>
        <v>5</v>
      </c>
      <c r="V14" s="172" t="s">
        <v>156</v>
      </c>
      <c r="W14" s="213">
        <f>MROUND(IF(('Lotes de celulares'!$AI13/$E$2+0.4)&lt;1,1,'Lotes de celulares'!$AI13/$E$2+0.4),1)</f>
        <v>1</v>
      </c>
      <c r="X14" s="213">
        <f>MROUND(IF(('Lotes de celulares'!$AI13/$E$3+0.4)&lt;1,1,'Lotes de celulares'!$AI13/$E$3+0.4),1)</f>
        <v>2</v>
      </c>
      <c r="Y14" s="213">
        <f>MROUND(W36/5,1)</f>
        <v>4</v>
      </c>
    </row>
    <row r="15" spans="2:25" ht="15.75">
      <c r="B15" s="176" t="s">
        <v>157</v>
      </c>
      <c r="C15" s="213">
        <f>MROUND(IF(('Lotes de celulares'!$G14/$E$2+0.4)&lt;1,1,'Lotes de celulares'!$G14/$E$2+0.4),1)</f>
        <v>1</v>
      </c>
      <c r="D15" s="213">
        <f>MROUND(IF(('Lotes de celulares'!$G14/$E$3+0.4)&lt;1,1,'Lotes de celulares'!$G14/$E$3+0.4),1)</f>
        <v>1</v>
      </c>
      <c r="E15" s="213">
        <f>MROUND(C37/5,1)</f>
        <v>5</v>
      </c>
      <c r="G15" s="176" t="s">
        <v>157</v>
      </c>
      <c r="H15" s="213">
        <f>MROUND(IF(('Lotes de celulares'!$N14/$E$2+0.4)&lt;1,1,'Lotes de celulares'!$N14/$E$2+0.4),1)</f>
        <v>2</v>
      </c>
      <c r="I15" s="213">
        <f>MROUND(IF(('Lotes de celulares'!$N14/$E$3+0.4)&lt;1,1,'Lotes de celulares'!$N14/$E$3+0.4),1)</f>
        <v>3</v>
      </c>
      <c r="J15" s="213">
        <f>MROUND(H37/5,1)</f>
        <v>14</v>
      </c>
      <c r="L15" s="176" t="s">
        <v>157</v>
      </c>
      <c r="M15" s="213">
        <f>MROUND(IF(('Lotes de celulares'!$U14/$E$2+0.4)&lt;1,1,'Lotes de celulares'!$U14/$E$2+0.4),1)</f>
        <v>1</v>
      </c>
      <c r="N15" s="213">
        <f>MROUND(IF(('Lotes de celulares'!$U14/$E$3+0.4)&lt;1,1,'Lotes de celulares'!$U14/$E$3+0.4),1)</f>
        <v>2</v>
      </c>
      <c r="O15" s="213">
        <f>MROUND(M37/5,1)</f>
        <v>4</v>
      </c>
      <c r="Q15" s="176" t="s">
        <v>157</v>
      </c>
      <c r="R15" s="213">
        <f>MROUND(IF(('Lotes de celulares'!$AB14/$E$2+0.4)&lt;1,1,'Lotes de celulares'!$AB14/$E$2+0.4),1)</f>
        <v>1</v>
      </c>
      <c r="S15" s="213">
        <f>MROUND(IF(('Lotes de celulares'!$AB14/$E$3+0.4)&lt;1,1,'Lotes de celulares'!$AB14/$E$3+0.4),1)</f>
        <v>1</v>
      </c>
      <c r="T15" s="213">
        <f>MROUND(R37/5,1)</f>
        <v>2</v>
      </c>
      <c r="V15" s="176" t="s">
        <v>157</v>
      </c>
      <c r="W15" s="213">
        <f>MROUND(IF(('Lotes de celulares'!$AI14/$E$2+0.4)&lt;1,1,'Lotes de celulares'!$AI14/$E$2+0.4),1)</f>
        <v>1</v>
      </c>
      <c r="X15" s="213">
        <f>MROUND(IF(('Lotes de celulares'!$AI14/$E$3+0.4)&lt;1,1,'Lotes de celulares'!$AI14/$E$3+0.4),1)</f>
        <v>1</v>
      </c>
      <c r="Y15" s="213">
        <f>MROUND(W37/5,1)</f>
        <v>1</v>
      </c>
    </row>
    <row r="16" spans="2:25" ht="15.75">
      <c r="B16" s="172" t="s">
        <v>158</v>
      </c>
      <c r="C16" s="213">
        <f>MROUND(IF(('Lotes de celulares'!$G15/$E$2+0.4)&lt;1,1,'Lotes de celulares'!$G15/$E$2+0.4),1)</f>
        <v>3</v>
      </c>
      <c r="D16" s="213">
        <f>MROUND(IF(('Lotes de celulares'!$G15/$E$3+0.4)&lt;1,1,'Lotes de celulares'!$G15/$E$3+0.4),1)</f>
        <v>5</v>
      </c>
      <c r="E16" s="213">
        <f>MROUND(C38/5,1)</f>
        <v>26</v>
      </c>
      <c r="G16" s="172" t="s">
        <v>158</v>
      </c>
      <c r="H16" s="213">
        <f>MROUND(IF(('Lotes de celulares'!$N15/$E$2+0.4)&lt;1,1,'Lotes de celulares'!$N15/$E$2+0.4),1)</f>
        <v>6</v>
      </c>
      <c r="I16" s="213">
        <f>MROUND(IF(('Lotes de celulares'!$N15/$E$3+0.4)&lt;1,1,'Lotes de celulares'!$N15/$E$3+0.4),1)</f>
        <v>12</v>
      </c>
      <c r="J16" s="213">
        <f>MROUND(H38/5,1)</f>
        <v>73</v>
      </c>
      <c r="L16" s="172" t="s">
        <v>158</v>
      </c>
      <c r="M16" s="213">
        <f>MROUND(IF(('Lotes de celulares'!$U15/$E$2+0.4)&lt;1,1,'Lotes de celulares'!$U15/$E$2+0.4),1)</f>
        <v>3</v>
      </c>
      <c r="N16" s="213">
        <f>MROUND(IF(('Lotes de celulares'!$U15/$E$3+0.4)&lt;1,1,'Lotes de celulares'!$U15/$E$3+0.4),1)</f>
        <v>6</v>
      </c>
      <c r="O16" s="213">
        <f>MROUND(M38/5,1)</f>
        <v>21</v>
      </c>
      <c r="Q16" s="172" t="s">
        <v>158</v>
      </c>
      <c r="R16" s="213">
        <f>MROUND(IF(('Lotes de celulares'!$AB15/$E$2+0.4)&lt;1,1,'Lotes de celulares'!$AB15/$E$2+0.4),1)</f>
        <v>2</v>
      </c>
      <c r="S16" s="213">
        <f>MROUND(IF(('Lotes de celulares'!$AB15/$E$3+0.4)&lt;1,1,'Lotes de celulares'!$AB15/$E$3+0.4),1)</f>
        <v>3</v>
      </c>
      <c r="T16" s="213">
        <f>MROUND(R38/5,1)</f>
        <v>8</v>
      </c>
      <c r="V16" s="172" t="s">
        <v>158</v>
      </c>
      <c r="W16" s="213">
        <f>MROUND(IF(('Lotes de celulares'!$AI15/$E$2+0.4)&lt;1,1,'Lotes de celulares'!$AI15/$E$2+0.4),1)</f>
        <v>1</v>
      </c>
      <c r="X16" s="213">
        <f>MROUND(IF(('Lotes de celulares'!$AI15/$E$3+0.4)&lt;1,1,'Lotes de celulares'!$AI15/$E$3+0.4),1)</f>
        <v>2</v>
      </c>
      <c r="Y16" s="213">
        <f>MROUND(W38/5,1)</f>
        <v>7</v>
      </c>
    </row>
    <row r="17" spans="2:25" ht="15.75">
      <c r="B17" s="172" t="s">
        <v>159</v>
      </c>
      <c r="C17" s="213">
        <f>MROUND(IF(('Lotes de celulares'!$G16/$E$2+0.4)&lt;1,1,'Lotes de celulares'!$G16/$E$2+0.4),1)</f>
        <v>1</v>
      </c>
      <c r="D17" s="213">
        <f>MROUND(IF(('Lotes de celulares'!$G16/$E$3+0.4)&lt;1,1,'Lotes de celulares'!$G16/$E$3+0.4),1)</f>
        <v>2</v>
      </c>
      <c r="E17" s="213">
        <f>MROUND(C39/5,1)</f>
        <v>7</v>
      </c>
      <c r="G17" s="172" t="s">
        <v>159</v>
      </c>
      <c r="H17" s="213">
        <f>MROUND(IF(('Lotes de celulares'!$N16/$E$2+0.4)&lt;1,1,'Lotes de celulares'!$N16/$E$2+0.4),1)</f>
        <v>2</v>
      </c>
      <c r="I17" s="213">
        <f>MROUND(IF(('Lotes de celulares'!$N16/$E$3+0.4)&lt;1,1,'Lotes de celulares'!$N16/$E$3+0.4),1)</f>
        <v>3</v>
      </c>
      <c r="J17" s="213">
        <f>MROUND(H39/5,1)</f>
        <v>18</v>
      </c>
      <c r="L17" s="172" t="s">
        <v>159</v>
      </c>
      <c r="M17" s="213">
        <f>MROUND(IF(('Lotes de celulares'!$U16/$E$2+0.4)&lt;1,1,'Lotes de celulares'!$U16/$E$2+0.4),1)</f>
        <v>1</v>
      </c>
      <c r="N17" s="213">
        <f>MROUND(IF(('Lotes de celulares'!$U16/$E$3+0.4)&lt;1,1,'Lotes de celulares'!$U16/$E$3+0.4),1)</f>
        <v>2</v>
      </c>
      <c r="O17" s="213">
        <f>MROUND(M39/5,1)</f>
        <v>7</v>
      </c>
      <c r="Q17" s="172" t="s">
        <v>159</v>
      </c>
      <c r="R17" s="213">
        <f>MROUND(IF(('Lotes de celulares'!$AB16/$E$2+0.4)&lt;1,1,'Lotes de celulares'!$AB16/$E$2+0.4),1)</f>
        <v>1</v>
      </c>
      <c r="S17" s="213">
        <f>MROUND(IF(('Lotes de celulares'!$AB16/$E$3+0.4)&lt;1,1,'Lotes de celulares'!$AB16/$E$3+0.4),1)</f>
        <v>1</v>
      </c>
      <c r="T17" s="213">
        <f>MROUND(R39/5,1)</f>
        <v>2</v>
      </c>
      <c r="V17" s="172" t="s">
        <v>159</v>
      </c>
      <c r="W17" s="213">
        <f>MROUND(IF(('Lotes de celulares'!$AI16/$E$2+0.4)&lt;1,1,'Lotes de celulares'!$AI16/$E$2+0.4),1)</f>
        <v>1</v>
      </c>
      <c r="X17" s="213">
        <f>MROUND(IF(('Lotes de celulares'!$AI16/$E$3+0.4)&lt;1,1,'Lotes de celulares'!$AI16/$E$3+0.4),1)</f>
        <v>1</v>
      </c>
      <c r="Y17" s="213">
        <f>MROUND(W39/5,1)</f>
        <v>2</v>
      </c>
    </row>
    <row r="18" spans="2:25" ht="15.75">
      <c r="B18" s="172" t="s">
        <v>160</v>
      </c>
      <c r="C18" s="213">
        <f>MROUND(IF(('Lotes de celulares'!$G17/$E$2+0.4)&lt;1,1,'Lotes de celulares'!$G17/$E$2+0.4),1)</f>
        <v>3</v>
      </c>
      <c r="D18" s="213">
        <f>MROUND(IF(('Lotes de celulares'!$G17/$E$3+0.4)&lt;1,1,'Lotes de celulares'!$G17/$E$3+0.4),1)</f>
        <v>5</v>
      </c>
      <c r="E18" s="213">
        <f>MROUND(C40/5,1)</f>
        <v>28</v>
      </c>
      <c r="G18" s="172" t="s">
        <v>160</v>
      </c>
      <c r="H18" s="213">
        <f>MROUND(IF(('Lotes de celulares'!$N17/$E$2+0.4)&lt;1,1,'Lotes de celulares'!$N17/$E$2+0.4),1)</f>
        <v>7</v>
      </c>
      <c r="I18" s="213">
        <f>MROUND(IF(('Lotes de celulares'!$N17/$E$3+0.4)&lt;1,1,'Lotes de celulares'!$N17/$E$3+0.4),1)</f>
        <v>14</v>
      </c>
      <c r="J18" s="213">
        <f>MROUND(H40/5,1)</f>
        <v>83</v>
      </c>
      <c r="L18" s="172" t="s">
        <v>160</v>
      </c>
      <c r="M18" s="213">
        <f>MROUND(IF(('Lotes de celulares'!$U17/$E$2+0.4)&lt;1,1,'Lotes de celulares'!$U17/$E$2+0.4),1)</f>
        <v>4</v>
      </c>
      <c r="N18" s="213">
        <f>MROUND(IF(('Lotes de celulares'!$U17/$E$3+0.4)&lt;1,1,'Lotes de celulares'!$U17/$E$3+0.4),1)</f>
        <v>7</v>
      </c>
      <c r="O18" s="213">
        <f>MROUND(M40/5,1)</f>
        <v>24</v>
      </c>
      <c r="Q18" s="172" t="s">
        <v>160</v>
      </c>
      <c r="R18" s="213">
        <f>MROUND(IF(('Lotes de celulares'!$AB17/$E$2+0.4)&lt;1,1,'Lotes de celulares'!$AB17/$E$2+0.4),1)</f>
        <v>2</v>
      </c>
      <c r="S18" s="213">
        <f>MROUND(IF(('Lotes de celulares'!$AB17/$E$3+0.4)&lt;1,1,'Lotes de celulares'!$AB17/$E$3+0.4),1)</f>
        <v>3</v>
      </c>
      <c r="T18" s="213">
        <f>MROUND(R40/5,1)</f>
        <v>9</v>
      </c>
      <c r="V18" s="172" t="s">
        <v>160</v>
      </c>
      <c r="W18" s="213">
        <f>MROUND(IF(('Lotes de celulares'!$AI17/$E$2+0.4)&lt;1,1,'Lotes de celulares'!$AI17/$E$2+0.4),1)</f>
        <v>2</v>
      </c>
      <c r="X18" s="213">
        <f>MROUND(IF(('Lotes de celulares'!$AI17/$E$3+0.4)&lt;1,1,'Lotes de celulares'!$AI17/$E$3+0.4),1)</f>
        <v>3</v>
      </c>
      <c r="Y18" s="213">
        <f>MROUND(W40/5,1)</f>
        <v>8</v>
      </c>
    </row>
    <row r="19" spans="2:25">
      <c r="B19" s="307" t="s">
        <v>178</v>
      </c>
      <c r="C19" s="213">
        <f>SUM(C7:C18)</f>
        <v>21</v>
      </c>
      <c r="D19" s="213">
        <f t="shared" ref="D19:E19" si="0">SUM(D7:D18)</f>
        <v>35</v>
      </c>
      <c r="E19" s="213">
        <f t="shared" si="0"/>
        <v>174</v>
      </c>
      <c r="G19" s="307" t="s">
        <v>178</v>
      </c>
      <c r="H19" s="308">
        <f>SUM(H7:H18)</f>
        <v>49</v>
      </c>
      <c r="I19" s="308">
        <f>SUM(I7:I18)</f>
        <v>89</v>
      </c>
      <c r="J19" s="308">
        <f>SUM(J7:J18)</f>
        <v>500</v>
      </c>
      <c r="L19" s="307" t="s">
        <v>178</v>
      </c>
      <c r="M19" s="308">
        <f>SUM(M7:M18)</f>
        <v>27</v>
      </c>
      <c r="N19" s="308">
        <f>SUM(N7:N18)</f>
        <v>49</v>
      </c>
      <c r="O19" s="308">
        <f>SUM(O7:O18)</f>
        <v>149</v>
      </c>
      <c r="Q19" s="307" t="s">
        <v>178</v>
      </c>
      <c r="R19" s="308">
        <f>SUM(R7:R18)</f>
        <v>14</v>
      </c>
      <c r="S19" s="308">
        <f>SUM(S7:S18)</f>
        <v>23</v>
      </c>
      <c r="T19" s="308">
        <f>SUM(T7:T18)</f>
        <v>55</v>
      </c>
      <c r="V19" s="307" t="s">
        <v>178</v>
      </c>
      <c r="W19" s="308">
        <f>SUM(W7:W18)</f>
        <v>13</v>
      </c>
      <c r="X19" s="308">
        <f>SUM(X7:X18)</f>
        <v>19</v>
      </c>
      <c r="Y19" s="308">
        <f>SUM(Y7:Y18)</f>
        <v>47</v>
      </c>
    </row>
    <row r="22" spans="2:25">
      <c r="B22" s="411" t="s">
        <v>29</v>
      </c>
      <c r="C22" s="411"/>
      <c r="D22" s="6">
        <v>27000</v>
      </c>
    </row>
    <row r="23" spans="2:25">
      <c r="B23" s="412" t="s">
        <v>54</v>
      </c>
      <c r="C23" s="413"/>
      <c r="D23" s="6">
        <v>1</v>
      </c>
    </row>
    <row r="25" spans="2:25">
      <c r="B25" s="328" t="s">
        <v>189</v>
      </c>
      <c r="C25" s="329">
        <v>5</v>
      </c>
      <c r="D25" s="329">
        <v>4</v>
      </c>
      <c r="E25" s="329">
        <v>3</v>
      </c>
      <c r="F25" s="329">
        <v>2</v>
      </c>
      <c r="G25" s="328">
        <v>1</v>
      </c>
      <c r="H25" s="327"/>
    </row>
    <row r="26" spans="2:25">
      <c r="B26" s="328">
        <v>4</v>
      </c>
      <c r="C26" s="329">
        <f t="shared" ref="C26:F26" si="1">$G$26*C25</f>
        <v>2</v>
      </c>
      <c r="D26" s="329">
        <f t="shared" si="1"/>
        <v>1.6</v>
      </c>
      <c r="E26" s="329">
        <f t="shared" si="1"/>
        <v>1.2000000000000002</v>
      </c>
      <c r="F26" s="329">
        <f>$G$26*F25</f>
        <v>0.8</v>
      </c>
      <c r="G26" s="328">
        <f>2/5</f>
        <v>0.4</v>
      </c>
      <c r="H26" s="327"/>
    </row>
    <row r="28" spans="2:25" ht="15.75">
      <c r="B28" s="171" t="s">
        <v>173</v>
      </c>
      <c r="C28" s="330" t="s">
        <v>190</v>
      </c>
      <c r="D28" s="207" t="s">
        <v>191</v>
      </c>
      <c r="E28" s="181"/>
      <c r="G28" s="56" t="s">
        <v>174</v>
      </c>
      <c r="H28" s="216" t="s">
        <v>190</v>
      </c>
      <c r="I28" s="207" t="s">
        <v>191</v>
      </c>
      <c r="J28" s="181"/>
      <c r="L28" s="171" t="s">
        <v>146</v>
      </c>
      <c r="M28" s="216" t="s">
        <v>190</v>
      </c>
      <c r="N28" s="207" t="s">
        <v>191</v>
      </c>
      <c r="O28" s="181"/>
      <c r="Q28" s="171" t="s">
        <v>188</v>
      </c>
      <c r="R28" s="216" t="s">
        <v>190</v>
      </c>
      <c r="S28" s="207" t="s">
        <v>191</v>
      </c>
      <c r="T28" s="181"/>
      <c r="V28" s="56" t="s">
        <v>148</v>
      </c>
      <c r="W28" s="216" t="s">
        <v>54</v>
      </c>
      <c r="X28" s="207" t="s">
        <v>191</v>
      </c>
      <c r="Y28" s="181"/>
    </row>
    <row r="29" spans="2:25" ht="15.75">
      <c r="B29" s="287" t="s">
        <v>149</v>
      </c>
      <c r="C29" s="331">
        <f>MROUND(('previsão de vendas'!G10/'base de dados'!$G$39)*HLOOKUP(D29,$C$25:$G$26,2,FALSE),1)</f>
        <v>28</v>
      </c>
      <c r="D29" s="178">
        <v>2</v>
      </c>
      <c r="E29" s="285"/>
      <c r="G29" s="67" t="s">
        <v>149</v>
      </c>
      <c r="H29" s="286">
        <f>MROUND(('previsão de vendas'!N35/'base de dados'!$G$39+0.4)*HLOOKUP(I29,$C$25:$G$26,2,FALSE),1)</f>
        <v>78</v>
      </c>
      <c r="I29" s="178">
        <v>2</v>
      </c>
      <c r="J29" s="285"/>
      <c r="L29" s="172" t="s">
        <v>149</v>
      </c>
      <c r="M29" s="178">
        <f>MROUND(('previsão de vendas'!U35/'base de dados'!$G$40+0.4)*HLOOKUP(N29,$C$25:$G$26,2,FALSE),1)</f>
        <v>31</v>
      </c>
      <c r="N29" s="178">
        <v>2</v>
      </c>
      <c r="O29" s="285"/>
      <c r="Q29" s="172" t="s">
        <v>149</v>
      </c>
      <c r="R29" s="286">
        <f>MROUND(('previsão de vendas'!AB35/'base de dados'!$G$41+0.4)*HLOOKUP(S29,$C$25:$G$26,2,FALSE),1)</f>
        <v>9</v>
      </c>
      <c r="S29" s="178">
        <v>2</v>
      </c>
      <c r="T29" s="285"/>
      <c r="V29" s="67" t="s">
        <v>149</v>
      </c>
      <c r="W29" s="178">
        <f>MROUND(('previsão de vendas'!AI35/'base de dados'!$G$41)*HLOOKUP(X29,$C$25:$G$26,2,FALSE),1)</f>
        <v>7</v>
      </c>
      <c r="X29" s="178">
        <v>2</v>
      </c>
      <c r="Y29" s="285"/>
    </row>
    <row r="30" spans="2:25" ht="15.75">
      <c r="B30" s="287" t="s">
        <v>150</v>
      </c>
      <c r="C30" s="331">
        <f>MROUND(('previsão de vendas'!G11/'base de dados'!$G$39)*HLOOKUP(D30,$C$25:$G$26,2,FALSE),1)</f>
        <v>73</v>
      </c>
      <c r="D30" s="178">
        <v>4</v>
      </c>
      <c r="E30" s="285"/>
      <c r="G30" s="67" t="s">
        <v>150</v>
      </c>
      <c r="H30" s="286">
        <f>MROUND(('previsão de vendas'!N36/'base de dados'!$G$39+0.4)*HLOOKUP(I30,$C$25:$G$26,2,FALSE),1)</f>
        <v>216</v>
      </c>
      <c r="I30" s="178">
        <v>4</v>
      </c>
      <c r="J30" s="285"/>
      <c r="L30" s="172" t="s">
        <v>150</v>
      </c>
      <c r="M30" s="178">
        <f>MROUND(('previsão de vendas'!U36/'base de dados'!$G$40+0.4)*HLOOKUP(N30,$C$25:$G$26,2,FALSE),1)</f>
        <v>63</v>
      </c>
      <c r="N30" s="178">
        <v>3</v>
      </c>
      <c r="O30" s="285"/>
      <c r="Q30" s="172" t="s">
        <v>150</v>
      </c>
      <c r="R30" s="286">
        <f>MROUND(('previsão de vendas'!AB36/'base de dados'!$G$41+0.4)*HLOOKUP(S30,$C$25:$G$26,2,FALSE),1)</f>
        <v>23</v>
      </c>
      <c r="S30" s="178">
        <v>4</v>
      </c>
      <c r="T30" s="285"/>
      <c r="V30" s="67" t="s">
        <v>150</v>
      </c>
      <c r="W30" s="178">
        <f>MROUND(('previsão de vendas'!AI36/'base de dados'!$G$41)*HLOOKUP(X30,$C$25:$G$26,2,FALSE),1)</f>
        <v>20</v>
      </c>
      <c r="X30" s="178">
        <v>4</v>
      </c>
      <c r="Y30" s="285"/>
    </row>
    <row r="31" spans="2:25" ht="15.75">
      <c r="B31" s="287" t="s">
        <v>151</v>
      </c>
      <c r="C31" s="331">
        <f>MROUND(('previsão de vendas'!G12/'base de dados'!$G$39)*HLOOKUP(D31,$C$25:$G$26,2,FALSE),1)</f>
        <v>0</v>
      </c>
      <c r="D31" s="178">
        <v>3</v>
      </c>
      <c r="E31" s="285"/>
      <c r="G31" s="67" t="s">
        <v>151</v>
      </c>
      <c r="H31" s="286">
        <f>MROUND(('previsão de vendas'!N37/'base de dados'!$G$39+0.4)*HLOOKUP(I31,$C$25:$G$26,2,FALSE),1)</f>
        <v>17</v>
      </c>
      <c r="I31" s="178">
        <v>3</v>
      </c>
      <c r="J31" s="285"/>
      <c r="L31" s="172" t="s">
        <v>151</v>
      </c>
      <c r="M31" s="178">
        <f>MROUND(('previsão de vendas'!U37/'base de dados'!$G$40+0.4)*HLOOKUP(N31,$C$25:$G$26,2,FALSE),1)</f>
        <v>5</v>
      </c>
      <c r="N31" s="178">
        <v>2</v>
      </c>
      <c r="O31" s="285"/>
      <c r="Q31" s="172" t="s">
        <v>151</v>
      </c>
      <c r="R31" s="286">
        <f>MROUND(('previsão de vendas'!AB37/'base de dados'!$G$41+0.4)*HLOOKUP(S31,$C$25:$G$26,2,FALSE),1)</f>
        <v>2</v>
      </c>
      <c r="S31" s="178">
        <v>3</v>
      </c>
      <c r="T31" s="285"/>
      <c r="V31" s="67" t="s">
        <v>151</v>
      </c>
      <c r="W31" s="178">
        <f>MROUND(('previsão de vendas'!AI37/'base de dados'!$G$41)*HLOOKUP(X31,$C$25:$G$26,2,FALSE),1)</f>
        <v>2</v>
      </c>
      <c r="X31" s="178">
        <v>3</v>
      </c>
      <c r="Y31" s="285"/>
    </row>
    <row r="32" spans="2:25" ht="15.75">
      <c r="B32" s="287" t="s">
        <v>152</v>
      </c>
      <c r="C32" s="331">
        <f>MROUND(('previsão de vendas'!G13/'base de dados'!$G$39)*HLOOKUP(D32,$C$25:$G$26,2,FALSE),1)</f>
        <v>104</v>
      </c>
      <c r="D32" s="178">
        <v>4</v>
      </c>
      <c r="E32" s="285"/>
      <c r="G32" s="67" t="s">
        <v>152</v>
      </c>
      <c r="H32" s="286">
        <f>MROUND(('previsão de vendas'!N38/'base de dados'!$G$39+0.4)*HLOOKUP(I32,$C$25:$G$26,2,FALSE),1)</f>
        <v>315</v>
      </c>
      <c r="I32" s="178">
        <v>4</v>
      </c>
      <c r="J32" s="285"/>
      <c r="L32" s="172" t="s">
        <v>152</v>
      </c>
      <c r="M32" s="178">
        <f>MROUND(('previsão de vendas'!U38/'base de dados'!$G$40+0.4)*HLOOKUP(N32,$C$25:$G$26,2,FALSE),1)</f>
        <v>92</v>
      </c>
      <c r="N32" s="178">
        <v>3</v>
      </c>
      <c r="O32" s="285"/>
      <c r="Q32" s="172" t="s">
        <v>152</v>
      </c>
      <c r="R32" s="286">
        <f>MROUND(('previsão de vendas'!AB38/'base de dados'!$G$41+0.4)*HLOOKUP(S32,$C$25:$G$26,2,FALSE),1)</f>
        <v>34</v>
      </c>
      <c r="S32" s="178">
        <v>4</v>
      </c>
      <c r="T32" s="285"/>
      <c r="V32" s="67" t="s">
        <v>152</v>
      </c>
      <c r="W32" s="178">
        <f>MROUND(('previsão de vendas'!AI38/'base de dados'!$G$41)*HLOOKUP(X32,$C$25:$G$26,2,FALSE),1)</f>
        <v>29</v>
      </c>
      <c r="X32" s="178">
        <v>4</v>
      </c>
      <c r="Y32" s="285"/>
    </row>
    <row r="33" spans="2:25" ht="15.75">
      <c r="B33" s="287" t="s">
        <v>153</v>
      </c>
      <c r="C33" s="331">
        <f>MROUND(('previsão de vendas'!G14/'base de dados'!$G$39)*HLOOKUP(D33,$C$25:$G$26,2,FALSE),1)</f>
        <v>55</v>
      </c>
      <c r="D33" s="178">
        <v>4</v>
      </c>
      <c r="E33" s="285"/>
      <c r="G33" s="67" t="s">
        <v>153</v>
      </c>
      <c r="H33" s="286">
        <f>MROUND(('previsão de vendas'!N39/'base de dados'!$G$39+0.4)*HLOOKUP(I33,$C$25:$G$26,2,FALSE),1)</f>
        <v>152</v>
      </c>
      <c r="I33" s="178">
        <v>4</v>
      </c>
      <c r="J33" s="285"/>
      <c r="L33" s="172" t="s">
        <v>153</v>
      </c>
      <c r="M33" s="178">
        <f>MROUND(('previsão de vendas'!U39/'base de dados'!$G$40+0.4)*HLOOKUP(N33,$C$25:$G$26,2,FALSE),1)</f>
        <v>44</v>
      </c>
      <c r="N33" s="178">
        <v>3</v>
      </c>
      <c r="O33" s="285"/>
      <c r="Q33" s="172" t="s">
        <v>153</v>
      </c>
      <c r="R33" s="286">
        <f>MROUND(('previsão de vendas'!AB39/'base de dados'!$G$41+0.4)*HLOOKUP(S33,$C$25:$G$26,2,FALSE),1)</f>
        <v>16</v>
      </c>
      <c r="S33" s="178">
        <v>4</v>
      </c>
      <c r="T33" s="285"/>
      <c r="V33" s="67" t="s">
        <v>153</v>
      </c>
      <c r="W33" s="178">
        <f>MROUND(('previsão de vendas'!AI39/'base de dados'!$G$41)*HLOOKUP(X33,$C$25:$G$26,2,FALSE),1)</f>
        <v>14</v>
      </c>
      <c r="X33" s="178">
        <v>4</v>
      </c>
      <c r="Y33" s="285"/>
    </row>
    <row r="34" spans="2:25" ht="15.75">
      <c r="B34" s="287" t="s">
        <v>154</v>
      </c>
      <c r="C34" s="331">
        <f>MROUND(('previsão de vendas'!G15/'base de dados'!$G$39)*HLOOKUP(D34,$C$25:$G$26,2,FALSE),1)</f>
        <v>92</v>
      </c>
      <c r="D34" s="178">
        <v>4</v>
      </c>
      <c r="E34" s="285"/>
      <c r="G34" s="67" t="s">
        <v>154</v>
      </c>
      <c r="H34" s="286">
        <f>MROUND(('previsão de vendas'!N40/'base de dados'!$G$39+0.4)*HLOOKUP(I34,$C$25:$G$26,2,FALSE),1)</f>
        <v>247</v>
      </c>
      <c r="I34" s="178">
        <v>4</v>
      </c>
      <c r="J34" s="285"/>
      <c r="L34" s="172" t="s">
        <v>154</v>
      </c>
      <c r="M34" s="178">
        <f>MROUND(('previsão de vendas'!U40/'base de dados'!$G$40+0.4)*HLOOKUP(N34,$C$25:$G$26,2,FALSE),1)</f>
        <v>72</v>
      </c>
      <c r="N34" s="178">
        <v>3</v>
      </c>
      <c r="O34" s="285"/>
      <c r="Q34" s="172" t="s">
        <v>154</v>
      </c>
      <c r="R34" s="286">
        <f>MROUND(('previsão de vendas'!AB40/'base de dados'!$G$41+0.4)*HLOOKUP(S34,$C$25:$G$26,2,FALSE),1)</f>
        <v>27</v>
      </c>
      <c r="S34" s="178">
        <v>4</v>
      </c>
      <c r="T34" s="285"/>
      <c r="V34" s="67" t="s">
        <v>154</v>
      </c>
      <c r="W34" s="178">
        <f>MROUND(('previsão de vendas'!AI40/'base de dados'!$G$41)*HLOOKUP(X34,$C$25:$G$26,2,FALSE),1)</f>
        <v>23</v>
      </c>
      <c r="X34" s="178">
        <v>4</v>
      </c>
      <c r="Y34" s="285"/>
    </row>
    <row r="35" spans="2:25" ht="15.75">
      <c r="B35" s="287" t="s">
        <v>155</v>
      </c>
      <c r="C35" s="331">
        <f>MROUND(('previsão de vendas'!G16/'base de dados'!$G$39)*HLOOKUP(D35,$C$25:$G$26,2,FALSE),1)</f>
        <v>104</v>
      </c>
      <c r="D35" s="178">
        <v>4</v>
      </c>
      <c r="E35" s="285"/>
      <c r="G35" s="67" t="s">
        <v>155</v>
      </c>
      <c r="H35" s="286">
        <f>MROUND(('previsão de vendas'!N41/'base de dados'!$G$39+0.4)*HLOOKUP(I35,$C$25:$G$26,2,FALSE),1)</f>
        <v>317</v>
      </c>
      <c r="I35" s="178">
        <v>4</v>
      </c>
      <c r="J35" s="285"/>
      <c r="L35" s="172" t="s">
        <v>155</v>
      </c>
      <c r="M35" s="178">
        <f>MROUND(('previsão de vendas'!U41/'base de dados'!$G$40+0.4)*HLOOKUP(N35,$C$25:$G$26,2,FALSE),1)</f>
        <v>93</v>
      </c>
      <c r="N35" s="178">
        <v>3</v>
      </c>
      <c r="O35" s="285"/>
      <c r="Q35" s="172" t="s">
        <v>155</v>
      </c>
      <c r="R35" s="286">
        <f>MROUND(('previsão de vendas'!AB41/'base de dados'!$G$41+0.4)*HLOOKUP(S35,$C$25:$G$26,2,FALSE),1)</f>
        <v>34</v>
      </c>
      <c r="S35" s="178">
        <v>4</v>
      </c>
      <c r="T35" s="285"/>
      <c r="V35" s="67" t="s">
        <v>155</v>
      </c>
      <c r="W35" s="178">
        <f>MROUND(('previsão de vendas'!AI41/'base de dados'!$G$41)*HLOOKUP(X35,$C$25:$G$26,2,FALSE),1)</f>
        <v>30</v>
      </c>
      <c r="X35" s="178">
        <v>4</v>
      </c>
      <c r="Y35" s="285"/>
    </row>
    <row r="36" spans="2:25" ht="15.75">
      <c r="B36" s="287" t="s">
        <v>156</v>
      </c>
      <c r="C36" s="331">
        <f>MROUND(('previsão de vendas'!G17/'base de dados'!$G$39)*HLOOKUP(D36,$C$25:$G$26,2,FALSE),1)</f>
        <v>80</v>
      </c>
      <c r="D36" s="178">
        <v>4</v>
      </c>
      <c r="E36" s="285"/>
      <c r="G36" s="67" t="s">
        <v>156</v>
      </c>
      <c r="H36" s="286">
        <f>MROUND(('previsão de vendas'!N42/'base de dados'!$G$39+0.4)*HLOOKUP(I36,$C$25:$G$26,2,FALSE),1)</f>
        <v>224</v>
      </c>
      <c r="I36" s="178">
        <v>4</v>
      </c>
      <c r="J36" s="285"/>
      <c r="L36" s="172" t="s">
        <v>156</v>
      </c>
      <c r="M36" s="178">
        <f>MROUND(('previsão de vendas'!U42/'base de dados'!$G$40+0.4)*HLOOKUP(N36,$C$25:$G$26,2,FALSE),1)</f>
        <v>66</v>
      </c>
      <c r="N36" s="178">
        <v>3</v>
      </c>
      <c r="O36" s="285"/>
      <c r="Q36" s="172" t="s">
        <v>156</v>
      </c>
      <c r="R36" s="286">
        <f>MROUND(('previsão de vendas'!AB42/'base de dados'!$G$41+0.4)*HLOOKUP(S36,$C$25:$G$26,2,FALSE),1)</f>
        <v>24</v>
      </c>
      <c r="S36" s="178">
        <v>4</v>
      </c>
      <c r="T36" s="285"/>
      <c r="V36" s="67" t="s">
        <v>156</v>
      </c>
      <c r="W36" s="178">
        <f>MROUND(('previsão de vendas'!AI42/'base de dados'!$G$41)*HLOOKUP(X36,$C$25:$G$26,2,FALSE),1)</f>
        <v>21</v>
      </c>
      <c r="X36" s="178">
        <v>4</v>
      </c>
      <c r="Y36" s="285"/>
    </row>
    <row r="37" spans="2:25" ht="15.75">
      <c r="B37" s="287" t="s">
        <v>157</v>
      </c>
      <c r="C37" s="331">
        <f>MROUND(('previsão de vendas'!G18/'base de dados'!$G$39)*HLOOKUP(D37,$C$25:$G$26,2,FALSE),1)</f>
        <v>24</v>
      </c>
      <c r="D37" s="178">
        <v>4</v>
      </c>
      <c r="E37" s="285"/>
      <c r="G37" s="67" t="s">
        <v>157</v>
      </c>
      <c r="H37" s="286">
        <f>MROUND(('previsão de vendas'!N43/'base de dados'!$G$39+0.4)*HLOOKUP(I37,$C$25:$G$26,2,FALSE),1)</f>
        <v>69</v>
      </c>
      <c r="I37" s="178">
        <v>4</v>
      </c>
      <c r="J37" s="285"/>
      <c r="L37" s="172" t="s">
        <v>157</v>
      </c>
      <c r="M37" s="178">
        <f>MROUND(('previsão de vendas'!U43/'base de dados'!$G$40+0.4)*HLOOKUP(N37,$C$25:$G$26,2,FALSE),1)</f>
        <v>20</v>
      </c>
      <c r="N37" s="178">
        <v>3</v>
      </c>
      <c r="O37" s="285"/>
      <c r="Q37" s="172" t="s">
        <v>157</v>
      </c>
      <c r="R37" s="286">
        <f>MROUND(('previsão de vendas'!AB43/'base de dados'!$G$41+0.4)*HLOOKUP(S37,$C$25:$G$26,2,FALSE),1)</f>
        <v>8</v>
      </c>
      <c r="S37" s="178">
        <v>4</v>
      </c>
      <c r="T37" s="285"/>
      <c r="V37" s="67" t="s">
        <v>157</v>
      </c>
      <c r="W37" s="178">
        <f>MROUND(('previsão de vendas'!AI43/'base de dados'!$G$41)*HLOOKUP(X37,$C$25:$G$26,2,FALSE),1)</f>
        <v>6</v>
      </c>
      <c r="X37" s="178">
        <v>4</v>
      </c>
      <c r="Y37" s="285"/>
    </row>
    <row r="38" spans="2:25" ht="15.75">
      <c r="B38" s="287" t="s">
        <v>158</v>
      </c>
      <c r="C38" s="331">
        <f>MROUND(('previsão de vendas'!G19/'base de dados'!$G$39)*HLOOKUP(D38,$C$25:$G$26,2,FALSE),1)</f>
        <v>129</v>
      </c>
      <c r="D38" s="178">
        <v>4</v>
      </c>
      <c r="E38" s="285"/>
      <c r="G38" s="67" t="s">
        <v>158</v>
      </c>
      <c r="H38" s="286">
        <f>MROUND(('previsão de vendas'!N44/'base de dados'!$G$39+0.4)*HLOOKUP(I38,$C$25:$G$26,2,FALSE),1)</f>
        <v>366</v>
      </c>
      <c r="I38" s="178">
        <v>4</v>
      </c>
      <c r="J38" s="285"/>
      <c r="L38" s="172" t="s">
        <v>158</v>
      </c>
      <c r="M38" s="178">
        <f>MROUND(('previsão de vendas'!U44/'base de dados'!$G$40+0.4)*HLOOKUP(N38,$C$25:$G$26,2,FALSE),1)</f>
        <v>107</v>
      </c>
      <c r="N38" s="178">
        <v>3</v>
      </c>
      <c r="O38" s="285"/>
      <c r="Q38" s="172" t="s">
        <v>158</v>
      </c>
      <c r="R38" s="286">
        <f>MROUND(('previsão de vendas'!AB44/'base de dados'!$G$41+0.4)*HLOOKUP(S38,$C$25:$G$26,2,FALSE),1)</f>
        <v>39</v>
      </c>
      <c r="S38" s="178">
        <v>4</v>
      </c>
      <c r="T38" s="285"/>
      <c r="V38" s="67" t="s">
        <v>158</v>
      </c>
      <c r="W38" s="178">
        <f>MROUND(('previsão de vendas'!AI44/'base de dados'!$G$41)*HLOOKUP(X38,$C$25:$G$26,2,FALSE),1)</f>
        <v>34</v>
      </c>
      <c r="X38" s="178">
        <v>4</v>
      </c>
      <c r="Y38" s="285"/>
    </row>
    <row r="39" spans="2:25" ht="15.75">
      <c r="B39" s="287" t="s">
        <v>159</v>
      </c>
      <c r="C39" s="331">
        <f>MROUND(('previsão de vendas'!G20/'base de dados'!$G$39)*HLOOKUP(D39,$C$25:$G$26,2,FALSE),1)</f>
        <v>37</v>
      </c>
      <c r="D39" s="178">
        <v>4</v>
      </c>
      <c r="E39" s="285"/>
      <c r="G39" s="67" t="s">
        <v>159</v>
      </c>
      <c r="H39" s="286">
        <f>MROUND(('previsão de vendas'!N45/'base de dados'!$G$39+0.4)*HLOOKUP(I39,$C$25:$G$26,2,FALSE),1)</f>
        <v>92</v>
      </c>
      <c r="I39" s="178">
        <v>4</v>
      </c>
      <c r="J39" s="285"/>
      <c r="L39" s="172" t="s">
        <v>159</v>
      </c>
      <c r="M39" s="178">
        <f>MROUND(('previsão de vendas'!U45/'base de dados'!$G$40+0.4)*HLOOKUP(N39,$C$25:$G$26,2,FALSE),1)</f>
        <v>36</v>
      </c>
      <c r="N39" s="178">
        <v>4</v>
      </c>
      <c r="O39" s="285"/>
      <c r="Q39" s="172" t="s">
        <v>159</v>
      </c>
      <c r="R39" s="286">
        <f>MROUND(('previsão de vendas'!AB45/'base de dados'!$G$41+0.4)*HLOOKUP(S39,$C$25:$G$26,2,FALSE),1)</f>
        <v>10</v>
      </c>
      <c r="S39" s="178">
        <v>4</v>
      </c>
      <c r="T39" s="285"/>
      <c r="V39" s="67" t="s">
        <v>159</v>
      </c>
      <c r="W39" s="178">
        <f>MROUND(('previsão de vendas'!AI45/'base de dados'!$G$41)*HLOOKUP(X39,$C$25:$G$26,2,FALSE),1)</f>
        <v>9</v>
      </c>
      <c r="X39" s="178">
        <v>4</v>
      </c>
      <c r="Y39" s="285"/>
    </row>
    <row r="40" spans="2:25" ht="15.75">
      <c r="B40" s="287" t="s">
        <v>160</v>
      </c>
      <c r="C40" s="331">
        <f>MROUND(('previsão de vendas'!G21/'base de dados'!$G$39)*HLOOKUP(D40,$C$25:$G$26,2,FALSE),1)</f>
        <v>141</v>
      </c>
      <c r="D40" s="178">
        <v>4</v>
      </c>
      <c r="E40" s="285"/>
      <c r="G40" s="67" t="s">
        <v>160</v>
      </c>
      <c r="H40" s="286">
        <f>MROUND(('previsão de vendas'!N46/'base de dados'!$G$39+0.4)*HLOOKUP(I40,$C$25:$G$26,2,FALSE),1)</f>
        <v>416</v>
      </c>
      <c r="I40" s="178">
        <v>4</v>
      </c>
      <c r="J40" s="285"/>
      <c r="L40" s="172" t="s">
        <v>160</v>
      </c>
      <c r="M40" s="178">
        <f>MROUND(('previsão de vendas'!U46/'base de dados'!$G$40+0.4)*HLOOKUP(N40,$C$25:$G$26,2,FALSE),1)</f>
        <v>121</v>
      </c>
      <c r="N40" s="178">
        <v>3</v>
      </c>
      <c r="O40" s="285"/>
      <c r="Q40" s="172" t="s">
        <v>160</v>
      </c>
      <c r="R40" s="286">
        <f>MROUND(('previsão de vendas'!AB46/'base de dados'!$G$41+0.4)*HLOOKUP(S40,$C$25:$G$26,2,FALSE),1)</f>
        <v>44</v>
      </c>
      <c r="S40" s="178">
        <v>4</v>
      </c>
      <c r="T40" s="285"/>
      <c r="V40" s="67" t="s">
        <v>160</v>
      </c>
      <c r="W40" s="178">
        <f>MROUND(('previsão de vendas'!AI46/'base de dados'!$G$41)*HLOOKUP(X40,$C$25:$G$26,2,FALSE),1)</f>
        <v>39</v>
      </c>
      <c r="X40" s="178">
        <v>4</v>
      </c>
      <c r="Y40" s="285"/>
    </row>
    <row r="41" spans="2:25">
      <c r="B41" s="309" t="s">
        <v>178</v>
      </c>
      <c r="C41" s="332">
        <f>SUM(C29:C40)</f>
        <v>867</v>
      </c>
      <c r="D41" s="178">
        <f>MEDIAN(D29:D40)</f>
        <v>4</v>
      </c>
      <c r="E41" s="285"/>
      <c r="G41" s="303" t="s">
        <v>178</v>
      </c>
      <c r="H41" s="219">
        <f>SUM(H29:H40)</f>
        <v>2509</v>
      </c>
      <c r="I41" s="178">
        <f>MEDIAN(I29:I40)</f>
        <v>4</v>
      </c>
      <c r="J41" s="285"/>
      <c r="L41" s="307" t="s">
        <v>178</v>
      </c>
      <c r="M41" s="178">
        <f>SUM(M29:M40)</f>
        <v>750</v>
      </c>
      <c r="N41" s="178">
        <f>MEDIAN(N29:N40)</f>
        <v>3</v>
      </c>
      <c r="O41" s="285"/>
      <c r="Q41" s="307" t="s">
        <v>178</v>
      </c>
      <c r="R41" s="178">
        <f>SUM(R29:R40)</f>
        <v>270</v>
      </c>
      <c r="S41" s="178">
        <f>MEDIAN(S29:S40)</f>
        <v>4</v>
      </c>
      <c r="T41" s="52"/>
      <c r="V41" s="303" t="s">
        <v>178</v>
      </c>
      <c r="W41" s="178">
        <f>SUM(W29:W40)</f>
        <v>234</v>
      </c>
      <c r="X41" s="178">
        <f>MEDIAN(X29:X40)</f>
        <v>4</v>
      </c>
      <c r="Y41" s="52"/>
    </row>
    <row r="42" spans="2:25">
      <c r="H42" s="183"/>
      <c r="I42" s="183"/>
    </row>
    <row r="44" spans="2:25" ht="15.75">
      <c r="B44" s="171" t="s">
        <v>173</v>
      </c>
      <c r="C44" s="217" t="s">
        <v>29</v>
      </c>
      <c r="D44" s="181"/>
      <c r="E44" s="181"/>
      <c r="G44" s="171" t="s">
        <v>174</v>
      </c>
      <c r="H44" s="216" t="s">
        <v>29</v>
      </c>
      <c r="I44" s="181"/>
      <c r="J44" s="181"/>
      <c r="L44" s="171" t="s">
        <v>146</v>
      </c>
      <c r="M44" s="216" t="s">
        <v>29</v>
      </c>
      <c r="N44" s="181"/>
      <c r="O44" s="181"/>
      <c r="Q44" s="171" t="s">
        <v>188</v>
      </c>
      <c r="R44" s="216" t="s">
        <v>29</v>
      </c>
      <c r="S44" s="181"/>
      <c r="T44" s="181"/>
      <c r="V44" s="171" t="s">
        <v>148</v>
      </c>
      <c r="W44" s="216" t="s">
        <v>29</v>
      </c>
      <c r="X44" s="181"/>
      <c r="Y44" s="181"/>
    </row>
    <row r="45" spans="2:25" ht="15.75">
      <c r="B45" s="287" t="s">
        <v>149</v>
      </c>
      <c r="C45" s="178">
        <f>MROUND((('previsão de vendas'!G35/$D$22)+0.4)*HLOOKUP($B$26,$C$25:$G$26,2,FALSE),1)</f>
        <v>3</v>
      </c>
      <c r="D45" s="285"/>
      <c r="E45" s="285"/>
      <c r="G45" s="172" t="s">
        <v>149</v>
      </c>
      <c r="H45" s="286">
        <f>MROUND((('previsão de vendas'!N35/$D$22)+0.4)*HLOOKUP($B$26,$C$25:$G$26,2,FALSE),1)</f>
        <v>8</v>
      </c>
      <c r="I45" s="285"/>
      <c r="J45" s="285"/>
      <c r="L45" s="172" t="s">
        <v>149</v>
      </c>
      <c r="M45" s="286">
        <f>MROUND((('previsão de vendas'!U35/$D$22)+0.4)*HLOOKUP($B$26,$C$25:$G$26,2,FALSE),1)</f>
        <v>5</v>
      </c>
      <c r="N45" s="285"/>
      <c r="O45" s="285"/>
      <c r="Q45" s="172" t="s">
        <v>149</v>
      </c>
      <c r="R45" s="286">
        <f>MROUND((('previsão de vendas'!AB35/$D$22)+0.4)*HLOOKUP($B$26,$C$25:$G$26,2,FALSE),1)</f>
        <v>2</v>
      </c>
      <c r="S45" s="285"/>
      <c r="T45" s="285"/>
      <c r="V45" s="172" t="s">
        <v>149</v>
      </c>
      <c r="W45" s="286">
        <f>MROUND((('previsão de vendas'!AI35/$D$22)+0.4)*HLOOKUP($B$26,$C$25:$G$26,2,FALSE),1)</f>
        <v>2</v>
      </c>
      <c r="X45" s="285"/>
      <c r="Y45" s="285"/>
    </row>
    <row r="46" spans="2:25" ht="15.75">
      <c r="B46" s="287" t="s">
        <v>150</v>
      </c>
      <c r="C46" s="178">
        <f>MROUND((('previsão de vendas'!G36/$D$22)+0.4)*HLOOKUP($B$26,$C$25:$G$26,2,FALSE),1)</f>
        <v>4</v>
      </c>
      <c r="D46" s="285"/>
      <c r="E46" s="285"/>
      <c r="G46" s="172" t="s">
        <v>150</v>
      </c>
      <c r="H46" s="286">
        <f>MROUND((('previsão de vendas'!N36/$D$22)+0.4)*HLOOKUP($B$26,$C$25:$G$26,2,FALSE),1)</f>
        <v>11</v>
      </c>
      <c r="I46" s="285"/>
      <c r="J46" s="285"/>
      <c r="L46" s="172" t="s">
        <v>150</v>
      </c>
      <c r="M46" s="286">
        <f>MROUND((('previsão de vendas'!U36/$D$22)+0.4)*HLOOKUP($B$26,$C$25:$G$26,2,FALSE),1)</f>
        <v>6</v>
      </c>
      <c r="N46" s="285"/>
      <c r="O46" s="285"/>
      <c r="Q46" s="172" t="s">
        <v>150</v>
      </c>
      <c r="R46" s="286">
        <f>MROUND((('previsão de vendas'!AB36/$D$22)+0.4)*HLOOKUP($B$26,$C$25:$G$26,2,FALSE),1)</f>
        <v>3</v>
      </c>
      <c r="S46" s="285"/>
      <c r="T46" s="285"/>
      <c r="V46" s="172" t="s">
        <v>150</v>
      </c>
      <c r="W46" s="286">
        <f>MROUND((('previsão de vendas'!AI36/$D$22)+0.4)*HLOOKUP($B$26,$C$25:$G$26,2,FALSE),1)</f>
        <v>2</v>
      </c>
      <c r="X46" s="285"/>
      <c r="Y46" s="285"/>
    </row>
    <row r="47" spans="2:25" ht="15.75">
      <c r="B47" s="287" t="s">
        <v>151</v>
      </c>
      <c r="C47" s="178">
        <f>MROUND((('previsão de vendas'!G37/$D$22)+0.4)*HLOOKUP($B$26,$C$25:$G$26,2,FALSE),1)</f>
        <v>1</v>
      </c>
      <c r="D47" s="285"/>
      <c r="E47" s="285"/>
      <c r="G47" s="172" t="s">
        <v>151</v>
      </c>
      <c r="H47" s="286">
        <f>MROUND((('previsão de vendas'!N37/$D$22)+0.4)*HLOOKUP($B$26,$C$25:$G$26,2,FALSE),1)</f>
        <v>2</v>
      </c>
      <c r="I47" s="285"/>
      <c r="J47" s="285"/>
      <c r="L47" s="172" t="s">
        <v>151</v>
      </c>
      <c r="M47" s="286">
        <f>MROUND((('previsão de vendas'!U37/$D$22)+0.4)*HLOOKUP($B$26,$C$25:$G$26,2,FALSE),1)</f>
        <v>1</v>
      </c>
      <c r="N47" s="285"/>
      <c r="O47" s="285"/>
      <c r="Q47" s="172" t="s">
        <v>151</v>
      </c>
      <c r="R47" s="286">
        <f>MROUND((('previsão de vendas'!AB37/$D$22)+0.4)*HLOOKUP($B$26,$C$25:$G$26,2,FALSE),1)</f>
        <v>1</v>
      </c>
      <c r="S47" s="285"/>
      <c r="T47" s="285"/>
      <c r="V47" s="172" t="s">
        <v>151</v>
      </c>
      <c r="W47" s="286">
        <f>MROUND((('previsão de vendas'!AI37/$D$22)+0.4)*HLOOKUP($B$26,$C$25:$G$26,2,FALSE),1)</f>
        <v>1</v>
      </c>
      <c r="X47" s="285"/>
      <c r="Y47" s="285"/>
    </row>
    <row r="48" spans="2:25" ht="15.75">
      <c r="B48" s="287" t="s">
        <v>152</v>
      </c>
      <c r="C48" s="178">
        <f>MROUND((('previsão de vendas'!G38/$D$22)+0.4)*HLOOKUP($B$26,$C$25:$G$26,2,FALSE),1)</f>
        <v>6</v>
      </c>
      <c r="D48" s="285"/>
      <c r="E48" s="285"/>
      <c r="G48" s="172" t="s">
        <v>152</v>
      </c>
      <c r="H48" s="286">
        <f>MROUND((('previsão de vendas'!N38/$D$22)+0.4)*HLOOKUP($B$26,$C$25:$G$26,2,FALSE),1)</f>
        <v>16</v>
      </c>
      <c r="I48" s="285"/>
      <c r="J48" s="285"/>
      <c r="L48" s="172" t="s">
        <v>152</v>
      </c>
      <c r="M48" s="286">
        <f>MROUND((('previsão de vendas'!U38/$D$22)+0.4)*HLOOKUP($B$26,$C$25:$G$26,2,FALSE),1)</f>
        <v>8</v>
      </c>
      <c r="N48" s="285"/>
      <c r="O48" s="285"/>
      <c r="Q48" s="172" t="s">
        <v>152</v>
      </c>
      <c r="R48" s="286">
        <f>MROUND((('previsão de vendas'!AB38/$D$22)+0.4)*HLOOKUP($B$26,$C$25:$G$26,2,FALSE),1)</f>
        <v>3</v>
      </c>
      <c r="S48" s="285"/>
      <c r="T48" s="285"/>
      <c r="V48" s="172" t="s">
        <v>152</v>
      </c>
      <c r="W48" s="286">
        <f>MROUND((('previsão de vendas'!AI38/$D$22)+0.4)*HLOOKUP($B$26,$C$25:$G$26,2,FALSE),1)</f>
        <v>3</v>
      </c>
      <c r="X48" s="285"/>
      <c r="Y48" s="285"/>
    </row>
    <row r="49" spans="2:25" ht="15.75">
      <c r="B49" s="287" t="s">
        <v>153</v>
      </c>
      <c r="C49" s="178">
        <f>MROUND((('previsão de vendas'!G39/$D$22)+0.4)*HLOOKUP($B$26,$C$25:$G$26,2,FALSE),1)</f>
        <v>3</v>
      </c>
      <c r="D49" s="285"/>
      <c r="E49" s="285"/>
      <c r="G49" s="172" t="s">
        <v>153</v>
      </c>
      <c r="H49" s="286">
        <f>MROUND((('previsão de vendas'!N39/$D$22)+0.4)*HLOOKUP($B$26,$C$25:$G$26,2,FALSE),1)</f>
        <v>8</v>
      </c>
      <c r="I49" s="285"/>
      <c r="J49" s="285"/>
      <c r="L49" s="172" t="s">
        <v>153</v>
      </c>
      <c r="M49" s="286">
        <f>MROUND((('previsão de vendas'!U39/$D$22)+0.4)*HLOOKUP($B$26,$C$25:$G$26,2,FALSE),1)</f>
        <v>4</v>
      </c>
      <c r="N49" s="285"/>
      <c r="O49" s="285"/>
      <c r="Q49" s="172" t="s">
        <v>153</v>
      </c>
      <c r="R49" s="286">
        <f>MROUND((('previsão de vendas'!AB39/$D$22)+0.4)*HLOOKUP($B$26,$C$25:$G$26,2,FALSE),1)</f>
        <v>2</v>
      </c>
      <c r="S49" s="285"/>
      <c r="T49" s="285"/>
      <c r="V49" s="172" t="s">
        <v>153</v>
      </c>
      <c r="W49" s="286">
        <f>MROUND((('previsão de vendas'!AI39/$D$22)+0.4)*HLOOKUP($B$26,$C$25:$G$26,2,FALSE),1)</f>
        <v>2</v>
      </c>
      <c r="X49" s="285"/>
      <c r="Y49" s="285"/>
    </row>
    <row r="50" spans="2:25" ht="15.75">
      <c r="B50" s="287" t="s">
        <v>154</v>
      </c>
      <c r="C50" s="178">
        <f>MROUND((('previsão de vendas'!G40/$D$22)+0.4)*HLOOKUP($B$26,$C$25:$G$26,2,FALSE),1)</f>
        <v>5</v>
      </c>
      <c r="D50" s="285"/>
      <c r="E50" s="285"/>
      <c r="G50" s="172" t="s">
        <v>154</v>
      </c>
      <c r="H50" s="286">
        <f>MROUND((('previsão de vendas'!N40/$D$22)+0.4)*HLOOKUP($B$26,$C$25:$G$26,2,FALSE),1)</f>
        <v>13</v>
      </c>
      <c r="I50" s="285"/>
      <c r="J50" s="285"/>
      <c r="L50" s="172" t="s">
        <v>154</v>
      </c>
      <c r="M50" s="286">
        <f>MROUND((('previsão de vendas'!U40/$D$22)+0.4)*HLOOKUP($B$26,$C$25:$G$26,2,FALSE),1)</f>
        <v>7</v>
      </c>
      <c r="N50" s="285"/>
      <c r="O50" s="285"/>
      <c r="Q50" s="172" t="s">
        <v>154</v>
      </c>
      <c r="R50" s="286">
        <f>MROUND((('previsão de vendas'!AB40/$D$22)+0.4)*HLOOKUP($B$26,$C$25:$G$26,2,FALSE),1)</f>
        <v>3</v>
      </c>
      <c r="S50" s="285"/>
      <c r="T50" s="285"/>
      <c r="V50" s="172" t="s">
        <v>154</v>
      </c>
      <c r="W50" s="286">
        <f>MROUND((('previsão de vendas'!AI40/$D$22)+0.4)*HLOOKUP($B$26,$C$25:$G$26,2,FALSE),1)</f>
        <v>3</v>
      </c>
      <c r="X50" s="285"/>
      <c r="Y50" s="285"/>
    </row>
    <row r="51" spans="2:25" ht="15.75">
      <c r="B51" s="287" t="s">
        <v>155</v>
      </c>
      <c r="C51" s="178">
        <f>MROUND((('previsão de vendas'!G41/$D$22)+0.4)*HLOOKUP($B$26,$C$25:$G$26,2,FALSE),1)</f>
        <v>6</v>
      </c>
      <c r="D51" s="285"/>
      <c r="E51" s="285"/>
      <c r="G51" s="172" t="s">
        <v>155</v>
      </c>
      <c r="H51" s="286">
        <f>MROUND((('previsão de vendas'!N41/$D$22)+0.4)*HLOOKUP($B$26,$C$25:$G$26,2,FALSE),1)</f>
        <v>16</v>
      </c>
      <c r="I51" s="285"/>
      <c r="J51" s="285"/>
      <c r="L51" s="172" t="s">
        <v>155</v>
      </c>
      <c r="M51" s="286">
        <f>MROUND((('previsão de vendas'!U41/$D$22)+0.4)*HLOOKUP($B$26,$C$25:$G$26,2,FALSE),1)</f>
        <v>9</v>
      </c>
      <c r="N51" s="285"/>
      <c r="O51" s="285"/>
      <c r="Q51" s="172" t="s">
        <v>155</v>
      </c>
      <c r="R51" s="286">
        <f>MROUND((('previsão de vendas'!AB41/$D$22)+0.4)*HLOOKUP($B$26,$C$25:$G$26,2,FALSE),1)</f>
        <v>4</v>
      </c>
      <c r="S51" s="285"/>
      <c r="T51" s="285"/>
      <c r="V51" s="172" t="s">
        <v>155</v>
      </c>
      <c r="W51" s="286">
        <f>MROUND((('previsão de vendas'!AI41/$D$22)+0.4)*HLOOKUP($B$26,$C$25:$G$26,2,FALSE),1)</f>
        <v>3</v>
      </c>
      <c r="X51" s="285"/>
      <c r="Y51" s="285"/>
    </row>
    <row r="52" spans="2:25" ht="15.75">
      <c r="B52" s="287" t="s">
        <v>156</v>
      </c>
      <c r="C52" s="178">
        <f>MROUND((('previsão de vendas'!G42/$D$22)+0.4)*HLOOKUP($B$26,$C$25:$G$26,2,FALSE),1)</f>
        <v>4</v>
      </c>
      <c r="D52" s="285"/>
      <c r="E52" s="285"/>
      <c r="G52" s="172" t="s">
        <v>156</v>
      </c>
      <c r="H52" s="286">
        <f>MROUND((('previsão de vendas'!N42/$D$22)+0.4)*HLOOKUP($B$26,$C$25:$G$26,2,FALSE),1)</f>
        <v>11</v>
      </c>
      <c r="I52" s="285"/>
      <c r="J52" s="285"/>
      <c r="L52" s="172" t="s">
        <v>156</v>
      </c>
      <c r="M52" s="286">
        <f>MROUND((('previsão de vendas'!U42/$D$22)+0.4)*HLOOKUP($B$26,$C$25:$G$26,2,FALSE),1)</f>
        <v>6</v>
      </c>
      <c r="N52" s="285"/>
      <c r="O52" s="285"/>
      <c r="Q52" s="172" t="s">
        <v>156</v>
      </c>
      <c r="R52" s="286">
        <f>MROUND((('previsão de vendas'!AB42/$D$22)+0.4)*HLOOKUP($B$26,$C$25:$G$26,2,FALSE),1)</f>
        <v>3</v>
      </c>
      <c r="S52" s="285"/>
      <c r="T52" s="285"/>
      <c r="V52" s="172" t="s">
        <v>156</v>
      </c>
      <c r="W52" s="286">
        <f>MROUND((('previsão de vendas'!AI42/$D$22)+0.4)*HLOOKUP($B$26,$C$25:$G$26,2,FALSE),1)</f>
        <v>2</v>
      </c>
      <c r="X52" s="285"/>
      <c r="Y52" s="285"/>
    </row>
    <row r="53" spans="2:25" ht="15.75">
      <c r="B53" s="287" t="s">
        <v>157</v>
      </c>
      <c r="C53" s="178">
        <f>MROUND((('previsão de vendas'!G43/$D$22)+0.4)*HLOOKUP($B$26,$C$25:$G$26,2,FALSE),1)</f>
        <v>2</v>
      </c>
      <c r="D53" s="285"/>
      <c r="E53" s="285"/>
      <c r="G53" s="172" t="s">
        <v>157</v>
      </c>
      <c r="H53" s="286">
        <f>MROUND((('previsão de vendas'!N43/$D$22)+0.4)*HLOOKUP($B$26,$C$25:$G$26,2,FALSE),1)</f>
        <v>4</v>
      </c>
      <c r="I53" s="285"/>
      <c r="J53" s="285"/>
      <c r="L53" s="172" t="s">
        <v>157</v>
      </c>
      <c r="M53" s="286">
        <f>MROUND((('previsão de vendas'!U43/$D$22)+0.4)*HLOOKUP($B$26,$C$25:$G$26,2,FALSE),1)</f>
        <v>2</v>
      </c>
      <c r="N53" s="285"/>
      <c r="O53" s="285"/>
      <c r="Q53" s="172" t="s">
        <v>157</v>
      </c>
      <c r="R53" s="286">
        <f>MROUND((('previsão de vendas'!AB43/$D$22)+0.4)*HLOOKUP($B$26,$C$25:$G$26,2,FALSE),1)</f>
        <v>1</v>
      </c>
      <c r="S53" s="285"/>
      <c r="T53" s="285"/>
      <c r="V53" s="172" t="s">
        <v>157</v>
      </c>
      <c r="W53" s="286">
        <f>MROUND((('previsão de vendas'!AI43/$D$22)+0.4)*HLOOKUP($B$26,$C$25:$G$26,2,FALSE),1)</f>
        <v>1</v>
      </c>
      <c r="X53" s="285"/>
      <c r="Y53" s="285"/>
    </row>
    <row r="54" spans="2:25" ht="15.75">
      <c r="B54" s="287" t="s">
        <v>158</v>
      </c>
      <c r="C54" s="178">
        <f>MROUND((('previsão de vendas'!G44/$D$22)+0.4)*HLOOKUP($B$26,$C$25:$G$26,2,FALSE),1)</f>
        <v>7</v>
      </c>
      <c r="D54" s="285"/>
      <c r="E54" s="285"/>
      <c r="G54" s="172" t="s">
        <v>158</v>
      </c>
      <c r="H54" s="286">
        <f>MROUND((('previsão de vendas'!N44/$D$22)+0.4)*HLOOKUP($B$26,$C$25:$G$26,2,FALSE),1)</f>
        <v>18</v>
      </c>
      <c r="I54" s="285"/>
      <c r="J54" s="285"/>
      <c r="L54" s="172" t="s">
        <v>158</v>
      </c>
      <c r="M54" s="286">
        <f>MROUND((('previsão de vendas'!U44/$D$22)+0.4)*HLOOKUP($B$26,$C$25:$G$26,2,FALSE),1)</f>
        <v>10</v>
      </c>
      <c r="N54" s="285"/>
      <c r="O54" s="285"/>
      <c r="Q54" s="172" t="s">
        <v>158</v>
      </c>
      <c r="R54" s="286">
        <f>MROUND((('previsão de vendas'!AB44/$D$22)+0.4)*HLOOKUP($B$26,$C$25:$G$26,2,FALSE),1)</f>
        <v>4</v>
      </c>
      <c r="S54" s="285"/>
      <c r="T54" s="285"/>
      <c r="V54" s="172" t="s">
        <v>158</v>
      </c>
      <c r="W54" s="286">
        <f>MROUND((('previsão de vendas'!AI44/$D$22)+0.4)*HLOOKUP($B$26,$C$25:$G$26,2,FALSE),1)</f>
        <v>4</v>
      </c>
      <c r="X54" s="285"/>
      <c r="Y54" s="285"/>
    </row>
    <row r="55" spans="2:25" ht="15.75">
      <c r="B55" s="287" t="s">
        <v>159</v>
      </c>
      <c r="C55" s="178">
        <f>MROUND((('previsão de vendas'!G45/$D$22)+0.4)*HLOOKUP($B$26,$C$25:$G$26,2,FALSE),1)</f>
        <v>2</v>
      </c>
      <c r="D55" s="285"/>
      <c r="E55" s="285"/>
      <c r="G55" s="172" t="s">
        <v>159</v>
      </c>
      <c r="H55" s="286">
        <f>MROUND((('previsão de vendas'!N45/$D$22)+0.4)*HLOOKUP($B$26,$C$25:$G$26,2,FALSE),1)</f>
        <v>5</v>
      </c>
      <c r="I55" s="285"/>
      <c r="J55" s="285"/>
      <c r="L55" s="172" t="s">
        <v>159</v>
      </c>
      <c r="M55" s="286">
        <f>MROUND((('previsão de vendas'!U45/$D$22)+0.4)*HLOOKUP($B$26,$C$25:$G$26,2,FALSE),1)</f>
        <v>3</v>
      </c>
      <c r="N55" s="285"/>
      <c r="O55" s="285"/>
      <c r="Q55" s="172" t="s">
        <v>159</v>
      </c>
      <c r="R55" s="286">
        <f>MROUND((('previsão de vendas'!AB45/$D$22)+0.4)*HLOOKUP($B$26,$C$25:$G$26,2,FALSE),1)</f>
        <v>1</v>
      </c>
      <c r="S55" s="285"/>
      <c r="T55" s="285"/>
      <c r="V55" s="172" t="s">
        <v>159</v>
      </c>
      <c r="W55" s="286">
        <f>MROUND((('previsão de vendas'!AI45/$D$22)+0.4)*HLOOKUP($B$26,$C$25:$G$26,2,FALSE),1)</f>
        <v>1</v>
      </c>
      <c r="X55" s="285"/>
      <c r="Y55" s="285"/>
    </row>
    <row r="56" spans="2:25" ht="15.75">
      <c r="B56" s="287" t="s">
        <v>160</v>
      </c>
      <c r="C56" s="178">
        <f>MROUND((('previsão de vendas'!G46/$D$22)+0.4)*HLOOKUP($B$26,$C$25:$G$26,2,FALSE),1)</f>
        <v>8</v>
      </c>
      <c r="D56" s="285"/>
      <c r="E56" s="285"/>
      <c r="G56" s="172" t="s">
        <v>160</v>
      </c>
      <c r="H56" s="286">
        <f>MROUND((('previsão de vendas'!N46/$D$22)+0.4)*HLOOKUP($B$26,$C$25:$G$26,2,FALSE),1)</f>
        <v>21</v>
      </c>
      <c r="I56" s="285"/>
      <c r="J56" s="285"/>
      <c r="L56" s="172" t="s">
        <v>160</v>
      </c>
      <c r="M56" s="286">
        <f>MROUND((('previsão de vendas'!U46/$D$22)+0.4)*HLOOKUP($B$26,$C$25:$G$26,2,FALSE),1)</f>
        <v>11</v>
      </c>
      <c r="N56" s="285"/>
      <c r="O56" s="285"/>
      <c r="Q56" s="172" t="s">
        <v>160</v>
      </c>
      <c r="R56" s="286">
        <f>MROUND((('previsão de vendas'!AB46/$D$22)+0.4)*HLOOKUP($B$26,$C$25:$G$26,2,FALSE),1)</f>
        <v>4</v>
      </c>
      <c r="S56" s="285"/>
      <c r="T56" s="285"/>
      <c r="V56" s="172" t="s">
        <v>160</v>
      </c>
      <c r="W56" s="286">
        <f>MROUND((('previsão de vendas'!AI46/$D$22)+0.4)*HLOOKUP($B$26,$C$25:$G$26,2,FALSE),1)</f>
        <v>4</v>
      </c>
      <c r="X56" s="285"/>
      <c r="Y56" s="285"/>
    </row>
    <row r="57" spans="2:25">
      <c r="B57" s="309" t="s">
        <v>178</v>
      </c>
      <c r="C57" s="219">
        <f>SUM(C45:C56)</f>
        <v>51</v>
      </c>
      <c r="D57" s="52"/>
      <c r="E57" s="52"/>
      <c r="G57" s="307" t="s">
        <v>178</v>
      </c>
      <c r="H57" s="219">
        <f>SUM(H45:H56)</f>
        <v>133</v>
      </c>
      <c r="I57" s="52"/>
      <c r="J57" s="52"/>
      <c r="L57" s="307" t="s">
        <v>178</v>
      </c>
      <c r="M57" s="178">
        <f>SUM(M45:M56)</f>
        <v>72</v>
      </c>
      <c r="N57" s="52"/>
      <c r="O57" s="52"/>
      <c r="Q57" s="307" t="s">
        <v>178</v>
      </c>
      <c r="R57" s="178">
        <f>SUM(R45:R56)</f>
        <v>31</v>
      </c>
      <c r="S57" s="52"/>
      <c r="T57" s="52"/>
      <c r="V57" s="307" t="s">
        <v>178</v>
      </c>
      <c r="W57" s="178">
        <f>SUM(W45:W56)</f>
        <v>28</v>
      </c>
      <c r="X57" s="52"/>
      <c r="Y57" s="52"/>
    </row>
  </sheetData>
  <mergeCells count="5">
    <mergeCell ref="B4:D4"/>
    <mergeCell ref="B3:D3"/>
    <mergeCell ref="B2:D2"/>
    <mergeCell ref="B22:C22"/>
    <mergeCell ref="B23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3D82-CD7D-4B00-B3A4-BEE9FAC37F94}">
  <dimension ref="B2:X17"/>
  <sheetViews>
    <sheetView topLeftCell="D11" workbookViewId="0">
      <selection activeCell="D22" sqref="D22"/>
    </sheetView>
  </sheetViews>
  <sheetFormatPr defaultRowHeight="15"/>
  <cols>
    <col min="2" max="2" width="11" bestFit="1" customWidth="1"/>
    <col min="3" max="3" width="29.42578125" bestFit="1" customWidth="1"/>
    <col min="4" max="4" width="26.85546875" bestFit="1" customWidth="1"/>
    <col min="7" max="7" width="11" bestFit="1" customWidth="1"/>
    <col min="8" max="8" width="30.7109375" bestFit="1" customWidth="1"/>
    <col min="9" max="9" width="28.140625" bestFit="1" customWidth="1"/>
    <col min="12" max="12" width="11" bestFit="1" customWidth="1"/>
    <col min="13" max="13" width="30.7109375" bestFit="1" customWidth="1"/>
    <col min="14" max="14" width="28.140625" bestFit="1" customWidth="1"/>
    <col min="17" max="17" width="13.140625" bestFit="1" customWidth="1"/>
    <col min="18" max="18" width="30.7109375" bestFit="1" customWidth="1"/>
    <col min="19" max="19" width="28.140625" bestFit="1" customWidth="1"/>
    <col min="22" max="22" width="11" bestFit="1" customWidth="1"/>
    <col min="23" max="23" width="30.7109375" bestFit="1" customWidth="1"/>
    <col min="24" max="24" width="28.140625" bestFit="1" customWidth="1"/>
  </cols>
  <sheetData>
    <row r="2" spans="2:24" ht="24.75">
      <c r="E2" s="414" t="s">
        <v>192</v>
      </c>
      <c r="F2" s="414"/>
      <c r="G2" s="414"/>
      <c r="H2" s="414"/>
      <c r="I2" s="414"/>
      <c r="J2" s="414"/>
      <c r="K2" s="414"/>
      <c r="L2" s="414"/>
      <c r="M2" s="414"/>
      <c r="N2" s="414"/>
      <c r="O2" s="414"/>
      <c r="P2" s="414"/>
      <c r="Q2" s="414"/>
      <c r="R2" s="414"/>
    </row>
    <row r="4" spans="2:24" ht="16.5">
      <c r="B4" s="56" t="s">
        <v>173</v>
      </c>
      <c r="C4" s="217" t="s">
        <v>29</v>
      </c>
      <c r="D4" s="217" t="s">
        <v>54</v>
      </c>
      <c r="G4" s="56" t="s">
        <v>174</v>
      </c>
      <c r="H4" s="216" t="s">
        <v>29</v>
      </c>
      <c r="I4" s="216" t="s">
        <v>54</v>
      </c>
      <c r="L4" s="56" t="s">
        <v>146</v>
      </c>
      <c r="M4" s="216" t="s">
        <v>29</v>
      </c>
      <c r="N4" s="216" t="s">
        <v>54</v>
      </c>
      <c r="Q4" s="56" t="s">
        <v>188</v>
      </c>
      <c r="R4" s="216" t="s">
        <v>29</v>
      </c>
      <c r="S4" s="216" t="s">
        <v>54</v>
      </c>
      <c r="V4" s="56" t="s">
        <v>148</v>
      </c>
      <c r="W4" s="216" t="s">
        <v>29</v>
      </c>
      <c r="X4" s="216" t="s">
        <v>54</v>
      </c>
    </row>
    <row r="5" spans="2:24" ht="16.5">
      <c r="B5" s="218" t="s">
        <v>149</v>
      </c>
      <c r="C5" s="230">
        <f>'Equipe e infraestrutura'!C45*'base de dados'!$G$30</f>
        <v>450000</v>
      </c>
      <c r="D5" s="230">
        <f>'Equipe e infraestrutura'!C29*'base de dados'!$G$35</f>
        <v>35168000</v>
      </c>
      <c r="G5" s="67" t="s">
        <v>149</v>
      </c>
      <c r="H5" s="230">
        <f>'Equipe e infraestrutura'!H45*'base de dados'!$G$30</f>
        <v>1200000</v>
      </c>
      <c r="I5" s="230">
        <f>'Equipe e infraestrutura'!H29*'base de dados'!$G$35</f>
        <v>97968000</v>
      </c>
      <c r="L5" s="67" t="s">
        <v>149</v>
      </c>
      <c r="M5" s="230">
        <f>'Equipe e infraestrutura'!M45*'base de dados'!$G$30</f>
        <v>750000</v>
      </c>
      <c r="N5" s="230">
        <f>'Equipe e infraestrutura'!M29*'base de dados'!$G$35</f>
        <v>38936000</v>
      </c>
      <c r="Q5" s="67" t="s">
        <v>149</v>
      </c>
      <c r="R5" s="230">
        <f>'Equipe e infraestrutura'!R45*'base de dados'!$G$30</f>
        <v>300000</v>
      </c>
      <c r="S5" s="230">
        <f>'Equipe e infraestrutura'!R29*'base de dados'!$G$35</f>
        <v>11304000</v>
      </c>
      <c r="V5" s="67" t="s">
        <v>149</v>
      </c>
      <c r="W5" s="230">
        <f>'Equipe e infraestrutura'!W45*'base de dados'!$G$30</f>
        <v>300000</v>
      </c>
      <c r="X5" s="230">
        <f>'Equipe e infraestrutura'!W29*'base de dados'!$G$35</f>
        <v>8792000</v>
      </c>
    </row>
    <row r="6" spans="2:24" ht="16.5">
      <c r="B6" s="218" t="s">
        <v>150</v>
      </c>
      <c r="C6" s="230">
        <f>'Equipe e infraestrutura'!C46*'base de dados'!$G$30</f>
        <v>600000</v>
      </c>
      <c r="D6" s="230">
        <f>'Equipe e infraestrutura'!C30*'base de dados'!$G$35</f>
        <v>91688000</v>
      </c>
      <c r="G6" s="67" t="s">
        <v>150</v>
      </c>
      <c r="H6" s="230">
        <f>'Equipe e infraestrutura'!H46*'base de dados'!$G$30</f>
        <v>1650000</v>
      </c>
      <c r="I6" s="230">
        <f>'Equipe e infraestrutura'!H30*'base de dados'!$G$35</f>
        <v>271296000</v>
      </c>
      <c r="L6" s="67" t="s">
        <v>150</v>
      </c>
      <c r="M6" s="230">
        <f>'Equipe e infraestrutura'!M46*'base de dados'!$G$30</f>
        <v>900000</v>
      </c>
      <c r="N6" s="230">
        <f>'Equipe e infraestrutura'!M30*'base de dados'!$G$35</f>
        <v>79128000</v>
      </c>
      <c r="Q6" s="67" t="s">
        <v>150</v>
      </c>
      <c r="R6" s="230">
        <f>'Equipe e infraestrutura'!R46*'base de dados'!$G$30</f>
        <v>450000</v>
      </c>
      <c r="S6" s="230">
        <f>'Equipe e infraestrutura'!R30*'base de dados'!$G$35</f>
        <v>28888000</v>
      </c>
      <c r="V6" s="67" t="s">
        <v>150</v>
      </c>
      <c r="W6" s="230">
        <f>'Equipe e infraestrutura'!W46*'base de dados'!$G$30</f>
        <v>300000</v>
      </c>
      <c r="X6" s="230">
        <f>'Equipe e infraestrutura'!W30*'base de dados'!$G$35</f>
        <v>25120000</v>
      </c>
    </row>
    <row r="7" spans="2:24" ht="16.5">
      <c r="B7" s="218" t="s">
        <v>151</v>
      </c>
      <c r="C7" s="230">
        <f>'Equipe e infraestrutura'!C47*'base de dados'!$G$30</f>
        <v>150000</v>
      </c>
      <c r="D7" s="230">
        <f>'Equipe e infraestrutura'!C31*'base de dados'!$G$35</f>
        <v>0</v>
      </c>
      <c r="G7" s="67" t="s">
        <v>151</v>
      </c>
      <c r="H7" s="230">
        <f>'Equipe e infraestrutura'!H47*'base de dados'!$G$30</f>
        <v>300000</v>
      </c>
      <c r="I7" s="230">
        <f>'Equipe e infraestrutura'!H31*'base de dados'!$G$35</f>
        <v>21352000</v>
      </c>
      <c r="L7" s="67" t="s">
        <v>151</v>
      </c>
      <c r="M7" s="230">
        <f>'Equipe e infraestrutura'!M47*'base de dados'!$G$30</f>
        <v>150000</v>
      </c>
      <c r="N7" s="230">
        <f>'Equipe e infraestrutura'!M31*'base de dados'!$G$35</f>
        <v>6280000</v>
      </c>
      <c r="Q7" s="67" t="s">
        <v>151</v>
      </c>
      <c r="R7" s="230">
        <f>'Equipe e infraestrutura'!R47*'base de dados'!$G$30</f>
        <v>150000</v>
      </c>
      <c r="S7" s="230">
        <f>'Equipe e infraestrutura'!R31*'base de dados'!$G$35</f>
        <v>2512000</v>
      </c>
      <c r="V7" s="67" t="s">
        <v>151</v>
      </c>
      <c r="W7" s="230">
        <f>'Equipe e infraestrutura'!W47*'base de dados'!$G$30</f>
        <v>150000</v>
      </c>
      <c r="X7" s="230">
        <f>'Equipe e infraestrutura'!W31*'base de dados'!$G$35</f>
        <v>2512000</v>
      </c>
    </row>
    <row r="8" spans="2:24" ht="16.5">
      <c r="B8" s="218" t="s">
        <v>152</v>
      </c>
      <c r="C8" s="230">
        <f>'Equipe e infraestrutura'!C48*'base de dados'!$G$30</f>
        <v>900000</v>
      </c>
      <c r="D8" s="230">
        <f>'Equipe e infraestrutura'!C32*'base de dados'!$G$35</f>
        <v>130624000</v>
      </c>
      <c r="G8" s="67" t="s">
        <v>152</v>
      </c>
      <c r="H8" s="230">
        <f>'Equipe e infraestrutura'!H48*'base de dados'!$G$30</f>
        <v>2400000</v>
      </c>
      <c r="I8" s="230">
        <f>'Equipe e infraestrutura'!H32*'base de dados'!$G$35</f>
        <v>395640000</v>
      </c>
      <c r="L8" s="67" t="s">
        <v>152</v>
      </c>
      <c r="M8" s="230">
        <f>'Equipe e infraestrutura'!M48*'base de dados'!$G$30</f>
        <v>1200000</v>
      </c>
      <c r="N8" s="230">
        <f>'Equipe e infraestrutura'!M32*'base de dados'!$G$35</f>
        <v>115552000</v>
      </c>
      <c r="Q8" s="67" t="s">
        <v>152</v>
      </c>
      <c r="R8" s="230">
        <f>'Equipe e infraestrutura'!R48*'base de dados'!$G$30</f>
        <v>450000</v>
      </c>
      <c r="S8" s="230">
        <f>'Equipe e infraestrutura'!R32*'base de dados'!$G$35</f>
        <v>42704000</v>
      </c>
      <c r="V8" s="67" t="s">
        <v>152</v>
      </c>
      <c r="W8" s="230">
        <f>'Equipe e infraestrutura'!W48*'base de dados'!$G$30</f>
        <v>450000</v>
      </c>
      <c r="X8" s="230">
        <f>'Equipe e infraestrutura'!W32*'base de dados'!$G$35</f>
        <v>36424000</v>
      </c>
    </row>
    <row r="9" spans="2:24" ht="16.5">
      <c r="B9" s="218" t="s">
        <v>153</v>
      </c>
      <c r="C9" s="230">
        <f>'Equipe e infraestrutura'!C49*'base de dados'!$G$30</f>
        <v>450000</v>
      </c>
      <c r="D9" s="230">
        <f>'Equipe e infraestrutura'!C33*'base de dados'!$G$35</f>
        <v>69080000</v>
      </c>
      <c r="G9" s="67" t="s">
        <v>153</v>
      </c>
      <c r="H9" s="230">
        <f>'Equipe e infraestrutura'!H49*'base de dados'!$G$30</f>
        <v>1200000</v>
      </c>
      <c r="I9" s="230">
        <f>'Equipe e infraestrutura'!H33*'base de dados'!$G$35</f>
        <v>190912000</v>
      </c>
      <c r="L9" s="67" t="s">
        <v>153</v>
      </c>
      <c r="M9" s="230">
        <f>'Equipe e infraestrutura'!M49*'base de dados'!$G$30</f>
        <v>600000</v>
      </c>
      <c r="N9" s="230">
        <f>'Equipe e infraestrutura'!M33*'base de dados'!$G$35</f>
        <v>55264000</v>
      </c>
      <c r="Q9" s="67" t="s">
        <v>153</v>
      </c>
      <c r="R9" s="230">
        <f>'Equipe e infraestrutura'!R49*'base de dados'!$G$30</f>
        <v>300000</v>
      </c>
      <c r="S9" s="230">
        <f>'Equipe e infraestrutura'!R33*'base de dados'!$G$35</f>
        <v>20096000</v>
      </c>
      <c r="V9" s="67" t="s">
        <v>153</v>
      </c>
      <c r="W9" s="230">
        <f>'Equipe e infraestrutura'!W49*'base de dados'!$G$30</f>
        <v>300000</v>
      </c>
      <c r="X9" s="230">
        <f>'Equipe e infraestrutura'!W33*'base de dados'!$G$35</f>
        <v>17584000</v>
      </c>
    </row>
    <row r="10" spans="2:24" ht="16.5">
      <c r="B10" s="218" t="s">
        <v>154</v>
      </c>
      <c r="C10" s="230">
        <f>'Equipe e infraestrutura'!C50*'base de dados'!$G$30</f>
        <v>750000</v>
      </c>
      <c r="D10" s="230">
        <f>'Equipe e infraestrutura'!C34*'base de dados'!$G$35</f>
        <v>115552000</v>
      </c>
      <c r="G10" s="67" t="s">
        <v>154</v>
      </c>
      <c r="H10" s="230">
        <f>'Equipe e infraestrutura'!H50*'base de dados'!$G$30</f>
        <v>1950000</v>
      </c>
      <c r="I10" s="230">
        <f>'Equipe e infraestrutura'!H34*'base de dados'!$G$35</f>
        <v>310232000</v>
      </c>
      <c r="L10" s="67" t="s">
        <v>154</v>
      </c>
      <c r="M10" s="230">
        <f>'Equipe e infraestrutura'!M50*'base de dados'!$G$30</f>
        <v>1050000</v>
      </c>
      <c r="N10" s="230">
        <f>'Equipe e infraestrutura'!M34*'base de dados'!$G$35</f>
        <v>90432000</v>
      </c>
      <c r="Q10" s="67" t="s">
        <v>154</v>
      </c>
      <c r="R10" s="230">
        <f>'Equipe e infraestrutura'!R50*'base de dados'!$G$30</f>
        <v>450000</v>
      </c>
      <c r="S10" s="230">
        <f>'Equipe e infraestrutura'!R34*'base de dados'!$G$35</f>
        <v>33912000</v>
      </c>
      <c r="V10" s="67" t="s">
        <v>154</v>
      </c>
      <c r="W10" s="230">
        <f>'Equipe e infraestrutura'!W50*'base de dados'!$G$30</f>
        <v>450000</v>
      </c>
      <c r="X10" s="230">
        <f>'Equipe e infraestrutura'!W34*'base de dados'!$G$35</f>
        <v>28888000</v>
      </c>
    </row>
    <row r="11" spans="2:24" ht="16.5">
      <c r="B11" s="218" t="s">
        <v>155</v>
      </c>
      <c r="C11" s="230">
        <f>'Equipe e infraestrutura'!C51*'base de dados'!$G$30</f>
        <v>900000</v>
      </c>
      <c r="D11" s="230">
        <f>'Equipe e infraestrutura'!C35*'base de dados'!$G$35</f>
        <v>130624000</v>
      </c>
      <c r="G11" s="67" t="s">
        <v>155</v>
      </c>
      <c r="H11" s="230">
        <f>'Equipe e infraestrutura'!H51*'base de dados'!$G$30</f>
        <v>2400000</v>
      </c>
      <c r="I11" s="230">
        <f>'Equipe e infraestrutura'!H35*'base de dados'!$G$35</f>
        <v>398152000</v>
      </c>
      <c r="L11" s="67" t="s">
        <v>155</v>
      </c>
      <c r="M11" s="230">
        <f>'Equipe e infraestrutura'!M51*'base de dados'!$G$30</f>
        <v>1350000</v>
      </c>
      <c r="N11" s="230">
        <f>'Equipe e infraestrutura'!M35*'base de dados'!$G$35</f>
        <v>116808000</v>
      </c>
      <c r="Q11" s="67" t="s">
        <v>155</v>
      </c>
      <c r="R11" s="230">
        <f>'Equipe e infraestrutura'!R51*'base de dados'!$G$30</f>
        <v>600000</v>
      </c>
      <c r="S11" s="230">
        <f>'Equipe e infraestrutura'!R35*'base de dados'!$G$35</f>
        <v>42704000</v>
      </c>
      <c r="V11" s="67" t="s">
        <v>155</v>
      </c>
      <c r="W11" s="230">
        <f>'Equipe e infraestrutura'!W51*'base de dados'!$G$30</f>
        <v>450000</v>
      </c>
      <c r="X11" s="230">
        <f>'Equipe e infraestrutura'!W35*'base de dados'!$G$35</f>
        <v>37680000</v>
      </c>
    </row>
    <row r="12" spans="2:24" ht="16.5">
      <c r="B12" s="218" t="s">
        <v>156</v>
      </c>
      <c r="C12" s="230">
        <f>'Equipe e infraestrutura'!C52*'base de dados'!$G$30</f>
        <v>600000</v>
      </c>
      <c r="D12" s="230">
        <f>'Equipe e infraestrutura'!C36*'base de dados'!$G$35</f>
        <v>100480000</v>
      </c>
      <c r="G12" s="67" t="s">
        <v>156</v>
      </c>
      <c r="H12" s="230">
        <f>'Equipe e infraestrutura'!H52*'base de dados'!$G$30</f>
        <v>1650000</v>
      </c>
      <c r="I12" s="230">
        <f>'Equipe e infraestrutura'!H36*'base de dados'!$G$35</f>
        <v>281344000</v>
      </c>
      <c r="L12" s="67" t="s">
        <v>156</v>
      </c>
      <c r="M12" s="230">
        <f>'Equipe e infraestrutura'!M52*'base de dados'!$G$30</f>
        <v>900000</v>
      </c>
      <c r="N12" s="230">
        <f>'Equipe e infraestrutura'!M36*'base de dados'!$G$35</f>
        <v>82896000</v>
      </c>
      <c r="Q12" s="67" t="s">
        <v>156</v>
      </c>
      <c r="R12" s="230">
        <f>'Equipe e infraestrutura'!R52*'base de dados'!$G$30</f>
        <v>450000</v>
      </c>
      <c r="S12" s="230">
        <f>'Equipe e infraestrutura'!R36*'base de dados'!$G$35</f>
        <v>30144000</v>
      </c>
      <c r="V12" s="67" t="s">
        <v>156</v>
      </c>
      <c r="W12" s="230">
        <f>'Equipe e infraestrutura'!W52*'base de dados'!$G$30</f>
        <v>300000</v>
      </c>
      <c r="X12" s="230">
        <f>'Equipe e infraestrutura'!W36*'base de dados'!$G$35</f>
        <v>26376000</v>
      </c>
    </row>
    <row r="13" spans="2:24" ht="16.5">
      <c r="B13" s="218" t="s">
        <v>157</v>
      </c>
      <c r="C13" s="230">
        <f>'Equipe e infraestrutura'!C53*'base de dados'!$G$30</f>
        <v>300000</v>
      </c>
      <c r="D13" s="230">
        <f>'Equipe e infraestrutura'!C37*'base de dados'!$G$35</f>
        <v>30144000</v>
      </c>
      <c r="G13" s="67" t="s">
        <v>157</v>
      </c>
      <c r="H13" s="230">
        <f>'Equipe e infraestrutura'!H53*'base de dados'!$G$30</f>
        <v>600000</v>
      </c>
      <c r="I13" s="230">
        <f>'Equipe e infraestrutura'!H37*'base de dados'!$G$35</f>
        <v>86664000</v>
      </c>
      <c r="L13" s="67" t="s">
        <v>157</v>
      </c>
      <c r="M13" s="230">
        <f>'Equipe e infraestrutura'!M53*'base de dados'!$G$30</f>
        <v>300000</v>
      </c>
      <c r="N13" s="230">
        <f>'Equipe e infraestrutura'!M37*'base de dados'!$G$35</f>
        <v>25120000</v>
      </c>
      <c r="Q13" s="67" t="s">
        <v>157</v>
      </c>
      <c r="R13" s="230">
        <f>'Equipe e infraestrutura'!R53*'base de dados'!$G$30</f>
        <v>150000</v>
      </c>
      <c r="S13" s="230">
        <f>'Equipe e infraestrutura'!R37*'base de dados'!$G$35</f>
        <v>10048000</v>
      </c>
      <c r="V13" s="67" t="s">
        <v>157</v>
      </c>
      <c r="W13" s="230">
        <f>'Equipe e infraestrutura'!W53*'base de dados'!$G$30</f>
        <v>150000</v>
      </c>
      <c r="X13" s="230">
        <f>'Equipe e infraestrutura'!W37*'base de dados'!$G$35</f>
        <v>7536000</v>
      </c>
    </row>
    <row r="14" spans="2:24" ht="16.5">
      <c r="B14" s="218" t="s">
        <v>158</v>
      </c>
      <c r="C14" s="230">
        <f>'Equipe e infraestrutura'!C54*'base de dados'!$G$30</f>
        <v>1050000</v>
      </c>
      <c r="D14" s="230">
        <f>'Equipe e infraestrutura'!C38*'base de dados'!$G$35</f>
        <v>162024000</v>
      </c>
      <c r="G14" s="67" t="s">
        <v>158</v>
      </c>
      <c r="H14" s="230">
        <f>'Equipe e infraestrutura'!H54*'base de dados'!$G$30</f>
        <v>2700000</v>
      </c>
      <c r="I14" s="230">
        <f>'Equipe e infraestrutura'!H38*'base de dados'!$G$35</f>
        <v>459696000</v>
      </c>
      <c r="L14" s="67" t="s">
        <v>158</v>
      </c>
      <c r="M14" s="230">
        <f>'Equipe e infraestrutura'!M54*'base de dados'!$G$30</f>
        <v>1500000</v>
      </c>
      <c r="N14" s="230">
        <f>'Equipe e infraestrutura'!M38*'base de dados'!$G$35</f>
        <v>134392000</v>
      </c>
      <c r="Q14" s="67" t="s">
        <v>158</v>
      </c>
      <c r="R14" s="230">
        <f>'Equipe e infraestrutura'!R54*'base de dados'!$G$30</f>
        <v>600000</v>
      </c>
      <c r="S14" s="230">
        <f>'Equipe e infraestrutura'!R38*'base de dados'!$G$35</f>
        <v>48984000</v>
      </c>
      <c r="V14" s="67" t="s">
        <v>158</v>
      </c>
      <c r="W14" s="230">
        <f>'Equipe e infraestrutura'!W54*'base de dados'!$G$30</f>
        <v>600000</v>
      </c>
      <c r="X14" s="230">
        <f>'Equipe e infraestrutura'!W38*'base de dados'!$G$35</f>
        <v>42704000</v>
      </c>
    </row>
    <row r="15" spans="2:24" ht="16.5">
      <c r="B15" s="218" t="s">
        <v>159</v>
      </c>
      <c r="C15" s="230">
        <f>'Equipe e infraestrutura'!C55*'base de dados'!$G$30</f>
        <v>300000</v>
      </c>
      <c r="D15" s="230">
        <f>'Equipe e infraestrutura'!C39*'base de dados'!$G$35</f>
        <v>46472000</v>
      </c>
      <c r="G15" s="67" t="s">
        <v>159</v>
      </c>
      <c r="H15" s="230">
        <f>'Equipe e infraestrutura'!H55*'base de dados'!$G$30</f>
        <v>750000</v>
      </c>
      <c r="I15" s="230">
        <f>'Equipe e infraestrutura'!H39*'base de dados'!$G$35</f>
        <v>115552000</v>
      </c>
      <c r="L15" s="67" t="s">
        <v>159</v>
      </c>
      <c r="M15" s="230">
        <f>'Equipe e infraestrutura'!M55*'base de dados'!$G$30</f>
        <v>450000</v>
      </c>
      <c r="N15" s="230">
        <f>'Equipe e infraestrutura'!M39*'base de dados'!$G$35</f>
        <v>45216000</v>
      </c>
      <c r="Q15" s="67" t="s">
        <v>159</v>
      </c>
      <c r="R15" s="230">
        <f>'Equipe e infraestrutura'!R55*'base de dados'!$G$30</f>
        <v>150000</v>
      </c>
      <c r="S15" s="230">
        <f>'Equipe e infraestrutura'!R39*'base de dados'!$G$35</f>
        <v>12560000</v>
      </c>
      <c r="V15" s="67" t="s">
        <v>159</v>
      </c>
      <c r="W15" s="230">
        <f>'Equipe e infraestrutura'!W55*'base de dados'!$G$30</f>
        <v>150000</v>
      </c>
      <c r="X15" s="230">
        <f>'Equipe e infraestrutura'!W39*'base de dados'!$G$35</f>
        <v>11304000</v>
      </c>
    </row>
    <row r="16" spans="2:24" ht="16.5">
      <c r="B16" s="218" t="s">
        <v>160</v>
      </c>
      <c r="C16" s="230">
        <f>'Equipe e infraestrutura'!C56*'base de dados'!$G$30</f>
        <v>1200000</v>
      </c>
      <c r="D16" s="230">
        <f>'Equipe e infraestrutura'!C40*'base de dados'!$G$35</f>
        <v>177096000</v>
      </c>
      <c r="G16" s="67" t="s">
        <v>160</v>
      </c>
      <c r="H16" s="230">
        <f>'Equipe e infraestrutura'!H56*'base de dados'!$G$30</f>
        <v>3150000</v>
      </c>
      <c r="I16" s="230">
        <f>'Equipe e infraestrutura'!H40*'base de dados'!$G$35</f>
        <v>522496000</v>
      </c>
      <c r="L16" s="67" t="s">
        <v>160</v>
      </c>
      <c r="M16" s="230">
        <f>'Equipe e infraestrutura'!M56*'base de dados'!$G$30</f>
        <v>1650000</v>
      </c>
      <c r="N16" s="230">
        <f>'Equipe e infraestrutura'!M40*'base de dados'!$G$35</f>
        <v>151976000</v>
      </c>
      <c r="Q16" s="67" t="s">
        <v>160</v>
      </c>
      <c r="R16" s="230">
        <f>'Equipe e infraestrutura'!R56*'base de dados'!$G$30</f>
        <v>600000</v>
      </c>
      <c r="S16" s="230">
        <f>'Equipe e infraestrutura'!R40*'base de dados'!$G$35</f>
        <v>55264000</v>
      </c>
      <c r="V16" s="67" t="s">
        <v>160</v>
      </c>
      <c r="W16" s="230">
        <f>'Equipe e infraestrutura'!W56*'base de dados'!$G$30</f>
        <v>600000</v>
      </c>
      <c r="X16" s="230">
        <f>'Equipe e infraestrutura'!W40*'base de dados'!$G$35</f>
        <v>48984000</v>
      </c>
    </row>
    <row r="17" spans="2:24">
      <c r="B17" s="310" t="s">
        <v>178</v>
      </c>
      <c r="C17" s="230">
        <f>SUM(C5:C16)</f>
        <v>7650000</v>
      </c>
      <c r="D17" s="230">
        <f>SUM(D5:D16)</f>
        <v>1088952000</v>
      </c>
      <c r="G17" s="303" t="s">
        <v>178</v>
      </c>
      <c r="H17" s="230">
        <f>SUM(H5:H16)</f>
        <v>19950000</v>
      </c>
      <c r="I17" s="230">
        <f>SUM(I5:I16)</f>
        <v>3151304000</v>
      </c>
      <c r="L17" s="303" t="s">
        <v>178</v>
      </c>
      <c r="M17" s="230">
        <f>SUM(M5:M16)</f>
        <v>10800000</v>
      </c>
      <c r="N17" s="230">
        <f>SUM(N5:N16)</f>
        <v>942000000</v>
      </c>
      <c r="Q17" s="303" t="s">
        <v>178</v>
      </c>
      <c r="R17" s="230">
        <f>SUM(R5:R16)</f>
        <v>4650000</v>
      </c>
      <c r="S17" s="230">
        <f>SUM(S5:S16)</f>
        <v>339120000</v>
      </c>
      <c r="V17" s="303" t="s">
        <v>178</v>
      </c>
      <c r="W17" s="230">
        <f>SUM(W5:W16)</f>
        <v>4200000</v>
      </c>
      <c r="X17" s="230">
        <f>SUM(X5:X16)</f>
        <v>293904000</v>
      </c>
    </row>
  </sheetData>
  <mergeCells count="1">
    <mergeCell ref="E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A18A-B385-4022-AA6D-034801F88B03}">
  <dimension ref="B2:AD28"/>
  <sheetViews>
    <sheetView topLeftCell="A6" workbookViewId="0">
      <selection activeCell="D7" sqref="D7"/>
    </sheetView>
  </sheetViews>
  <sheetFormatPr defaultRowHeight="15"/>
  <cols>
    <col min="2" max="2" width="26.7109375" bestFit="1" customWidth="1"/>
    <col min="3" max="3" width="22.5703125" bestFit="1" customWidth="1"/>
    <col min="4" max="4" width="28" customWidth="1"/>
    <col min="5" max="5" width="23.7109375" bestFit="1" customWidth="1"/>
    <col min="6" max="6" width="22.5703125" bestFit="1" customWidth="1"/>
    <col min="7" max="7" width="7.28515625" bestFit="1" customWidth="1"/>
    <col min="8" max="8" width="22.42578125" bestFit="1" customWidth="1"/>
    <col min="9" max="11" width="18.85546875" bestFit="1" customWidth="1"/>
    <col min="12" max="12" width="22.85546875" customWidth="1"/>
    <col min="14" max="14" width="26" customWidth="1"/>
    <col min="15" max="16" width="18.85546875" bestFit="1" customWidth="1"/>
    <col min="17" max="18" width="17.140625" bestFit="1" customWidth="1"/>
    <col min="20" max="20" width="12.42578125" bestFit="1" customWidth="1"/>
    <col min="21" max="24" width="11" customWidth="1"/>
    <col min="26" max="26" width="6" bestFit="1" customWidth="1"/>
    <col min="27" max="30" width="11" customWidth="1"/>
  </cols>
  <sheetData>
    <row r="2" spans="2:30">
      <c r="B2" s="415" t="s">
        <v>193</v>
      </c>
      <c r="C2" s="416"/>
      <c r="D2" s="416"/>
      <c r="E2" s="416"/>
      <c r="F2" s="416"/>
      <c r="G2" s="1"/>
      <c r="I2" s="419" t="s">
        <v>194</v>
      </c>
      <c r="J2" s="420"/>
      <c r="K2" s="420"/>
      <c r="L2" s="421"/>
      <c r="N2" s="422" t="s">
        <v>80</v>
      </c>
      <c r="O2" s="422"/>
      <c r="P2" s="422"/>
      <c r="Z2" s="181"/>
      <c r="AA2" s="180"/>
      <c r="AB2" s="180"/>
      <c r="AC2" s="180"/>
      <c r="AD2" s="180"/>
    </row>
    <row r="3" spans="2:30" ht="57.75" customHeight="1">
      <c r="B3" s="203" t="s">
        <v>36</v>
      </c>
      <c r="C3" s="208" t="s">
        <v>98</v>
      </c>
      <c r="D3" s="208" t="s">
        <v>99</v>
      </c>
      <c r="E3" s="208" t="s">
        <v>100</v>
      </c>
      <c r="F3" s="208" t="s">
        <v>101</v>
      </c>
      <c r="I3" s="418" t="s">
        <v>195</v>
      </c>
      <c r="J3" s="418"/>
      <c r="K3" s="418"/>
      <c r="L3" s="8">
        <v>0.3</v>
      </c>
      <c r="N3" s="244" t="s">
        <v>81</v>
      </c>
      <c r="O3" s="245" t="s">
        <v>82</v>
      </c>
      <c r="P3" s="246" t="s">
        <v>83</v>
      </c>
      <c r="Z3" s="182"/>
      <c r="AA3" s="183"/>
      <c r="AB3" s="183"/>
      <c r="AC3" s="183"/>
      <c r="AD3" s="183"/>
    </row>
    <row r="4" spans="2:30" ht="16.5">
      <c r="B4" s="204" t="s">
        <v>196</v>
      </c>
      <c r="C4" s="189">
        <f>('base de dados'!$D$54*'Venda dos celulares'!L4)+'base de dados'!$D$54</f>
        <v>8831.06</v>
      </c>
      <c r="D4" s="189">
        <f>('base de dados'!$D$53*'Venda dos celulares'!L3)+'base de dados'!$D$53</f>
        <v>2981.3680000000004</v>
      </c>
      <c r="E4" s="189">
        <f>('base de dados'!$D$52*'Venda dos celulares'!L4)+'base de dados'!$D$52</f>
        <v>769.77600000000007</v>
      </c>
      <c r="F4" s="189">
        <f>('base de dados'!$D$51*'Venda dos celulares'!L3)+'base de dados'!$D$51</f>
        <v>268.19</v>
      </c>
      <c r="I4" s="417" t="s">
        <v>197</v>
      </c>
      <c r="J4" s="417"/>
      <c r="K4" s="417"/>
      <c r="L4" s="8">
        <v>0.4</v>
      </c>
      <c r="N4" s="247" t="s">
        <v>84</v>
      </c>
      <c r="O4" s="248">
        <v>510.65</v>
      </c>
      <c r="P4" s="249">
        <v>206.3</v>
      </c>
      <c r="Z4" s="182"/>
      <c r="AA4" s="183"/>
      <c r="AB4" s="183"/>
      <c r="AC4" s="183"/>
      <c r="AD4" s="183"/>
    </row>
    <row r="5" spans="2:30" ht="15.75">
      <c r="B5" s="206" t="s">
        <v>198</v>
      </c>
      <c r="C5" s="189">
        <f>'base de dados'!$D$54*'Venda dos celulares'!$L$4</f>
        <v>2523.16</v>
      </c>
      <c r="D5" s="189">
        <f>'base de dados'!$D$53*'Venda dos celulares'!$L$3</f>
        <v>688.00800000000004</v>
      </c>
      <c r="E5" s="189">
        <f>'base de dados'!$D$52*'Venda dos celulares'!$L$4</f>
        <v>219.93600000000004</v>
      </c>
      <c r="F5" s="189">
        <f>'base de dados'!$D$51*'Venda dos celulares'!$L$3</f>
        <v>61.89</v>
      </c>
      <c r="I5" s="283"/>
      <c r="J5" s="258"/>
      <c r="K5" s="258"/>
      <c r="L5" s="255"/>
      <c r="N5" s="247" t="s">
        <v>85</v>
      </c>
      <c r="O5" s="248">
        <v>1099.68</v>
      </c>
      <c r="P5" s="249">
        <v>549.84</v>
      </c>
      <c r="Z5" s="182"/>
      <c r="AA5" s="183"/>
      <c r="AB5" s="183"/>
      <c r="AC5" s="183"/>
      <c r="AD5" s="183"/>
    </row>
    <row r="6" spans="2:30" ht="15.75">
      <c r="B6" s="205" t="s">
        <v>199</v>
      </c>
      <c r="C6" s="275">
        <f>('previsão de vendas'!$C$5*'base de dados'!$D$54*'Venda dos celulares'!L4)+'previsão de vendas'!$C$5*'base de dados'!$D$54</f>
        <v>44155300</v>
      </c>
      <c r="D6" s="275">
        <f>('previsão de vendas'!$C$5*'base de dados'!$D$53*'Venda dos celulares'!$L$3)+('previsão de vendas'!$C$5*'base de dados'!$D$53)</f>
        <v>14906840</v>
      </c>
      <c r="E6" s="275">
        <f>('previsão de vendas'!$C$5*'base de dados'!$D$52*'Venda dos celulares'!$L$4)+'previsão de vendas'!$C$5*'base de dados'!$D$52</f>
        <v>3848880</v>
      </c>
      <c r="F6" s="275">
        <f>('previsão de vendas'!$C$5*'base de dados'!$D$51*'Venda dos celulares'!$L$3)+'previsão de vendas'!$C$5*'base de dados'!$D$51</f>
        <v>1340950</v>
      </c>
      <c r="H6" s="283"/>
      <c r="N6" s="247" t="s">
        <v>86</v>
      </c>
      <c r="O6" s="248">
        <v>3875.88</v>
      </c>
      <c r="P6" s="249">
        <v>2293.36</v>
      </c>
      <c r="Z6" s="182"/>
      <c r="AA6" s="183"/>
      <c r="AB6" s="183"/>
      <c r="AC6" s="183"/>
      <c r="AD6" s="183"/>
    </row>
    <row r="7" spans="2:30" ht="15.75">
      <c r="B7" s="205" t="s">
        <v>200</v>
      </c>
      <c r="C7" s="189">
        <f>('base de dados'!$C$54*C8)+'base de dados'!$C$54</f>
        <v>13323.024000000001</v>
      </c>
      <c r="D7" s="189">
        <f>('base de dados'!$C$53*D8)+'base de dados'!$C$53</f>
        <v>4651.0560000000005</v>
      </c>
      <c r="E7" s="189">
        <f>('base de dados'!$C$52*E8)+'base de dados'!$C$52</f>
        <v>1319.616</v>
      </c>
      <c r="F7" s="189">
        <f>('base de dados'!$C$51*F8)+'base de dados'!$C$51</f>
        <v>612.78</v>
      </c>
      <c r="I7" s="212"/>
      <c r="N7" s="250" t="s">
        <v>87</v>
      </c>
      <c r="O7" s="251">
        <v>11102.52</v>
      </c>
      <c r="P7" s="252">
        <v>6307.9</v>
      </c>
      <c r="Z7" s="182"/>
      <c r="AA7" s="183"/>
      <c r="AB7" s="183"/>
      <c r="AC7" s="183"/>
      <c r="AD7" s="183"/>
    </row>
    <row r="8" spans="2:30" ht="15.75">
      <c r="B8" s="205" t="s">
        <v>201</v>
      </c>
      <c r="C8" s="260">
        <v>0.2</v>
      </c>
      <c r="D8" s="261">
        <v>0.2</v>
      </c>
      <c r="E8" s="261">
        <v>0.2</v>
      </c>
      <c r="F8" s="261">
        <v>0.2</v>
      </c>
      <c r="Z8" s="182"/>
      <c r="AA8" s="183"/>
      <c r="AB8" s="183"/>
      <c r="AC8" s="183"/>
      <c r="AD8" s="183"/>
    </row>
    <row r="9" spans="2:30" ht="16.5">
      <c r="B9" s="207" t="s">
        <v>202</v>
      </c>
      <c r="C9" s="189">
        <f>C7-C4</f>
        <v>4491.9640000000018</v>
      </c>
      <c r="D9" s="189">
        <f>D7-D4</f>
        <v>1669.6880000000001</v>
      </c>
      <c r="E9" s="189">
        <f>E7-E4</f>
        <v>549.83999999999992</v>
      </c>
      <c r="F9" s="189">
        <f>F7-F4</f>
        <v>344.59</v>
      </c>
      <c r="N9" s="325"/>
      <c r="O9" s="326"/>
      <c r="P9" s="326"/>
      <c r="Z9" s="182"/>
      <c r="AA9" s="183"/>
      <c r="AB9" s="183"/>
      <c r="AC9" s="183"/>
      <c r="AD9" s="183"/>
    </row>
    <row r="10" spans="2:30" ht="15.75">
      <c r="Z10" s="182"/>
      <c r="AA10" s="183"/>
      <c r="AB10" s="183"/>
      <c r="AC10" s="183"/>
      <c r="AD10" s="183"/>
    </row>
    <row r="11" spans="2:30" ht="16.5">
      <c r="Z11" s="182"/>
      <c r="AA11" s="183"/>
      <c r="AB11" s="183"/>
      <c r="AC11" s="183"/>
      <c r="AD11" s="183"/>
    </row>
    <row r="12" spans="2:30" ht="61.5" customHeight="1">
      <c r="E12" s="402" t="s">
        <v>203</v>
      </c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4"/>
      <c r="Z12" s="182"/>
      <c r="AA12" s="183"/>
      <c r="AB12" s="183"/>
      <c r="AC12" s="183"/>
      <c r="AD12" s="183"/>
    </row>
    <row r="13" spans="2:30" ht="16.5">
      <c r="Z13" s="182"/>
      <c r="AA13" s="183"/>
      <c r="AB13" s="183"/>
      <c r="AC13" s="183"/>
      <c r="AD13" s="183"/>
    </row>
    <row r="14" spans="2:30" ht="16.5">
      <c r="Z14" s="182"/>
      <c r="AA14" s="183"/>
      <c r="AB14" s="183"/>
      <c r="AC14" s="183"/>
      <c r="AD14" s="183"/>
    </row>
    <row r="15" spans="2:30" ht="90">
      <c r="B15" s="187" t="s">
        <v>204</v>
      </c>
      <c r="C15" s="57" t="s">
        <v>98</v>
      </c>
      <c r="D15" s="57" t="s">
        <v>99</v>
      </c>
      <c r="E15" s="57" t="s">
        <v>100</v>
      </c>
      <c r="F15" s="57" t="s">
        <v>101</v>
      </c>
      <c r="H15" s="3" t="s">
        <v>146</v>
      </c>
      <c r="I15" s="57" t="s">
        <v>98</v>
      </c>
      <c r="J15" s="57" t="s">
        <v>99</v>
      </c>
      <c r="K15" s="57" t="s">
        <v>100</v>
      </c>
      <c r="L15" s="57" t="s">
        <v>101</v>
      </c>
      <c r="N15" s="188" t="s">
        <v>205</v>
      </c>
      <c r="O15" s="57" t="s">
        <v>98</v>
      </c>
      <c r="P15" s="57" t="s">
        <v>99</v>
      </c>
      <c r="Q15" s="57" t="s">
        <v>100</v>
      </c>
      <c r="R15" s="57" t="s">
        <v>101</v>
      </c>
      <c r="Z15" s="182"/>
      <c r="AA15" s="183"/>
      <c r="AB15" s="183"/>
      <c r="AC15" s="183"/>
      <c r="AD15" s="183"/>
    </row>
    <row r="16" spans="2:30" ht="16.5">
      <c r="B16" s="67" t="s">
        <v>149</v>
      </c>
      <c r="C16" s="190">
        <f>$C$6*('Lotes de celulares'!C6+'Lotes de celulares'!J6)</f>
        <v>309087100</v>
      </c>
      <c r="D16" s="190">
        <f>$D$6*('Lotes de celulares'!D6+'Lotes de celulares'!K6)</f>
        <v>178882080</v>
      </c>
      <c r="E16" s="190">
        <f>$E$6*('Lotes de celulares'!E6+'Lotes de celulares'!L6)</f>
        <v>42337680</v>
      </c>
      <c r="F16" s="190">
        <f>$F$6*('Lotes de celulares'!F6+'Lotes de celulares'!M6)</f>
        <v>5363800</v>
      </c>
      <c r="H16" s="67" t="s">
        <v>149</v>
      </c>
      <c r="I16" s="190">
        <f>$C$6*('Lotes de celulares'!Q6)</f>
        <v>44155300</v>
      </c>
      <c r="J16" s="190">
        <f>$D$6*('Lotes de celulares'!R6)</f>
        <v>44720520</v>
      </c>
      <c r="K16" s="190">
        <f>$E$6*('Lotes de celulares'!S6)</f>
        <v>15395520</v>
      </c>
      <c r="L16" s="190">
        <f>$F$6*('Lotes de celulares'!T6)</f>
        <v>6704750</v>
      </c>
      <c r="N16" s="67" t="s">
        <v>149</v>
      </c>
      <c r="O16" s="190">
        <f>$C$6*('Lotes de celulares'!X6+'Lotes de celulares'!AE6)</f>
        <v>44155300</v>
      </c>
      <c r="P16" s="190">
        <f>$D$6*('Lotes de celulares'!Y6+'Lotes de celulares'!AF6)</f>
        <v>44720520</v>
      </c>
      <c r="Q16" s="190">
        <f>$E$6*('Lotes de celulares'!Z6+'Lotes de celulares'!AG6)</f>
        <v>11546640</v>
      </c>
      <c r="R16" s="190">
        <f>$F$6*('Lotes de celulares'!AA6+'Lotes de celulares'!AH6)</f>
        <v>2681900</v>
      </c>
      <c r="Z16" s="181"/>
      <c r="AA16" s="183"/>
      <c r="AB16" s="183"/>
      <c r="AC16" s="183"/>
      <c r="AD16" s="183"/>
    </row>
    <row r="17" spans="2:18" ht="16.5">
      <c r="B17" s="67" t="s">
        <v>150</v>
      </c>
      <c r="C17" s="190">
        <f>$C$6*('Lotes de celulares'!C7+'Lotes de celulares'!J7)</f>
        <v>397397700</v>
      </c>
      <c r="D17" s="190">
        <f>$D$6*('Lotes de celulares'!D7+'Lotes de celulares'!K7)</f>
        <v>253416280</v>
      </c>
      <c r="E17" s="190">
        <f>$E$6*('Lotes de celulares'!E7+'Lotes de celulares'!L7)</f>
        <v>57733200</v>
      </c>
      <c r="F17" s="190">
        <f>$F$6*('Lotes de celulares'!F7+'Lotes de celulares'!M7)</f>
        <v>8045700</v>
      </c>
      <c r="H17" s="67" t="s">
        <v>150</v>
      </c>
      <c r="I17" s="190">
        <f>$C$6*('Lotes de celulares'!Q7)</f>
        <v>88310600</v>
      </c>
      <c r="J17" s="190">
        <f>$D$6*('Lotes de celulares'!R7)</f>
        <v>44720520</v>
      </c>
      <c r="K17" s="190">
        <f>$E$6*('Lotes de celulares'!S7)</f>
        <v>23093280</v>
      </c>
      <c r="L17" s="190">
        <f>$F$6*('Lotes de celulares'!T7)</f>
        <v>9386650</v>
      </c>
      <c r="N17" s="67" t="s">
        <v>150</v>
      </c>
      <c r="O17" s="190">
        <f>$C$6*('Lotes de celulares'!X7+'Lotes de celulares'!AE7)</f>
        <v>44155300</v>
      </c>
      <c r="P17" s="190">
        <f>$D$6*('Lotes de celulares'!Y7+'Lotes de celulares'!AF7)</f>
        <v>44720520</v>
      </c>
      <c r="Q17" s="190">
        <f>$E$6*('Lotes de celulares'!Z7+'Lotes de celulares'!AG7)</f>
        <v>15395520</v>
      </c>
      <c r="R17" s="190">
        <f>$F$6*('Lotes de celulares'!AA7+'Lotes de celulares'!AH7)</f>
        <v>4022850</v>
      </c>
    </row>
    <row r="18" spans="2:18" ht="16.5">
      <c r="B18" s="67" t="s">
        <v>151</v>
      </c>
      <c r="C18" s="190">
        <f>$C$6*('Lotes de celulares'!C8+'Lotes de celulares'!J8)</f>
        <v>44155300</v>
      </c>
      <c r="D18" s="190">
        <f>$D$6*('Lotes de celulares'!D8+'Lotes de celulares'!K8)</f>
        <v>14906840</v>
      </c>
      <c r="E18" s="190">
        <f>$E$6*('Lotes de celulares'!E8+'Lotes de celulares'!L8)</f>
        <v>3848880</v>
      </c>
      <c r="F18" s="190">
        <f>$F$6*('Lotes de celulares'!F8+'Lotes de celulares'!M8)</f>
        <v>0</v>
      </c>
      <c r="H18" s="67" t="s">
        <v>151</v>
      </c>
      <c r="I18" s="190">
        <f>$C$6*('Lotes de celulares'!Q8)</f>
        <v>0</v>
      </c>
      <c r="J18" s="190">
        <f>$D$6*('Lotes de celulares'!R8)</f>
        <v>0</v>
      </c>
      <c r="K18" s="190">
        <f>$E$6*('Lotes de celulares'!S8)</f>
        <v>3848880</v>
      </c>
      <c r="L18" s="190">
        <f>$F$6*('Lotes de celulares'!T8)</f>
        <v>1340950</v>
      </c>
      <c r="N18" s="67" t="s">
        <v>151</v>
      </c>
      <c r="O18" s="190">
        <f>$C$6*('Lotes de celulares'!X8+'Lotes de celulares'!AE8)</f>
        <v>0</v>
      </c>
      <c r="P18" s="190">
        <f>$D$6*('Lotes de celulares'!Y8+'Lotes de celulares'!AF8)</f>
        <v>0</v>
      </c>
      <c r="Q18" s="190">
        <f>$E$6*('Lotes de celulares'!Z8+'Lotes de celulares'!AG8)</f>
        <v>0</v>
      </c>
      <c r="R18" s="190">
        <f>$F$6*('Lotes de celulares'!AA8+'Lotes de celulares'!AH8)</f>
        <v>0</v>
      </c>
    </row>
    <row r="19" spans="2:18" ht="16.5">
      <c r="B19" s="67" t="s">
        <v>152</v>
      </c>
      <c r="C19" s="190">
        <f>$C$6*('Lotes de celulares'!C9+'Lotes de celulares'!J9)</f>
        <v>574018900</v>
      </c>
      <c r="D19" s="190">
        <f>$D$6*('Lotes de celulares'!D9+'Lotes de celulares'!K9)</f>
        <v>372671000</v>
      </c>
      <c r="E19" s="190">
        <f>$E$6*('Lotes de celulares'!E9+'Lotes de celulares'!L9)</f>
        <v>88524240</v>
      </c>
      <c r="F19" s="190">
        <f>$F$6*('Lotes de celulares'!F9+'Lotes de celulares'!M9)</f>
        <v>10727600</v>
      </c>
      <c r="H19" s="67" t="s">
        <v>152</v>
      </c>
      <c r="I19" s="190">
        <f>$C$6*('Lotes de celulares'!Q9)</f>
        <v>132465900</v>
      </c>
      <c r="J19" s="190">
        <f>$D$6*('Lotes de celulares'!R9)</f>
        <v>74534200</v>
      </c>
      <c r="K19" s="190">
        <f>$E$6*('Lotes de celulares'!S9)</f>
        <v>34639920</v>
      </c>
      <c r="L19" s="190">
        <f>$F$6*('Lotes de celulares'!T9)</f>
        <v>13409500</v>
      </c>
      <c r="N19" s="67" t="s">
        <v>152</v>
      </c>
      <c r="O19" s="190">
        <f>$C$6*('Lotes de celulares'!X9+'Lotes de celulares'!AE9)</f>
        <v>132465900</v>
      </c>
      <c r="P19" s="190">
        <f>$D$6*('Lotes de celulares'!Y9+'Lotes de celulares'!AF9)</f>
        <v>74534200</v>
      </c>
      <c r="Q19" s="190">
        <f>$E$6*('Lotes de celulares'!Z9+'Lotes de celulares'!AG9)</f>
        <v>23093280</v>
      </c>
      <c r="R19" s="190">
        <f>$F$6*('Lotes de celulares'!AA9+'Lotes de celulares'!AH9)</f>
        <v>5363800</v>
      </c>
    </row>
    <row r="20" spans="2:18" ht="16.5">
      <c r="B20" s="67" t="s">
        <v>153</v>
      </c>
      <c r="C20" s="190">
        <f>$C$6*('Lotes de celulares'!C10+'Lotes de celulares'!J10)</f>
        <v>309087100</v>
      </c>
      <c r="D20" s="190">
        <f>$D$6*('Lotes de celulares'!D10+'Lotes de celulares'!K10)</f>
        <v>178882080</v>
      </c>
      <c r="E20" s="190">
        <f>$E$6*('Lotes de celulares'!E10+'Lotes de celulares'!L10)</f>
        <v>42337680</v>
      </c>
      <c r="F20" s="190">
        <f>$F$6*('Lotes de celulares'!F10+'Lotes de celulares'!M10)</f>
        <v>5363800</v>
      </c>
      <c r="H20" s="67" t="s">
        <v>153</v>
      </c>
      <c r="I20" s="190">
        <f>$C$6*('Lotes de celulares'!Q10)</f>
        <v>44155300</v>
      </c>
      <c r="J20" s="190">
        <f>$D$6*('Lotes de celulares'!R10)</f>
        <v>29813680</v>
      </c>
      <c r="K20" s="190">
        <f>$E$6*('Lotes de celulares'!S10)</f>
        <v>15395520</v>
      </c>
      <c r="L20" s="190">
        <f>$F$6*('Lotes de celulares'!T10)</f>
        <v>6704750</v>
      </c>
      <c r="N20" s="67" t="s">
        <v>153</v>
      </c>
      <c r="O20" s="190">
        <f>$C$6*('Lotes de celulares'!X10+'Lotes de celulares'!AE10)</f>
        <v>44155300</v>
      </c>
      <c r="P20" s="190">
        <f>$D$6*('Lotes de celulares'!Y10+'Lotes de celulares'!AF10)</f>
        <v>44720520</v>
      </c>
      <c r="Q20" s="190">
        <f>$E$6*('Lotes de celulares'!Z10+'Lotes de celulares'!AG10)</f>
        <v>11546640</v>
      </c>
      <c r="R20" s="190">
        <f>$F$6*('Lotes de celulares'!AA10+'Lotes de celulares'!AH10)</f>
        <v>2681900</v>
      </c>
    </row>
    <row r="21" spans="2:18" ht="16.5">
      <c r="B21" s="67" t="s">
        <v>154</v>
      </c>
      <c r="C21" s="190">
        <f>$C$6*('Lotes de celulares'!C11+'Lotes de celulares'!J11)</f>
        <v>485708300</v>
      </c>
      <c r="D21" s="190">
        <f>$D$6*('Lotes de celulares'!D11+'Lotes de celulares'!K11)</f>
        <v>298136800</v>
      </c>
      <c r="E21" s="190">
        <f>$E$6*('Lotes de celulares'!E11+'Lotes de celulares'!L11)</f>
        <v>69279840</v>
      </c>
      <c r="F21" s="190">
        <f>$F$6*('Lotes de celulares'!F11+'Lotes de celulares'!M11)</f>
        <v>9386650</v>
      </c>
      <c r="H21" s="67" t="s">
        <v>154</v>
      </c>
      <c r="I21" s="190">
        <f>$C$6*('Lotes de celulares'!Q11)</f>
        <v>88310600</v>
      </c>
      <c r="J21" s="190">
        <f>$D$6*('Lotes de celulares'!R11)</f>
        <v>59627360</v>
      </c>
      <c r="K21" s="190">
        <f>$E$6*('Lotes de celulares'!S11)</f>
        <v>26942160</v>
      </c>
      <c r="L21" s="190">
        <f>$F$6*('Lotes de celulares'!T11)</f>
        <v>10727600</v>
      </c>
      <c r="N21" s="67" t="s">
        <v>154</v>
      </c>
      <c r="O21" s="190">
        <f>$C$6*('Lotes de celulares'!X11+'Lotes de celulares'!AE11)</f>
        <v>88310600</v>
      </c>
      <c r="P21" s="190">
        <f>$D$6*('Lotes de celulares'!Y11+'Lotes de celulares'!AF11)</f>
        <v>59627360</v>
      </c>
      <c r="Q21" s="190">
        <f>$E$6*('Lotes de celulares'!Z11+'Lotes de celulares'!AG11)</f>
        <v>19244400</v>
      </c>
      <c r="R21" s="190">
        <f>$F$6*('Lotes de celulares'!AA11+'Lotes de celulares'!AH11)</f>
        <v>4022850</v>
      </c>
    </row>
    <row r="22" spans="2:18" ht="16.5">
      <c r="B22" s="67" t="s">
        <v>155</v>
      </c>
      <c r="C22" s="190">
        <f>$C$6*('Lotes de celulares'!C12+'Lotes de celulares'!J12)</f>
        <v>574018900</v>
      </c>
      <c r="D22" s="190">
        <f>$D$6*('Lotes de celulares'!D12+'Lotes de celulares'!K12)</f>
        <v>372671000</v>
      </c>
      <c r="E22" s="190">
        <f>$E$6*('Lotes de celulares'!E12+'Lotes de celulares'!L12)</f>
        <v>88524240</v>
      </c>
      <c r="F22" s="190">
        <f>$F$6*('Lotes de celulares'!F12+'Lotes de celulares'!M12)</f>
        <v>10727600</v>
      </c>
      <c r="H22" s="67" t="s">
        <v>155</v>
      </c>
      <c r="I22" s="190">
        <f>$C$6*('Lotes de celulares'!Q12)</f>
        <v>132465900</v>
      </c>
      <c r="J22" s="190">
        <f>$D$6*('Lotes de celulares'!R12)</f>
        <v>74534200</v>
      </c>
      <c r="K22" s="190">
        <f>$E$6*('Lotes de celulares'!S12)</f>
        <v>34639920</v>
      </c>
      <c r="L22" s="190">
        <f>$F$6*('Lotes de celulares'!T12)</f>
        <v>13409500</v>
      </c>
      <c r="N22" s="67" t="s">
        <v>155</v>
      </c>
      <c r="O22" s="190">
        <f>$C$6*('Lotes de celulares'!X12+'Lotes de celulares'!AE12)</f>
        <v>132465900</v>
      </c>
      <c r="P22" s="190">
        <f>$D$6*('Lotes de celulares'!Y12+'Lotes de celulares'!AF12)</f>
        <v>74534200</v>
      </c>
      <c r="Q22" s="190">
        <f>$E$6*('Lotes de celulares'!Z12+'Lotes de celulares'!AG12)</f>
        <v>23093280</v>
      </c>
      <c r="R22" s="190">
        <f>$F$6*('Lotes de celulares'!AA12+'Lotes de celulares'!AH12)</f>
        <v>5363800</v>
      </c>
    </row>
    <row r="23" spans="2:18" ht="16.5">
      <c r="B23" s="67" t="s">
        <v>156</v>
      </c>
      <c r="C23" s="190">
        <f>$C$6*('Lotes de celulares'!C13+'Lotes de celulares'!J13)</f>
        <v>397397700</v>
      </c>
      <c r="D23" s="190">
        <f>$D$6*('Lotes de celulares'!D13+'Lotes de celulares'!K13)</f>
        <v>268323120</v>
      </c>
      <c r="E23" s="190">
        <f>$E$6*('Lotes de celulares'!E13+'Lotes de celulares'!L13)</f>
        <v>61582080</v>
      </c>
      <c r="F23" s="190">
        <f>$F$6*('Lotes de celulares'!F13+'Lotes de celulares'!M13)</f>
        <v>9386650</v>
      </c>
      <c r="H23" s="67" t="s">
        <v>156</v>
      </c>
      <c r="I23" s="190">
        <f>$C$6*('Lotes de celulares'!Q13)</f>
        <v>88310600</v>
      </c>
      <c r="J23" s="190">
        <f>$D$6*('Lotes de celulares'!R13)</f>
        <v>59627360</v>
      </c>
      <c r="K23" s="190">
        <f>$E$6*('Lotes de celulares'!S13)</f>
        <v>23093280</v>
      </c>
      <c r="L23" s="190">
        <f>$F$6*('Lotes de celulares'!T13)</f>
        <v>9386650</v>
      </c>
      <c r="N23" s="67" t="s">
        <v>156</v>
      </c>
      <c r="O23" s="190">
        <f>$C$6*('Lotes de celulares'!X13+'Lotes de celulares'!AE13)</f>
        <v>88310600</v>
      </c>
      <c r="P23" s="190">
        <f>$D$6*('Lotes de celulares'!Y13+'Lotes de celulares'!AF13)</f>
        <v>44720520</v>
      </c>
      <c r="Q23" s="190">
        <f>$E$6*('Lotes de celulares'!Z13+'Lotes de celulares'!AG13)</f>
        <v>15395520</v>
      </c>
      <c r="R23" s="190">
        <f>$F$6*('Lotes de celulares'!AA13+'Lotes de celulares'!AH13)</f>
        <v>4022850</v>
      </c>
    </row>
    <row r="24" spans="2:18" ht="16.5">
      <c r="B24" s="68" t="s">
        <v>157</v>
      </c>
      <c r="C24" s="190">
        <f>$C$6*('Lotes de celulares'!C14+'Lotes de celulares'!J14)</f>
        <v>132465900</v>
      </c>
      <c r="D24" s="190">
        <f>$D$6*('Lotes de celulares'!D14+'Lotes de celulares'!K14)</f>
        <v>74534200</v>
      </c>
      <c r="E24" s="190">
        <f>$E$6*('Lotes de celulares'!E14+'Lotes de celulares'!L14)</f>
        <v>19244400</v>
      </c>
      <c r="F24" s="190">
        <f>$F$6*('Lotes de celulares'!F14+'Lotes de celulares'!M14)</f>
        <v>2681900</v>
      </c>
      <c r="H24" s="68" t="s">
        <v>157</v>
      </c>
      <c r="I24" s="190">
        <f>$C$6*('Lotes de celulares'!Q14)</f>
        <v>44155300</v>
      </c>
      <c r="J24" s="190">
        <f>$D$6*('Lotes de celulares'!R14)</f>
        <v>14906840</v>
      </c>
      <c r="K24" s="190">
        <f>$E$6*('Lotes de celulares'!S14)</f>
        <v>7697760</v>
      </c>
      <c r="L24" s="190">
        <f>$F$6*('Lotes de celulares'!T14)</f>
        <v>2681900</v>
      </c>
      <c r="N24" s="68" t="s">
        <v>157</v>
      </c>
      <c r="O24" s="190">
        <f>$C$6*('Lotes de celulares'!X14+'Lotes de celulares'!AE14)</f>
        <v>0</v>
      </c>
      <c r="P24" s="190">
        <f>$D$6*('Lotes de celulares'!Y14+'Lotes de celulares'!AF14)</f>
        <v>14906840</v>
      </c>
      <c r="Q24" s="190">
        <f>$E$6*('Lotes de celulares'!Z14+'Lotes de celulares'!AG14)</f>
        <v>7697760</v>
      </c>
      <c r="R24" s="190">
        <f>$F$6*('Lotes de celulares'!AA14+'Lotes de celulares'!AH14)</f>
        <v>1340950</v>
      </c>
    </row>
    <row r="25" spans="2:18" ht="16.5">
      <c r="B25" s="67" t="s">
        <v>158</v>
      </c>
      <c r="C25" s="190">
        <f>$C$6*('Lotes de celulares'!C15+'Lotes de celulares'!J15)</f>
        <v>662329500</v>
      </c>
      <c r="D25" s="190">
        <f>$D$6*('Lotes de celulares'!D15+'Lotes de celulares'!K15)</f>
        <v>432298360</v>
      </c>
      <c r="E25" s="190">
        <f>$E$6*('Lotes de celulares'!E15+'Lotes de celulares'!L15)</f>
        <v>100070880</v>
      </c>
      <c r="F25" s="190">
        <f>$F$6*('Lotes de celulares'!F15+'Lotes de celulares'!M15)</f>
        <v>13409500</v>
      </c>
      <c r="H25" s="67" t="s">
        <v>158</v>
      </c>
      <c r="I25" s="190">
        <f>$C$6*('Lotes de celulares'!Q15)</f>
        <v>132465900</v>
      </c>
      <c r="J25" s="190">
        <f>$D$6*('Lotes de celulares'!R15)</f>
        <v>89441040</v>
      </c>
      <c r="K25" s="190">
        <f>$E$6*('Lotes de celulares'!S15)</f>
        <v>38488800</v>
      </c>
      <c r="L25" s="190">
        <f>$F$6*('Lotes de celulares'!T15)</f>
        <v>14750450</v>
      </c>
      <c r="N25" s="67" t="s">
        <v>158</v>
      </c>
      <c r="O25" s="190">
        <f>$C$6*('Lotes de celulares'!X15+'Lotes de celulares'!AE15)</f>
        <v>132465900</v>
      </c>
      <c r="P25" s="190">
        <f>$D$6*('Lotes de celulares'!Y15+'Lotes de celulares'!AF15)</f>
        <v>89441040</v>
      </c>
      <c r="Q25" s="190">
        <f>$E$6*('Lotes de celulares'!Z15+'Lotes de celulares'!AG15)</f>
        <v>26942160</v>
      </c>
      <c r="R25" s="190">
        <f>$F$6*('Lotes de celulares'!AA15+'Lotes de celulares'!AH15)</f>
        <v>6704750</v>
      </c>
    </row>
    <row r="26" spans="2:18" ht="16.5">
      <c r="B26" s="67" t="s">
        <v>159</v>
      </c>
      <c r="C26" s="190">
        <f>$C$6*('Lotes de celulares'!C16+'Lotes de celulares'!J16)</f>
        <v>176621200</v>
      </c>
      <c r="D26" s="190">
        <f>$D$6*('Lotes de celulares'!D16+'Lotes de celulares'!K16)</f>
        <v>104347880</v>
      </c>
      <c r="E26" s="190">
        <f>$E$6*('Lotes de celulares'!E16+'Lotes de celulares'!L16)</f>
        <v>26942160</v>
      </c>
      <c r="F26" s="190">
        <f>$F$6*('Lotes de celulares'!F16+'Lotes de celulares'!M16)</f>
        <v>4022850</v>
      </c>
      <c r="H26" s="67" t="s">
        <v>159</v>
      </c>
      <c r="I26" s="190">
        <f>$C$6*('Lotes de celulares'!Q16)</f>
        <v>44155300</v>
      </c>
      <c r="J26" s="190">
        <f>$D$6*('Lotes de celulares'!R16)</f>
        <v>14906840</v>
      </c>
      <c r="K26" s="190">
        <f>$E$6*('Lotes de celulares'!S16)</f>
        <v>11546640</v>
      </c>
      <c r="L26" s="190">
        <f>$F$6*('Lotes de celulares'!T16)</f>
        <v>4022850</v>
      </c>
      <c r="N26" s="67" t="s">
        <v>159</v>
      </c>
      <c r="O26" s="190">
        <f>$C$6*('Lotes de celulares'!X16+'Lotes de celulares'!AE16)</f>
        <v>44155300</v>
      </c>
      <c r="P26" s="190">
        <f>$D$6*('Lotes de celulares'!Y16+'Lotes de celulares'!AF16)</f>
        <v>14906840</v>
      </c>
      <c r="Q26" s="190">
        <f>$E$6*('Lotes de celulares'!Z16+'Lotes de celulares'!AG16)</f>
        <v>7697760</v>
      </c>
      <c r="R26" s="190">
        <f>$F$6*('Lotes de celulares'!AA16+'Lotes de celulares'!AH16)</f>
        <v>1340950</v>
      </c>
    </row>
    <row r="27" spans="2:18" ht="16.5">
      <c r="B27" s="67" t="s">
        <v>160</v>
      </c>
      <c r="C27" s="190">
        <f>$C$6*('Lotes de celulares'!C17+'Lotes de celulares'!J17)</f>
        <v>750640100</v>
      </c>
      <c r="D27" s="190">
        <f>$D$6*('Lotes de celulares'!D17+'Lotes de celulares'!K17)</f>
        <v>491925720</v>
      </c>
      <c r="E27" s="190">
        <f>$E$6*('Lotes de celulares'!E17+'Lotes de celulares'!L17)</f>
        <v>115466400</v>
      </c>
      <c r="F27" s="190">
        <f>$F$6*('Lotes de celulares'!F17+'Lotes de celulares'!M17)</f>
        <v>14750450</v>
      </c>
      <c r="H27" s="67" t="s">
        <v>160</v>
      </c>
      <c r="I27" s="190">
        <f>$C$6*('Lotes de celulares'!Q17)</f>
        <v>132465900</v>
      </c>
      <c r="J27" s="190">
        <f>$D$6*('Lotes de celulares'!R17)</f>
        <v>104347880</v>
      </c>
      <c r="K27" s="190">
        <f>$E$6*('Lotes de celulares'!S17)</f>
        <v>46186560</v>
      </c>
      <c r="L27" s="190">
        <f>$F$6*('Lotes de celulares'!T17)</f>
        <v>17432350</v>
      </c>
      <c r="N27" s="67" t="s">
        <v>160</v>
      </c>
      <c r="O27" s="190">
        <f>$C$6*('Lotes de celulares'!X17+'Lotes de celulares'!AE17)</f>
        <v>132465900</v>
      </c>
      <c r="P27" s="190">
        <f>$D$6*('Lotes de celulares'!Y17+'Lotes de celulares'!AF17)</f>
        <v>89441040</v>
      </c>
      <c r="Q27" s="190">
        <f>$E$6*('Lotes de celulares'!Z17+'Lotes de celulares'!AG17)</f>
        <v>30791040</v>
      </c>
      <c r="R27" s="190">
        <f>$F$6*('Lotes de celulares'!AA17+'Lotes de celulares'!AH17)</f>
        <v>8045700</v>
      </c>
    </row>
    <row r="28" spans="2:18" s="212" customFormat="1">
      <c r="B28" s="311" t="s">
        <v>178</v>
      </c>
      <c r="C28" s="190">
        <f>SUM(C16:C27)</f>
        <v>4812927700</v>
      </c>
      <c r="D28" s="190">
        <f t="shared" ref="D28:F28" si="0">SUM(D16:D27)</f>
        <v>3040995360</v>
      </c>
      <c r="E28" s="190">
        <f t="shared" si="0"/>
        <v>715891680</v>
      </c>
      <c r="F28" s="190">
        <f t="shared" si="0"/>
        <v>93866500</v>
      </c>
      <c r="H28" s="311" t="s">
        <v>178</v>
      </c>
      <c r="I28" s="190">
        <f>SUM(I16:I27)</f>
        <v>971416600</v>
      </c>
      <c r="J28" s="190">
        <f t="shared" ref="J28:L28" si="1">SUM(J16:J27)</f>
        <v>611180440</v>
      </c>
      <c r="K28" s="190">
        <f t="shared" si="1"/>
        <v>280968240</v>
      </c>
      <c r="L28" s="190">
        <f t="shared" si="1"/>
        <v>109957900</v>
      </c>
      <c r="N28" s="311" t="s">
        <v>178</v>
      </c>
      <c r="O28" s="190">
        <f>SUM(O16:O27)</f>
        <v>883106000</v>
      </c>
      <c r="P28" s="190">
        <f t="shared" ref="P28:R28" si="2">SUM(P16:P27)</f>
        <v>596273600</v>
      </c>
      <c r="Q28" s="190">
        <f t="shared" si="2"/>
        <v>192444000</v>
      </c>
      <c r="R28" s="190">
        <f t="shared" si="2"/>
        <v>45592300</v>
      </c>
    </row>
  </sheetData>
  <protectedRanges>
    <protectedRange sqref="B2:F9" name="Range1"/>
  </protectedRanges>
  <mergeCells count="6">
    <mergeCell ref="E12:P12"/>
    <mergeCell ref="B2:F2"/>
    <mergeCell ref="I4:K4"/>
    <mergeCell ref="I3:K3"/>
    <mergeCell ref="I2:L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D4A5-3DC1-4265-A1D0-7E684C72592F}">
  <dimension ref="B2:AD28"/>
  <sheetViews>
    <sheetView workbookViewId="0">
      <selection activeCell="E7" sqref="E7"/>
    </sheetView>
  </sheetViews>
  <sheetFormatPr defaultRowHeight="15"/>
  <cols>
    <col min="2" max="2" width="26.7109375" bestFit="1" customWidth="1"/>
    <col min="3" max="3" width="22.5703125" bestFit="1" customWidth="1"/>
    <col min="4" max="4" width="26.7109375" bestFit="1" customWidth="1"/>
    <col min="5" max="5" width="23.7109375" bestFit="1" customWidth="1"/>
    <col min="6" max="6" width="22.5703125" bestFit="1" customWidth="1"/>
    <col min="7" max="7" width="5.28515625" bestFit="1" customWidth="1"/>
    <col min="8" max="8" width="11" bestFit="1" customWidth="1"/>
    <col min="9" max="11" width="18.85546875" bestFit="1" customWidth="1"/>
    <col min="12" max="12" width="17.140625" bestFit="1" customWidth="1"/>
    <col min="14" max="14" width="11.42578125" customWidth="1"/>
    <col min="15" max="17" width="18.85546875" bestFit="1" customWidth="1"/>
    <col min="18" max="18" width="17.140625" bestFit="1" customWidth="1"/>
    <col min="20" max="20" width="12.42578125" bestFit="1" customWidth="1"/>
    <col min="21" max="24" width="11" customWidth="1"/>
    <col min="26" max="26" width="6" bestFit="1" customWidth="1"/>
    <col min="27" max="30" width="11" customWidth="1"/>
  </cols>
  <sheetData>
    <row r="2" spans="2:30">
      <c r="B2" s="423" t="s">
        <v>193</v>
      </c>
      <c r="C2" s="423"/>
      <c r="D2" s="423"/>
      <c r="E2" s="423"/>
      <c r="F2" s="423"/>
      <c r="G2" s="1"/>
      <c r="I2" s="419" t="s">
        <v>194</v>
      </c>
      <c r="J2" s="420"/>
      <c r="K2" s="420"/>
      <c r="L2" s="421"/>
      <c r="Z2" s="181"/>
      <c r="AA2" s="180"/>
      <c r="AB2" s="180"/>
      <c r="AC2" s="180"/>
      <c r="AD2" s="180"/>
    </row>
    <row r="3" spans="2:30" ht="57.75" customHeight="1">
      <c r="B3" s="259" t="str">
        <f>'Compra dos telefones'!B3</f>
        <v>MODELO CELULAR</v>
      </c>
      <c r="C3" s="259" t="str">
        <f>'Compra dos telefones'!C3</f>
        <v>IPHONE 16 PRO MAX</v>
      </c>
      <c r="D3" s="259" t="str">
        <f>'Compra dos telefones'!D3</f>
        <v>SAMSUNG GALAXY S25 ULTRA</v>
      </c>
      <c r="E3" s="259" t="str">
        <f>'Compra dos telefones'!E3</f>
        <v xml:space="preserve">Motorola Edge 50 </v>
      </c>
      <c r="F3" s="259" t="str">
        <f>'Compra dos telefones'!F3</f>
        <v>Motorola Moto G54</v>
      </c>
      <c r="I3" s="418" t="s">
        <v>195</v>
      </c>
      <c r="J3" s="418"/>
      <c r="K3" s="418"/>
      <c r="L3" s="8">
        <v>0.3</v>
      </c>
      <c r="O3" s="283"/>
      <c r="Z3" s="182"/>
      <c r="AA3" s="183"/>
      <c r="AB3" s="183"/>
      <c r="AC3" s="183"/>
      <c r="AD3" s="183"/>
    </row>
    <row r="4" spans="2:30" ht="16.5">
      <c r="B4" s="259" t="str">
        <f>'Compra dos telefones'!B4</f>
        <v>preço de compra (UN)</v>
      </c>
      <c r="C4" s="281">
        <f>'Compra dos telefones'!C4</f>
        <v>8831.06</v>
      </c>
      <c r="D4" s="281">
        <f>'Compra dos telefones'!D4</f>
        <v>2981.3680000000004</v>
      </c>
      <c r="E4" s="281">
        <f>'Compra dos telefones'!E4</f>
        <v>769.77600000000007</v>
      </c>
      <c r="F4" s="281">
        <f>'Compra dos telefones'!F4</f>
        <v>268.19</v>
      </c>
      <c r="I4" s="417" t="s">
        <v>197</v>
      </c>
      <c r="J4" s="417"/>
      <c r="K4" s="417"/>
      <c r="L4" s="8">
        <v>0.4</v>
      </c>
      <c r="Z4" s="182"/>
      <c r="AA4" s="183"/>
      <c r="AB4" s="183"/>
      <c r="AC4" s="183"/>
      <c r="AD4" s="183"/>
    </row>
    <row r="5" spans="2:30" ht="16.5">
      <c r="B5" s="259" t="str">
        <f>'Compra dos telefones'!B6</f>
        <v>Preço de compra (Lote)</v>
      </c>
      <c r="C5" s="281">
        <f>'Compra dos telefones'!C6</f>
        <v>44155300</v>
      </c>
      <c r="D5" s="281">
        <f>'Compra dos telefones'!D6</f>
        <v>14906840</v>
      </c>
      <c r="E5" s="281">
        <f>'Compra dos telefones'!E6</f>
        <v>3848880</v>
      </c>
      <c r="F5" s="281">
        <f>'Compra dos telefones'!F6</f>
        <v>1340950</v>
      </c>
      <c r="Z5" s="182"/>
      <c r="AA5" s="183"/>
      <c r="AB5" s="183"/>
      <c r="AC5" s="183"/>
      <c r="AD5" s="183"/>
    </row>
    <row r="6" spans="2:30" ht="16.5">
      <c r="B6" s="259" t="str">
        <f>'Compra dos telefones'!B5</f>
        <v>imposto (UN)</v>
      </c>
      <c r="C6" s="281">
        <f>'Compra dos telefones'!C5</f>
        <v>2523.16</v>
      </c>
      <c r="D6" s="281">
        <f>'Compra dos telefones'!D5</f>
        <v>688.00800000000004</v>
      </c>
      <c r="E6" s="281">
        <f>'Compra dos telefones'!E5</f>
        <v>219.93600000000004</v>
      </c>
      <c r="F6" s="281">
        <f>'Compra dos telefones'!F5</f>
        <v>61.89</v>
      </c>
      <c r="Z6" s="182"/>
      <c r="AA6" s="183"/>
      <c r="AB6" s="183"/>
      <c r="AC6" s="183"/>
      <c r="AD6" s="183"/>
    </row>
    <row r="7" spans="2:30" ht="16.5">
      <c r="B7" s="259" t="str">
        <f>'Compra dos telefones'!B7</f>
        <v>preço de venda</v>
      </c>
      <c r="C7" s="281">
        <f>'Compra dos telefones'!C7</f>
        <v>13323.024000000001</v>
      </c>
      <c r="D7" s="281">
        <f>'Compra dos telefones'!D7</f>
        <v>4651.0560000000005</v>
      </c>
      <c r="E7" s="281">
        <f>'Compra dos telefones'!E7</f>
        <v>1319.616</v>
      </c>
      <c r="F7" s="281">
        <f>'Compra dos telefones'!F7</f>
        <v>612.78</v>
      </c>
      <c r="I7" s="426" t="s">
        <v>201</v>
      </c>
      <c r="J7" s="427"/>
      <c r="K7" s="427"/>
      <c r="L7" s="428"/>
      <c r="Z7" s="182"/>
      <c r="AA7" s="183"/>
      <c r="AB7" s="183"/>
      <c r="AC7" s="183"/>
      <c r="AD7" s="183"/>
    </row>
    <row r="8" spans="2:30" ht="16.5">
      <c r="B8" s="259" t="str">
        <f>'Compra dos telefones'!B8</f>
        <v>Porcentagem de venda</v>
      </c>
      <c r="C8" s="282">
        <f>'Compra dos telefones'!C8</f>
        <v>0.2</v>
      </c>
      <c r="D8" s="282">
        <f>'Compra dos telefones'!D8</f>
        <v>0.2</v>
      </c>
      <c r="E8" s="282">
        <f>'Compra dos telefones'!E8</f>
        <v>0.2</v>
      </c>
      <c r="F8" s="282">
        <f>'Compra dos telefones'!F8</f>
        <v>0.2</v>
      </c>
      <c r="I8" s="424" t="s">
        <v>63</v>
      </c>
      <c r="J8" s="424"/>
      <c r="K8" s="424"/>
      <c r="L8" s="424"/>
      <c r="Z8" s="182"/>
      <c r="AA8" s="183"/>
      <c r="AB8" s="183"/>
      <c r="AC8" s="183"/>
      <c r="AD8" s="183"/>
    </row>
    <row r="9" spans="2:30" ht="16.5">
      <c r="B9" s="259" t="str">
        <f>'Compra dos telefones'!B9</f>
        <v>Lucro</v>
      </c>
      <c r="C9" s="281">
        <f>'Compra dos telefones'!C9</f>
        <v>4491.9640000000018</v>
      </c>
      <c r="D9" s="281">
        <f>'Compra dos telefones'!D9</f>
        <v>1669.6880000000001</v>
      </c>
      <c r="E9" s="281">
        <f>'Compra dos telefones'!E9</f>
        <v>549.83999999999992</v>
      </c>
      <c r="F9" s="281">
        <f>'Compra dos telefones'!F9</f>
        <v>344.59</v>
      </c>
      <c r="I9" s="425" t="s">
        <v>68</v>
      </c>
      <c r="J9" s="425"/>
      <c r="K9" s="425"/>
      <c r="L9" s="425"/>
      <c r="Z9" s="182"/>
      <c r="AA9" s="183"/>
      <c r="AB9" s="183"/>
      <c r="AC9" s="183"/>
      <c r="AD9" s="183"/>
    </row>
    <row r="10" spans="2:30" ht="16.5">
      <c r="Z10" s="182"/>
      <c r="AA10" s="183"/>
      <c r="AB10" s="183"/>
      <c r="AC10" s="183"/>
      <c r="AD10" s="183"/>
    </row>
    <row r="11" spans="2:30" ht="16.5">
      <c r="Z11" s="182"/>
      <c r="AA11" s="183"/>
      <c r="AB11" s="183"/>
      <c r="AC11" s="183"/>
      <c r="AD11" s="183"/>
    </row>
    <row r="12" spans="2:30" ht="61.5" customHeight="1">
      <c r="E12" s="402" t="s">
        <v>206</v>
      </c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4"/>
      <c r="Z12" s="182"/>
      <c r="AA12" s="183"/>
      <c r="AB12" s="183"/>
      <c r="AC12" s="183"/>
      <c r="AD12" s="183"/>
    </row>
    <row r="13" spans="2:30" ht="16.5">
      <c r="Z13" s="182"/>
      <c r="AA13" s="183"/>
      <c r="AB13" s="183"/>
      <c r="AC13" s="183"/>
      <c r="AD13" s="183"/>
    </row>
    <row r="14" spans="2:30" ht="16.5">
      <c r="Z14" s="182"/>
      <c r="AA14" s="183"/>
      <c r="AB14" s="183"/>
      <c r="AC14" s="183"/>
      <c r="AD14" s="183"/>
    </row>
    <row r="15" spans="2:30" ht="90">
      <c r="B15" s="187" t="s">
        <v>204</v>
      </c>
      <c r="C15" s="57" t="s">
        <v>98</v>
      </c>
      <c r="D15" s="57" t="s">
        <v>99</v>
      </c>
      <c r="E15" s="57" t="s">
        <v>100</v>
      </c>
      <c r="F15" s="57" t="s">
        <v>101</v>
      </c>
      <c r="H15" s="3" t="s">
        <v>146</v>
      </c>
      <c r="I15" s="57" t="s">
        <v>98</v>
      </c>
      <c r="J15" s="57" t="s">
        <v>99</v>
      </c>
      <c r="K15" s="57" t="s">
        <v>100</v>
      </c>
      <c r="L15" s="57" t="s">
        <v>101</v>
      </c>
      <c r="N15" s="188" t="s">
        <v>205</v>
      </c>
      <c r="O15" s="57" t="s">
        <v>98</v>
      </c>
      <c r="P15" s="57" t="s">
        <v>99</v>
      </c>
      <c r="Q15" s="57" t="s">
        <v>100</v>
      </c>
      <c r="R15" s="57" t="s">
        <v>101</v>
      </c>
      <c r="Z15" s="182"/>
      <c r="AA15" s="183"/>
      <c r="AB15" s="183"/>
      <c r="AC15" s="183"/>
      <c r="AD15" s="183"/>
    </row>
    <row r="16" spans="2:30" ht="16.5">
      <c r="B16" s="67" t="s">
        <v>149</v>
      </c>
      <c r="C16" s="190">
        <f>('previsão de vendas'!C10+'previsão de vendas'!J10)*$C$7</f>
        <v>466305840.00000006</v>
      </c>
      <c r="D16" s="190">
        <f>('previsão de vendas'!D10+'previsão de vendas'!K10)*$D$7</f>
        <v>279063360</v>
      </c>
      <c r="E16" s="190">
        <f>('previsão de vendas'!E10+'previsão de vendas'!L10)*$E$7</f>
        <v>72578880</v>
      </c>
      <c r="F16" s="190">
        <f>('previsão de vendas'!F10+'previsão de vendas'!M10)*$F$7</f>
        <v>12255600</v>
      </c>
      <c r="H16" s="67" t="s">
        <v>149</v>
      </c>
      <c r="I16" s="190">
        <f>('previsão de vendas'!Q10)*$C$7</f>
        <v>66615120.000000007</v>
      </c>
      <c r="J16" s="190">
        <f>('previsão de vendas'!R10)*$D$7</f>
        <v>69765840</v>
      </c>
      <c r="K16" s="190">
        <f>('previsão de vendas'!S10)*$E$7</f>
        <v>26392320</v>
      </c>
      <c r="L16" s="190">
        <f>('previsão de vendas'!T10)*$F$7</f>
        <v>15319500</v>
      </c>
      <c r="N16" s="67" t="s">
        <v>149</v>
      </c>
      <c r="O16" s="190">
        <f>('previsão de vendas'!X10+'previsão de vendas'!AE10)*$C$7</f>
        <v>66615120.000000007</v>
      </c>
      <c r="P16" s="190">
        <f>('previsão de vendas'!Y10+'previsão de vendas'!AF10)*$D$7</f>
        <v>69765840</v>
      </c>
      <c r="Q16" s="190">
        <f>('previsão de vendas'!Z10+'previsão de vendas'!AG10)*$E$7</f>
        <v>19794240</v>
      </c>
      <c r="R16" s="190">
        <f>('previsão de vendas'!AA10+'previsão de vendas'!AH10)*$F$7</f>
        <v>6127800</v>
      </c>
      <c r="Z16" s="181"/>
      <c r="AA16" s="183"/>
      <c r="AB16" s="183"/>
      <c r="AC16" s="183"/>
      <c r="AD16" s="183"/>
    </row>
    <row r="17" spans="2:18" ht="16.5">
      <c r="B17" s="67" t="s">
        <v>150</v>
      </c>
      <c r="C17" s="190">
        <f>('previsão de vendas'!C11+'previsão de vendas'!J11)*$C$7</f>
        <v>599536080</v>
      </c>
      <c r="D17" s="190">
        <f>('previsão de vendas'!D11+'previsão de vendas'!K11)*$D$7</f>
        <v>395339760.00000006</v>
      </c>
      <c r="E17" s="190">
        <f>('previsão de vendas'!E11+'previsão de vendas'!L11)*$E$7</f>
        <v>98971200</v>
      </c>
      <c r="F17" s="190">
        <f>('previsão de vendas'!F11+'previsão de vendas'!M11)*$F$7</f>
        <v>18383400</v>
      </c>
      <c r="H17" s="67" t="s">
        <v>150</v>
      </c>
      <c r="I17" s="190">
        <f>('previsão de vendas'!Q11)*$C$7</f>
        <v>133230240.00000001</v>
      </c>
      <c r="J17" s="190">
        <f>('previsão de vendas'!R11)*$D$7</f>
        <v>69765840</v>
      </c>
      <c r="K17" s="190">
        <f>('previsão de vendas'!S11)*$E$7</f>
        <v>39588480</v>
      </c>
      <c r="L17" s="190">
        <f>('previsão de vendas'!T11)*$F$7</f>
        <v>21447300</v>
      </c>
      <c r="N17" s="67" t="s">
        <v>150</v>
      </c>
      <c r="O17" s="190">
        <f>('previsão de vendas'!X11+'previsão de vendas'!AE11)*$C$7</f>
        <v>66615120.000000007</v>
      </c>
      <c r="P17" s="190">
        <f>('previsão de vendas'!Y11+'previsão de vendas'!AF11)*$D$7</f>
        <v>69765840</v>
      </c>
      <c r="Q17" s="190">
        <f>('previsão de vendas'!Z11+'previsão de vendas'!AG11)*$E$7</f>
        <v>26392320</v>
      </c>
      <c r="R17" s="190">
        <f>('previsão de vendas'!AA11+'previsão de vendas'!AH11)*$F$7</f>
        <v>9191700</v>
      </c>
    </row>
    <row r="18" spans="2:18" ht="16.5">
      <c r="B18" s="67" t="s">
        <v>151</v>
      </c>
      <c r="C18" s="190">
        <f>('previsão de vendas'!C12+'previsão de vendas'!J12)*$C$7</f>
        <v>66615120.000000007</v>
      </c>
      <c r="D18" s="190">
        <f>('previsão de vendas'!D12+'previsão de vendas'!K12)*$D$7</f>
        <v>23255280.000000004</v>
      </c>
      <c r="E18" s="190">
        <f>('previsão de vendas'!E12+'previsão de vendas'!L12)*$E$7</f>
        <v>6598080</v>
      </c>
      <c r="F18" s="190">
        <f>('previsão de vendas'!F12+'previsão de vendas'!M12)*$F$7</f>
        <v>0</v>
      </c>
      <c r="H18" s="67" t="s">
        <v>151</v>
      </c>
      <c r="I18" s="190">
        <f>('previsão de vendas'!Q12)*$C$7</f>
        <v>0</v>
      </c>
      <c r="J18" s="190">
        <f>('previsão de vendas'!R12)*$D$7</f>
        <v>0</v>
      </c>
      <c r="K18" s="190">
        <f>('previsão de vendas'!S12)*$E$7</f>
        <v>6598080</v>
      </c>
      <c r="L18" s="190">
        <f>('previsão de vendas'!T12)*$F$7</f>
        <v>3063900</v>
      </c>
      <c r="N18" s="67" t="s">
        <v>151</v>
      </c>
      <c r="O18" s="190">
        <f>('previsão de vendas'!X12+'previsão de vendas'!AE12)*$C$7</f>
        <v>0</v>
      </c>
      <c r="P18" s="190">
        <f>('previsão de vendas'!Y12+'previsão de vendas'!AF12)*$D$7</f>
        <v>0</v>
      </c>
      <c r="Q18" s="190">
        <f>('previsão de vendas'!Z12+'previsão de vendas'!AG12)*$E$7</f>
        <v>0</v>
      </c>
      <c r="R18" s="190">
        <f>('previsão de vendas'!AA12+'previsão de vendas'!AH12)*$F$7</f>
        <v>0</v>
      </c>
    </row>
    <row r="19" spans="2:18" ht="16.5">
      <c r="B19" s="67" t="s">
        <v>152</v>
      </c>
      <c r="C19" s="190">
        <f>('previsão de vendas'!C13+'previsão de vendas'!J13)*$C$7</f>
        <v>865996560.00000012</v>
      </c>
      <c r="D19" s="190">
        <f>('previsão de vendas'!D13+'previsão de vendas'!K13)*$D$7</f>
        <v>581382000.00000012</v>
      </c>
      <c r="E19" s="190">
        <f>('previsão de vendas'!E13+'previsão de vendas'!L13)*$E$7</f>
        <v>151755840</v>
      </c>
      <c r="F19" s="190">
        <f>('previsão de vendas'!F13+'previsão de vendas'!M13)*$F$7</f>
        <v>24511200</v>
      </c>
      <c r="H19" s="67" t="s">
        <v>152</v>
      </c>
      <c r="I19" s="190">
        <f>('previsão de vendas'!Q13)*$C$7</f>
        <v>199845360.00000003</v>
      </c>
      <c r="J19" s="190">
        <f>('previsão de vendas'!R13)*$D$7</f>
        <v>116276400.00000001</v>
      </c>
      <c r="K19" s="190">
        <f>('previsão de vendas'!S13)*$E$7</f>
        <v>59382720</v>
      </c>
      <c r="L19" s="190">
        <f>('previsão de vendas'!T13)*$F$7</f>
        <v>30639000</v>
      </c>
      <c r="N19" s="67" t="s">
        <v>152</v>
      </c>
      <c r="O19" s="190">
        <f>('previsão de vendas'!X13+'previsão de vendas'!AE13)*$C$7</f>
        <v>199845360.00000003</v>
      </c>
      <c r="P19" s="190">
        <f>('previsão de vendas'!Y13+'previsão de vendas'!AF13)*$D$7</f>
        <v>116276400.00000001</v>
      </c>
      <c r="Q19" s="190">
        <f>('previsão de vendas'!Z13+'previsão de vendas'!AG13)*$E$7</f>
        <v>39588480</v>
      </c>
      <c r="R19" s="190">
        <f>('previsão de vendas'!AA13+'previsão de vendas'!AH13)*$F$7</f>
        <v>12255600</v>
      </c>
    </row>
    <row r="20" spans="2:18" ht="16.5">
      <c r="B20" s="67" t="s">
        <v>153</v>
      </c>
      <c r="C20" s="190">
        <f>('previsão de vendas'!C14+'previsão de vendas'!J14)*$C$7</f>
        <v>466305840.00000006</v>
      </c>
      <c r="D20" s="190">
        <f>('previsão de vendas'!D14+'previsão de vendas'!K14)*$D$7</f>
        <v>279063360</v>
      </c>
      <c r="E20" s="190">
        <f>('previsão de vendas'!E14+'previsão de vendas'!L14)*$E$7</f>
        <v>72578880</v>
      </c>
      <c r="F20" s="190">
        <f>('previsão de vendas'!F14+'previsão de vendas'!M14)*$F$7</f>
        <v>12255600</v>
      </c>
      <c r="H20" s="67" t="s">
        <v>153</v>
      </c>
      <c r="I20" s="190">
        <f>('previsão de vendas'!Q14)*$C$7</f>
        <v>66615120.000000007</v>
      </c>
      <c r="J20" s="190">
        <f>('previsão de vendas'!R14)*$D$7</f>
        <v>46510560.000000007</v>
      </c>
      <c r="K20" s="190">
        <f>('previsão de vendas'!S14)*$E$7</f>
        <v>26392320</v>
      </c>
      <c r="L20" s="190">
        <f>('previsão de vendas'!T14)*$F$7</f>
        <v>15319500</v>
      </c>
      <c r="N20" s="67" t="s">
        <v>153</v>
      </c>
      <c r="O20" s="190">
        <f>('previsão de vendas'!X14+'previsão de vendas'!AE14)*$C$7</f>
        <v>66615120.000000007</v>
      </c>
      <c r="P20" s="190">
        <f>('previsão de vendas'!Y14+'previsão de vendas'!AF14)*$D$7</f>
        <v>69765840</v>
      </c>
      <c r="Q20" s="190">
        <f>('previsão de vendas'!Z14+'previsão de vendas'!AG14)*$E$7</f>
        <v>19794240</v>
      </c>
      <c r="R20" s="190">
        <f>('previsão de vendas'!AA14+'previsão de vendas'!AH14)*$F$7</f>
        <v>6127800</v>
      </c>
    </row>
    <row r="21" spans="2:18" ht="16.5">
      <c r="B21" s="67" t="s">
        <v>154</v>
      </c>
      <c r="C21" s="190">
        <f>('previsão de vendas'!C15+'previsão de vendas'!J15)*$C$7</f>
        <v>732766320.00000012</v>
      </c>
      <c r="D21" s="190">
        <f>('previsão de vendas'!D15+'previsão de vendas'!K15)*$D$7</f>
        <v>465105600.00000006</v>
      </c>
      <c r="E21" s="190">
        <f>('previsão de vendas'!E15+'previsão de vendas'!L15)*$E$7</f>
        <v>118765440</v>
      </c>
      <c r="F21" s="190">
        <f>('previsão de vendas'!F15+'previsão de vendas'!M15)*$F$7</f>
        <v>21447300</v>
      </c>
      <c r="H21" s="67" t="s">
        <v>154</v>
      </c>
      <c r="I21" s="190">
        <f>('previsão de vendas'!Q15)*$C$7</f>
        <v>133230240.00000001</v>
      </c>
      <c r="J21" s="190">
        <f>('previsão de vendas'!R15)*$D$7</f>
        <v>93021120.000000015</v>
      </c>
      <c r="K21" s="190">
        <f>('previsão de vendas'!S15)*$E$7</f>
        <v>46186560</v>
      </c>
      <c r="L21" s="190">
        <f>('previsão de vendas'!T15)*$F$7</f>
        <v>24511200</v>
      </c>
      <c r="N21" s="67" t="s">
        <v>154</v>
      </c>
      <c r="O21" s="190">
        <f>('previsão de vendas'!X15+'previsão de vendas'!AE15)*$C$7</f>
        <v>133230240.00000001</v>
      </c>
      <c r="P21" s="190">
        <f>('previsão de vendas'!Y15+'previsão de vendas'!AF15)*$D$7</f>
        <v>93021120.000000015</v>
      </c>
      <c r="Q21" s="190">
        <f>('previsão de vendas'!Z15+'previsão de vendas'!AG15)*$E$7</f>
        <v>32990400</v>
      </c>
      <c r="R21" s="190">
        <f>('previsão de vendas'!AA15+'previsão de vendas'!AH15)*$F$7</f>
        <v>9191700</v>
      </c>
    </row>
    <row r="22" spans="2:18" ht="16.5">
      <c r="B22" s="67" t="s">
        <v>155</v>
      </c>
      <c r="C22" s="190">
        <f>('previsão de vendas'!C16+'previsão de vendas'!J16)*$C$7</f>
        <v>865996560.00000012</v>
      </c>
      <c r="D22" s="190">
        <f>('previsão de vendas'!D16+'previsão de vendas'!K16)*$D$7</f>
        <v>581382000.00000012</v>
      </c>
      <c r="E22" s="190">
        <f>('previsão de vendas'!E16+'previsão de vendas'!L16)*$E$7</f>
        <v>151755840</v>
      </c>
      <c r="F22" s="190">
        <f>('previsão de vendas'!F16+'previsão de vendas'!M16)*$F$7</f>
        <v>24511200</v>
      </c>
      <c r="H22" s="67" t="s">
        <v>155</v>
      </c>
      <c r="I22" s="190">
        <f>('previsão de vendas'!Q16)*$C$7</f>
        <v>199845360.00000003</v>
      </c>
      <c r="J22" s="190">
        <f>('previsão de vendas'!R16)*$D$7</f>
        <v>116276400.00000001</v>
      </c>
      <c r="K22" s="190">
        <f>('previsão de vendas'!S16)*$E$7</f>
        <v>59382720</v>
      </c>
      <c r="L22" s="190">
        <f>('previsão de vendas'!T16)*$F$7</f>
        <v>30639000</v>
      </c>
      <c r="N22" s="67" t="s">
        <v>155</v>
      </c>
      <c r="O22" s="190">
        <f>('previsão de vendas'!X16+'previsão de vendas'!AE16)*$C$7</f>
        <v>199845360.00000003</v>
      </c>
      <c r="P22" s="190">
        <f>('previsão de vendas'!Y16+'previsão de vendas'!AF16)*$D$7</f>
        <v>116276400.00000001</v>
      </c>
      <c r="Q22" s="190">
        <f>('previsão de vendas'!Z16+'previsão de vendas'!AG16)*$E$7</f>
        <v>39588480</v>
      </c>
      <c r="R22" s="190">
        <f>('previsão de vendas'!AA16+'previsão de vendas'!AH16)*$F$7</f>
        <v>12255600</v>
      </c>
    </row>
    <row r="23" spans="2:18" ht="16.5">
      <c r="B23" s="67" t="s">
        <v>156</v>
      </c>
      <c r="C23" s="190">
        <f>('previsão de vendas'!C17+'previsão de vendas'!J17)*$C$7</f>
        <v>599536080</v>
      </c>
      <c r="D23" s="190">
        <f>('previsão de vendas'!D17+'previsão de vendas'!K17)*$D$7</f>
        <v>418595040.00000006</v>
      </c>
      <c r="E23" s="190">
        <f>('previsão de vendas'!E17+'previsão de vendas'!L17)*$E$7</f>
        <v>105569280</v>
      </c>
      <c r="F23" s="190">
        <f>('previsão de vendas'!F17+'previsão de vendas'!M17)*$F$7</f>
        <v>21447300</v>
      </c>
      <c r="H23" s="67" t="s">
        <v>156</v>
      </c>
      <c r="I23" s="190">
        <f>('previsão de vendas'!Q17)*$C$7</f>
        <v>133230240.00000001</v>
      </c>
      <c r="J23" s="190">
        <f>('previsão de vendas'!R17)*$D$7</f>
        <v>93021120.000000015</v>
      </c>
      <c r="K23" s="190">
        <f>('previsão de vendas'!S17)*$E$7</f>
        <v>39588480</v>
      </c>
      <c r="L23" s="190">
        <f>('previsão de vendas'!T17)*$F$7</f>
        <v>21447300</v>
      </c>
      <c r="N23" s="67" t="s">
        <v>156</v>
      </c>
      <c r="O23" s="190">
        <f>('previsão de vendas'!X17+'previsão de vendas'!AE17)*$C$7</f>
        <v>133230240.00000001</v>
      </c>
      <c r="P23" s="190">
        <f>('previsão de vendas'!Y17+'previsão de vendas'!AF17)*$D$7</f>
        <v>69765840</v>
      </c>
      <c r="Q23" s="190">
        <f>('previsão de vendas'!Z17+'previsão de vendas'!AG17)*$E$7</f>
        <v>26392320</v>
      </c>
      <c r="R23" s="190">
        <f>('previsão de vendas'!AA17+'previsão de vendas'!AH17)*$F$7</f>
        <v>9191700</v>
      </c>
    </row>
    <row r="24" spans="2:18" ht="16.5">
      <c r="B24" s="68" t="s">
        <v>157</v>
      </c>
      <c r="C24" s="190">
        <f>('previsão de vendas'!C18+'previsão de vendas'!J18)*$C$7</f>
        <v>199845360.00000003</v>
      </c>
      <c r="D24" s="190">
        <f>('previsão de vendas'!D18+'previsão de vendas'!K18)*$D$7</f>
        <v>116276400.00000001</v>
      </c>
      <c r="E24" s="190">
        <f>('previsão de vendas'!E18+'previsão de vendas'!L18)*$E$7</f>
        <v>32990400</v>
      </c>
      <c r="F24" s="190">
        <f>('previsão de vendas'!F18+'previsão de vendas'!M18)*$F$7</f>
        <v>6127800</v>
      </c>
      <c r="H24" s="68" t="s">
        <v>157</v>
      </c>
      <c r="I24" s="190">
        <f>('previsão de vendas'!Q18)*$C$7</f>
        <v>66615120.000000007</v>
      </c>
      <c r="J24" s="190">
        <f>('previsão de vendas'!R18)*$D$7</f>
        <v>23255280.000000004</v>
      </c>
      <c r="K24" s="190">
        <f>('previsão de vendas'!S18)*$E$7</f>
        <v>13196160</v>
      </c>
      <c r="L24" s="190">
        <f>('previsão de vendas'!T18)*$F$7</f>
        <v>6127800</v>
      </c>
      <c r="N24" s="68" t="s">
        <v>157</v>
      </c>
      <c r="O24" s="190">
        <f>('previsão de vendas'!X18+'previsão de vendas'!AE18)*$C$7</f>
        <v>0</v>
      </c>
      <c r="P24" s="190">
        <f>('previsão de vendas'!Y18+'previsão de vendas'!AF18)*$D$7</f>
        <v>23255280.000000004</v>
      </c>
      <c r="Q24" s="190">
        <f>('previsão de vendas'!Z18+'previsão de vendas'!AG18)*$E$7</f>
        <v>13196160</v>
      </c>
      <c r="R24" s="190">
        <f>('previsão de vendas'!AA18+'previsão de vendas'!AH18)*$F$7</f>
        <v>3063900</v>
      </c>
    </row>
    <row r="25" spans="2:18" ht="16.5">
      <c r="B25" s="67" t="s">
        <v>158</v>
      </c>
      <c r="C25" s="190">
        <f>('previsão de vendas'!C19+'previsão de vendas'!J19)*$C$7</f>
        <v>999226800.00000012</v>
      </c>
      <c r="D25" s="190">
        <f>('previsão de vendas'!D19+'previsão de vendas'!K19)*$D$7</f>
        <v>674403120.00000012</v>
      </c>
      <c r="E25" s="190">
        <f>('previsão de vendas'!E19+'previsão de vendas'!L19)*$E$7</f>
        <v>171550080</v>
      </c>
      <c r="F25" s="190">
        <f>('previsão de vendas'!F19+'previsão de vendas'!M19)*$F$7</f>
        <v>30639000</v>
      </c>
      <c r="H25" s="67" t="s">
        <v>158</v>
      </c>
      <c r="I25" s="190">
        <f>('previsão de vendas'!Q19)*$C$7</f>
        <v>199845360.00000003</v>
      </c>
      <c r="J25" s="190">
        <f>('previsão de vendas'!R19)*$D$7</f>
        <v>139531680</v>
      </c>
      <c r="K25" s="190">
        <f>('previsão de vendas'!S19)*$E$7</f>
        <v>65980800</v>
      </c>
      <c r="L25" s="190">
        <f>('previsão de vendas'!T19)*$F$7</f>
        <v>33702900</v>
      </c>
      <c r="N25" s="67" t="s">
        <v>158</v>
      </c>
      <c r="O25" s="190">
        <f>('previsão de vendas'!X19+'previsão de vendas'!AE19)*$C$7</f>
        <v>199845360.00000003</v>
      </c>
      <c r="P25" s="190">
        <f>('previsão de vendas'!Y19+'previsão de vendas'!AF19)*$D$7</f>
        <v>139531680</v>
      </c>
      <c r="Q25" s="190">
        <f>('previsão de vendas'!Z19+'previsão de vendas'!AG19)*$E$7</f>
        <v>46186560</v>
      </c>
      <c r="R25" s="190">
        <f>('previsão de vendas'!AA19+'previsão de vendas'!AH19)*$F$7</f>
        <v>15319500</v>
      </c>
    </row>
    <row r="26" spans="2:18" ht="16.5">
      <c r="B26" s="67" t="s">
        <v>159</v>
      </c>
      <c r="C26" s="190">
        <f>('previsão de vendas'!C20+'previsão de vendas'!J20)*$C$7</f>
        <v>266460480.00000003</v>
      </c>
      <c r="D26" s="190">
        <f>('previsão de vendas'!D20+'previsão de vendas'!K20)*$D$7</f>
        <v>162786960.00000003</v>
      </c>
      <c r="E26" s="190">
        <f>('previsão de vendas'!E20+'previsão de vendas'!L20)*$E$7</f>
        <v>46186560</v>
      </c>
      <c r="F26" s="190">
        <f>('previsão de vendas'!F20+'previsão de vendas'!M20)*$F$7</f>
        <v>9191700</v>
      </c>
      <c r="H26" s="67" t="s">
        <v>159</v>
      </c>
      <c r="I26" s="190">
        <f>('previsão de vendas'!Q20)*$C$7</f>
        <v>66615120.000000007</v>
      </c>
      <c r="J26" s="190">
        <f>('previsão de vendas'!R20)*$D$7</f>
        <v>23255280.000000004</v>
      </c>
      <c r="K26" s="190">
        <f>('previsão de vendas'!S20)*$E$7</f>
        <v>19794240</v>
      </c>
      <c r="L26" s="190">
        <f>('previsão de vendas'!T20)*$F$7</f>
        <v>9191700</v>
      </c>
      <c r="N26" s="67" t="s">
        <v>159</v>
      </c>
      <c r="O26" s="190">
        <f>('previsão de vendas'!X20+'previsão de vendas'!AE20)*$C$7</f>
        <v>66615120.000000007</v>
      </c>
      <c r="P26" s="190">
        <f>('previsão de vendas'!Y20+'previsão de vendas'!AF20)*$D$7</f>
        <v>23255280.000000004</v>
      </c>
      <c r="Q26" s="190">
        <f>('previsão de vendas'!Z20+'previsão de vendas'!AG20)*$E$7</f>
        <v>13196160</v>
      </c>
      <c r="R26" s="190">
        <f>('previsão de vendas'!AA20+'previsão de vendas'!AH20)*$F$7</f>
        <v>3063900</v>
      </c>
    </row>
    <row r="27" spans="2:18" ht="16.5">
      <c r="B27" s="67" t="s">
        <v>160</v>
      </c>
      <c r="C27" s="190">
        <f>('previsão de vendas'!C21+'previsão de vendas'!J21)*$C$7</f>
        <v>1132457040</v>
      </c>
      <c r="D27" s="190">
        <f>('previsão de vendas'!D21+'previsão de vendas'!K21)*$D$7</f>
        <v>767424240.00000012</v>
      </c>
      <c r="E27" s="190">
        <f>('previsão de vendas'!E21+'previsão de vendas'!L21)*$E$7</f>
        <v>197942400</v>
      </c>
      <c r="F27" s="190">
        <f>('previsão de vendas'!F21+'previsão de vendas'!M21)*$F$7</f>
        <v>33702900</v>
      </c>
      <c r="H27" s="67" t="s">
        <v>160</v>
      </c>
      <c r="I27" s="190">
        <f>('previsão de vendas'!Q21)*$C$7</f>
        <v>199845360.00000003</v>
      </c>
      <c r="J27" s="190">
        <f>('previsão de vendas'!R21)*$D$7</f>
        <v>162786960.00000003</v>
      </c>
      <c r="K27" s="190">
        <f>('previsão de vendas'!S21)*$E$7</f>
        <v>79176960</v>
      </c>
      <c r="L27" s="190">
        <f>('previsão de vendas'!T21)*$F$7</f>
        <v>39830700</v>
      </c>
      <c r="N27" s="67" t="s">
        <v>160</v>
      </c>
      <c r="O27" s="190">
        <f>('previsão de vendas'!X21+'previsão de vendas'!AE21)*$C$7</f>
        <v>199845360.00000003</v>
      </c>
      <c r="P27" s="190">
        <f>('previsão de vendas'!Y21+'previsão de vendas'!AF21)*$D$7</f>
        <v>139531680</v>
      </c>
      <c r="Q27" s="190">
        <f>('previsão de vendas'!Z21+'previsão de vendas'!AG21)*$E$7</f>
        <v>52784640</v>
      </c>
      <c r="R27" s="190">
        <f>('previsão de vendas'!AA21+'previsão de vendas'!AH21)*$F$7</f>
        <v>18383400</v>
      </c>
    </row>
    <row r="28" spans="2:18" s="212" customFormat="1">
      <c r="B28" s="311" t="s">
        <v>178</v>
      </c>
      <c r="C28" s="190">
        <f>SUM(C16:C27)</f>
        <v>7261048080</v>
      </c>
      <c r="D28" s="190">
        <f t="shared" ref="D28:F28" si="0">SUM(D16:D27)</f>
        <v>4744077120</v>
      </c>
      <c r="E28" s="190">
        <f t="shared" si="0"/>
        <v>1227242880</v>
      </c>
      <c r="F28" s="190">
        <f t="shared" si="0"/>
        <v>214473000</v>
      </c>
      <c r="H28" s="311" t="s">
        <v>178</v>
      </c>
      <c r="I28" s="190">
        <f>SUM(I16:I27)</f>
        <v>1465532640.0000002</v>
      </c>
      <c r="J28" s="190">
        <f t="shared" ref="J28:L28" si="1">SUM(J16:J27)</f>
        <v>953466480</v>
      </c>
      <c r="K28" s="190">
        <f t="shared" si="1"/>
        <v>481659840</v>
      </c>
      <c r="L28" s="190">
        <f t="shared" si="1"/>
        <v>251239800</v>
      </c>
      <c r="N28" s="311" t="s">
        <v>178</v>
      </c>
      <c r="O28" s="190">
        <f>SUM(O16:O27)</f>
        <v>1332302400.0000002</v>
      </c>
      <c r="P28" s="190">
        <f t="shared" ref="P28:R28" si="2">SUM(P16:P27)</f>
        <v>930211200</v>
      </c>
      <c r="Q28" s="190">
        <f t="shared" si="2"/>
        <v>329904000</v>
      </c>
      <c r="R28" s="190">
        <f t="shared" si="2"/>
        <v>104172600</v>
      </c>
    </row>
  </sheetData>
  <mergeCells count="8">
    <mergeCell ref="B2:F2"/>
    <mergeCell ref="I2:L2"/>
    <mergeCell ref="I3:K3"/>
    <mergeCell ref="I4:K4"/>
    <mergeCell ref="E12:P12"/>
    <mergeCell ref="I8:L8"/>
    <mergeCell ref="I9:L9"/>
    <mergeCell ref="I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AAD5-2D3A-47F0-8B9F-07D7606DA5BF}">
  <dimension ref="B2:AD20"/>
  <sheetViews>
    <sheetView workbookViewId="0">
      <selection activeCell="C4" sqref="C4"/>
    </sheetView>
  </sheetViews>
  <sheetFormatPr defaultRowHeight="15"/>
  <cols>
    <col min="2" max="2" width="26.7109375" bestFit="1" customWidth="1"/>
    <col min="3" max="3" width="22.5703125" bestFit="1" customWidth="1"/>
    <col min="4" max="4" width="26.7109375" bestFit="1" customWidth="1"/>
    <col min="5" max="5" width="23.7109375" bestFit="1" customWidth="1"/>
    <col min="6" max="6" width="22.5703125" bestFit="1" customWidth="1"/>
    <col min="7" max="7" width="5.28515625" bestFit="1" customWidth="1"/>
    <col min="8" max="8" width="11" bestFit="1" customWidth="1"/>
    <col min="9" max="11" width="18.85546875" bestFit="1" customWidth="1"/>
    <col min="12" max="12" width="17.140625" bestFit="1" customWidth="1"/>
    <col min="14" max="14" width="26" customWidth="1"/>
    <col min="15" max="16" width="18.85546875" bestFit="1" customWidth="1"/>
    <col min="17" max="18" width="17.140625" bestFit="1" customWidth="1"/>
    <col min="20" max="20" width="12.42578125" bestFit="1" customWidth="1"/>
    <col min="21" max="24" width="11" customWidth="1"/>
    <col min="26" max="26" width="6" bestFit="1" customWidth="1"/>
    <col min="27" max="30" width="11" customWidth="1"/>
  </cols>
  <sheetData>
    <row r="2" spans="2:30" ht="16.5">
      <c r="B2" s="181"/>
      <c r="C2" s="253"/>
      <c r="D2" s="253"/>
      <c r="E2" s="253"/>
      <c r="F2" s="253"/>
      <c r="I2" s="183"/>
      <c r="J2" s="183"/>
      <c r="K2" s="183"/>
      <c r="L2" s="183"/>
      <c r="M2" s="183"/>
      <c r="N2" s="256"/>
      <c r="O2" s="257"/>
      <c r="P2" s="257"/>
      <c r="Z2" s="182"/>
      <c r="AA2" s="183"/>
      <c r="AB2" s="183"/>
      <c r="AC2" s="183"/>
      <c r="AD2" s="183"/>
    </row>
    <row r="3" spans="2:30" ht="15.75">
      <c r="Z3" s="182"/>
      <c r="AA3" s="183"/>
      <c r="AB3" s="183"/>
      <c r="AC3" s="183"/>
      <c r="AD3" s="183"/>
    </row>
    <row r="4" spans="2:30" ht="61.5" customHeight="1">
      <c r="D4" s="429" t="s">
        <v>203</v>
      </c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30"/>
      <c r="Z4" s="182"/>
      <c r="AA4" s="183"/>
      <c r="AB4" s="183"/>
      <c r="AC4" s="183"/>
      <c r="AD4" s="183"/>
    </row>
    <row r="5" spans="2:30" ht="15.75">
      <c r="Z5" s="182"/>
      <c r="AA5" s="183"/>
      <c r="AB5" s="183"/>
      <c r="AC5" s="183"/>
      <c r="AD5" s="183"/>
    </row>
    <row r="6" spans="2:30" ht="16.5">
      <c r="Z6" s="182"/>
      <c r="AA6" s="183"/>
      <c r="AB6" s="183"/>
      <c r="AC6" s="183"/>
      <c r="AD6" s="183"/>
    </row>
    <row r="7" spans="2:30" ht="90">
      <c r="B7" s="187" t="s">
        <v>204</v>
      </c>
      <c r="C7" s="57" t="s">
        <v>98</v>
      </c>
      <c r="D7" s="57" t="s">
        <v>99</v>
      </c>
      <c r="E7" s="57" t="s">
        <v>100</v>
      </c>
      <c r="F7" s="57" t="s">
        <v>101</v>
      </c>
      <c r="H7" s="3" t="s">
        <v>146</v>
      </c>
      <c r="I7" s="57" t="s">
        <v>98</v>
      </c>
      <c r="J7" s="57" t="s">
        <v>99</v>
      </c>
      <c r="K7" s="57" t="s">
        <v>100</v>
      </c>
      <c r="L7" s="57" t="s">
        <v>101</v>
      </c>
      <c r="N7" s="188" t="s">
        <v>205</v>
      </c>
      <c r="O7" s="57" t="s">
        <v>98</v>
      </c>
      <c r="P7" s="57" t="s">
        <v>99</v>
      </c>
      <c r="Q7" s="57" t="s">
        <v>100</v>
      </c>
      <c r="R7" s="57" t="s">
        <v>101</v>
      </c>
      <c r="Z7" s="182"/>
      <c r="AA7" s="183"/>
      <c r="AB7" s="183"/>
      <c r="AC7" s="183"/>
      <c r="AD7" s="183"/>
    </row>
    <row r="8" spans="2:30" ht="16.5">
      <c r="B8" s="67" t="s">
        <v>149</v>
      </c>
      <c r="C8" s="190">
        <f>'base de dados'!$D$30*('previsão de vendas'!C10+'previsão de vendas'!J10)</f>
        <v>7696500</v>
      </c>
      <c r="D8" s="190">
        <f>'base de dados'!$D$31*('previsão de vendas'!D10+'previsão de vendas'!K10)</f>
        <v>8994000</v>
      </c>
      <c r="E8" s="190">
        <f>'base de dados'!$D$32*('previsão de vendas'!E10+'previsão de vendas'!L10)</f>
        <v>5494500</v>
      </c>
      <c r="F8" s="190">
        <f>'base de dados'!$D$33*('previsão de vendas'!F10+'previsão de vendas'!M10)</f>
        <v>1198000</v>
      </c>
      <c r="H8" s="67" t="s">
        <v>149</v>
      </c>
      <c r="I8" s="190">
        <f>'base de dados'!$D$30*('previsão de vendas'!Q10)</f>
        <v>1099500</v>
      </c>
      <c r="J8" s="190">
        <f>'base de dados'!$D$31*('previsão de vendas'!R10)</f>
        <v>2248500</v>
      </c>
      <c r="K8" s="190">
        <f>'base de dados'!$D$32*('previsão de vendas'!S10)</f>
        <v>1998000</v>
      </c>
      <c r="L8" s="190">
        <f>'base de dados'!$D$33*('previsão de vendas'!T10)</f>
        <v>1497500</v>
      </c>
      <c r="N8" s="67" t="s">
        <v>149</v>
      </c>
      <c r="O8" s="190">
        <f>'base de dados'!$D$30*('previsão de vendas'!X10+'previsão de vendas'!AE10)</f>
        <v>1099500</v>
      </c>
      <c r="P8" s="190">
        <f>'base de dados'!$D$31*('previsão de vendas'!Y10+'previsão de vendas'!AF10)</f>
        <v>2248500</v>
      </c>
      <c r="Q8" s="190">
        <f>'base de dados'!$D$32*('previsão de vendas'!Z10+'previsão de vendas'!AG10)</f>
        <v>1498500</v>
      </c>
      <c r="R8" s="190">
        <f>'base de dados'!$D$33*('previsão de vendas'!AA10+'previsão de vendas'!AH10)</f>
        <v>599000</v>
      </c>
      <c r="Z8" s="181"/>
      <c r="AA8" s="183"/>
      <c r="AB8" s="183"/>
      <c r="AC8" s="183"/>
      <c r="AD8" s="183"/>
    </row>
    <row r="9" spans="2:30" ht="16.5">
      <c r="B9" s="67" t="s">
        <v>150</v>
      </c>
      <c r="C9" s="190">
        <f>'base de dados'!$D$30*('previsão de vendas'!C11+'previsão de vendas'!J11)</f>
        <v>9895500</v>
      </c>
      <c r="D9" s="190">
        <f>'base de dados'!$D$31*('previsão de vendas'!D11+'previsão de vendas'!K11)</f>
        <v>12741500</v>
      </c>
      <c r="E9" s="190">
        <f>'base de dados'!$D$32*('previsão de vendas'!E11+'previsão de vendas'!L11)</f>
        <v>7492500</v>
      </c>
      <c r="F9" s="190">
        <f>'base de dados'!$D$33*('previsão de vendas'!F11+'previsão de vendas'!M11)</f>
        <v>1797000</v>
      </c>
      <c r="H9" s="67" t="s">
        <v>150</v>
      </c>
      <c r="I9" s="190">
        <f>'base de dados'!$D$30*('previsão de vendas'!Q11)</f>
        <v>2199000</v>
      </c>
      <c r="J9" s="190">
        <f>'base de dados'!$D$31*('previsão de vendas'!R11)</f>
        <v>2248500</v>
      </c>
      <c r="K9" s="190">
        <f>'base de dados'!$D$32*('previsão de vendas'!S11)</f>
        <v>2997000</v>
      </c>
      <c r="L9" s="190">
        <f>'base de dados'!$D$33*('previsão de vendas'!T11)</f>
        <v>2096500</v>
      </c>
      <c r="N9" s="67" t="s">
        <v>150</v>
      </c>
      <c r="O9" s="190">
        <f>'base de dados'!$D$30*('previsão de vendas'!X11+'previsão de vendas'!AE11)</f>
        <v>1099500</v>
      </c>
      <c r="P9" s="190">
        <f>'base de dados'!$D$31*('previsão de vendas'!Y11+'previsão de vendas'!AF11)</f>
        <v>2248500</v>
      </c>
      <c r="Q9" s="190">
        <f>'base de dados'!$D$32*('previsão de vendas'!Z11+'previsão de vendas'!AG11)</f>
        <v>1998000</v>
      </c>
      <c r="R9" s="190">
        <f>'base de dados'!$D$33*('previsão de vendas'!AA11+'previsão de vendas'!AH11)</f>
        <v>898500</v>
      </c>
    </row>
    <row r="10" spans="2:30" ht="16.5">
      <c r="B10" s="67" t="s">
        <v>151</v>
      </c>
      <c r="C10" s="190">
        <f>'base de dados'!$D$30*('previsão de vendas'!C12+'previsão de vendas'!J12)</f>
        <v>1099500</v>
      </c>
      <c r="D10" s="190">
        <f>'base de dados'!$D$31*('previsão de vendas'!D12+'previsão de vendas'!K12)</f>
        <v>749500</v>
      </c>
      <c r="E10" s="190">
        <f>'base de dados'!$D$32*('previsão de vendas'!E12+'previsão de vendas'!L12)</f>
        <v>499500</v>
      </c>
      <c r="F10" s="190">
        <f>'base de dados'!$D$33*('previsão de vendas'!F12+'previsão de vendas'!M12)</f>
        <v>0</v>
      </c>
      <c r="H10" s="67" t="s">
        <v>151</v>
      </c>
      <c r="I10" s="190">
        <f>'base de dados'!$D$30*('previsão de vendas'!Q12)</f>
        <v>0</v>
      </c>
      <c r="J10" s="190">
        <f>'base de dados'!$D$31*('previsão de vendas'!R12)</f>
        <v>0</v>
      </c>
      <c r="K10" s="190">
        <f>'base de dados'!$D$32*('previsão de vendas'!S12)</f>
        <v>499500</v>
      </c>
      <c r="L10" s="190">
        <f>'base de dados'!$D$33*('previsão de vendas'!T12)</f>
        <v>299500</v>
      </c>
      <c r="N10" s="67" t="s">
        <v>151</v>
      </c>
      <c r="O10" s="190">
        <f>'base de dados'!$D$30*('previsão de vendas'!X12+'previsão de vendas'!AE12)</f>
        <v>0</v>
      </c>
      <c r="P10" s="190">
        <f>'base de dados'!$D$31*('previsão de vendas'!Y12+'previsão de vendas'!AF12)</f>
        <v>0</v>
      </c>
      <c r="Q10" s="190">
        <f>'base de dados'!$D$32*('previsão de vendas'!Z12+'previsão de vendas'!AG12)</f>
        <v>0</v>
      </c>
      <c r="R10" s="190">
        <f>'base de dados'!$D$33*('previsão de vendas'!AA12+'previsão de vendas'!AH12)</f>
        <v>0</v>
      </c>
    </row>
    <row r="11" spans="2:30" ht="16.5">
      <c r="B11" s="67" t="s">
        <v>152</v>
      </c>
      <c r="C11" s="190">
        <f>'base de dados'!$D$30*('previsão de vendas'!C13+'previsão de vendas'!J13)</f>
        <v>14293500</v>
      </c>
      <c r="D11" s="190">
        <f>'base de dados'!$D$31*('previsão de vendas'!D13+'previsão de vendas'!K13)</f>
        <v>18737500</v>
      </c>
      <c r="E11" s="190">
        <f>'base de dados'!$D$32*('previsão de vendas'!E13+'previsão de vendas'!L13)</f>
        <v>11488500</v>
      </c>
      <c r="F11" s="190">
        <f>'base de dados'!$D$33*('previsão de vendas'!F13+'previsão de vendas'!M13)</f>
        <v>2396000</v>
      </c>
      <c r="H11" s="67" t="s">
        <v>152</v>
      </c>
      <c r="I11" s="190">
        <f>'base de dados'!$D$30*('previsão de vendas'!Q13)</f>
        <v>3298500</v>
      </c>
      <c r="J11" s="190">
        <f>'base de dados'!$D$31*('previsão de vendas'!R13)</f>
        <v>3747500</v>
      </c>
      <c r="K11" s="190">
        <f>'base de dados'!$D$32*('previsão de vendas'!S13)</f>
        <v>4495500</v>
      </c>
      <c r="L11" s="190">
        <f>'base de dados'!$D$33*('previsão de vendas'!T13)</f>
        <v>2995000</v>
      </c>
      <c r="N11" s="67" t="s">
        <v>152</v>
      </c>
      <c r="O11" s="190">
        <f>'base de dados'!$D$30*('previsão de vendas'!X13+'previsão de vendas'!AE13)</f>
        <v>3298500</v>
      </c>
      <c r="P11" s="190">
        <f>'base de dados'!$D$31*('previsão de vendas'!Y13+'previsão de vendas'!AF13)</f>
        <v>3747500</v>
      </c>
      <c r="Q11" s="190">
        <f>'base de dados'!$D$32*('previsão de vendas'!Z13+'previsão de vendas'!AG13)</f>
        <v>2997000</v>
      </c>
      <c r="R11" s="190">
        <f>'base de dados'!$D$33*('previsão de vendas'!AA13+'previsão de vendas'!AH13)</f>
        <v>1198000</v>
      </c>
    </row>
    <row r="12" spans="2:30" ht="16.5">
      <c r="B12" s="67" t="s">
        <v>153</v>
      </c>
      <c r="C12" s="190">
        <f>'base de dados'!$D$30*('previsão de vendas'!C14+'previsão de vendas'!J14)</f>
        <v>7696500</v>
      </c>
      <c r="D12" s="190">
        <f>'base de dados'!$D$31*('previsão de vendas'!D14+'previsão de vendas'!K14)</f>
        <v>8994000</v>
      </c>
      <c r="E12" s="190">
        <f>'base de dados'!$D$32*('previsão de vendas'!E14+'previsão de vendas'!L14)</f>
        <v>5494500</v>
      </c>
      <c r="F12" s="190">
        <f>'base de dados'!$D$33*('previsão de vendas'!F14+'previsão de vendas'!M14)</f>
        <v>1198000</v>
      </c>
      <c r="H12" s="67" t="s">
        <v>153</v>
      </c>
      <c r="I12" s="190">
        <f>'base de dados'!$D$30*('previsão de vendas'!Q14)</f>
        <v>1099500</v>
      </c>
      <c r="J12" s="190">
        <f>'base de dados'!$D$31*('previsão de vendas'!R14)</f>
        <v>1499000</v>
      </c>
      <c r="K12" s="190">
        <f>'base de dados'!$D$32*('previsão de vendas'!S14)</f>
        <v>1998000</v>
      </c>
      <c r="L12" s="190">
        <f>'base de dados'!$D$33*('previsão de vendas'!T14)</f>
        <v>1497500</v>
      </c>
      <c r="N12" s="67" t="s">
        <v>153</v>
      </c>
      <c r="O12" s="190">
        <f>'base de dados'!$D$30*('previsão de vendas'!X14+'previsão de vendas'!AE14)</f>
        <v>1099500</v>
      </c>
      <c r="P12" s="190">
        <f>'base de dados'!$D$31*('previsão de vendas'!Y14+'previsão de vendas'!AF14)</f>
        <v>2248500</v>
      </c>
      <c r="Q12" s="190">
        <f>'base de dados'!$D$32*('previsão de vendas'!Z14+'previsão de vendas'!AG14)</f>
        <v>1498500</v>
      </c>
      <c r="R12" s="190">
        <f>'base de dados'!$D$33*('previsão de vendas'!AA14+'previsão de vendas'!AH14)</f>
        <v>599000</v>
      </c>
    </row>
    <row r="13" spans="2:30" ht="16.5">
      <c r="B13" s="67" t="s">
        <v>154</v>
      </c>
      <c r="C13" s="190">
        <f>'base de dados'!$D$30*('previsão de vendas'!C15+'previsão de vendas'!J15)</f>
        <v>12094500</v>
      </c>
      <c r="D13" s="190">
        <f>'base de dados'!$D$31*('previsão de vendas'!D15+'previsão de vendas'!K15)</f>
        <v>14990000</v>
      </c>
      <c r="E13" s="190">
        <f>'base de dados'!$D$32*('previsão de vendas'!E15+'previsão de vendas'!L15)</f>
        <v>8991000</v>
      </c>
      <c r="F13" s="190">
        <f>'base de dados'!$D$33*('previsão de vendas'!F15+'previsão de vendas'!M15)</f>
        <v>2096500</v>
      </c>
      <c r="H13" s="67" t="s">
        <v>154</v>
      </c>
      <c r="I13" s="190">
        <f>'base de dados'!$D$30*('previsão de vendas'!Q15)</f>
        <v>2199000</v>
      </c>
      <c r="J13" s="190">
        <f>'base de dados'!$D$31*('previsão de vendas'!R15)</f>
        <v>2998000</v>
      </c>
      <c r="K13" s="190">
        <f>'base de dados'!$D$32*('previsão de vendas'!S15)</f>
        <v>3496500</v>
      </c>
      <c r="L13" s="190">
        <f>'base de dados'!$D$33*('previsão de vendas'!T15)</f>
        <v>2396000</v>
      </c>
      <c r="N13" s="67" t="s">
        <v>154</v>
      </c>
      <c r="O13" s="190">
        <f>'base de dados'!$D$30*('previsão de vendas'!X15+'previsão de vendas'!AE15)</f>
        <v>2199000</v>
      </c>
      <c r="P13" s="190">
        <f>'base de dados'!$D$31*('previsão de vendas'!Y15+'previsão de vendas'!AF15)</f>
        <v>2998000</v>
      </c>
      <c r="Q13" s="190">
        <f>'base de dados'!$D$32*('previsão de vendas'!Z15+'previsão de vendas'!AG15)</f>
        <v>2497500</v>
      </c>
      <c r="R13" s="190">
        <f>'base de dados'!$D$33*('previsão de vendas'!AA15+'previsão de vendas'!AH15)</f>
        <v>898500</v>
      </c>
    </row>
    <row r="14" spans="2:30" ht="16.5">
      <c r="B14" s="67" t="s">
        <v>155</v>
      </c>
      <c r="C14" s="190">
        <f>'base de dados'!$D$30*('previsão de vendas'!C16+'previsão de vendas'!J16)</f>
        <v>14293500</v>
      </c>
      <c r="D14" s="190">
        <f>'base de dados'!$D$31*('previsão de vendas'!D16+'previsão de vendas'!K16)</f>
        <v>18737500</v>
      </c>
      <c r="E14" s="190">
        <f>'base de dados'!$D$32*('previsão de vendas'!E16+'previsão de vendas'!L16)</f>
        <v>11488500</v>
      </c>
      <c r="F14" s="190">
        <f>'base de dados'!$D$33*('previsão de vendas'!F16+'previsão de vendas'!M16)</f>
        <v>2396000</v>
      </c>
      <c r="H14" s="67" t="s">
        <v>155</v>
      </c>
      <c r="I14" s="190">
        <f>'base de dados'!$D$30*('previsão de vendas'!Q16)</f>
        <v>3298500</v>
      </c>
      <c r="J14" s="190">
        <f>'base de dados'!$D$31*('previsão de vendas'!R16)</f>
        <v>3747500</v>
      </c>
      <c r="K14" s="190">
        <f>'base de dados'!$D$32*('previsão de vendas'!S16)</f>
        <v>4495500</v>
      </c>
      <c r="L14" s="190">
        <f>'base de dados'!$D$33*('previsão de vendas'!T16)</f>
        <v>2995000</v>
      </c>
      <c r="N14" s="67" t="s">
        <v>155</v>
      </c>
      <c r="O14" s="190">
        <f>'base de dados'!$D$30*('previsão de vendas'!X16+'previsão de vendas'!AE16)</f>
        <v>3298500</v>
      </c>
      <c r="P14" s="190">
        <f>'base de dados'!$D$31*('previsão de vendas'!Y16+'previsão de vendas'!AF16)</f>
        <v>3747500</v>
      </c>
      <c r="Q14" s="190">
        <f>'base de dados'!$D$32*('previsão de vendas'!Z16+'previsão de vendas'!AG16)</f>
        <v>2997000</v>
      </c>
      <c r="R14" s="190">
        <f>'base de dados'!$D$33*('previsão de vendas'!AA16+'previsão de vendas'!AH16)</f>
        <v>1198000</v>
      </c>
    </row>
    <row r="15" spans="2:30" ht="16.5">
      <c r="B15" s="67" t="s">
        <v>156</v>
      </c>
      <c r="C15" s="190">
        <f>'base de dados'!$D$30*('previsão de vendas'!C17+'previsão de vendas'!J17)</f>
        <v>9895500</v>
      </c>
      <c r="D15" s="190">
        <f>'base de dados'!$D$31*('previsão de vendas'!D17+'previsão de vendas'!K17)</f>
        <v>13491000</v>
      </c>
      <c r="E15" s="190">
        <f>'base de dados'!$D$32*('previsão de vendas'!E17+'previsão de vendas'!L17)</f>
        <v>7992000</v>
      </c>
      <c r="F15" s="190">
        <f>'base de dados'!$D$33*('previsão de vendas'!F17+'previsão de vendas'!M17)</f>
        <v>2096500</v>
      </c>
      <c r="H15" s="67" t="s">
        <v>156</v>
      </c>
      <c r="I15" s="190">
        <f>'base de dados'!$D$30*('previsão de vendas'!Q17)</f>
        <v>2199000</v>
      </c>
      <c r="J15" s="190">
        <f>'base de dados'!$D$31*('previsão de vendas'!R17)</f>
        <v>2998000</v>
      </c>
      <c r="K15" s="190">
        <f>'base de dados'!$D$32*('previsão de vendas'!S17)</f>
        <v>2997000</v>
      </c>
      <c r="L15" s="190">
        <f>'base de dados'!$D$33*('previsão de vendas'!T17)</f>
        <v>2096500</v>
      </c>
      <c r="N15" s="67" t="s">
        <v>156</v>
      </c>
      <c r="O15" s="190">
        <f>'base de dados'!$D$30*('previsão de vendas'!X17+'previsão de vendas'!AE17)</f>
        <v>2199000</v>
      </c>
      <c r="P15" s="190">
        <f>'base de dados'!$D$31*('previsão de vendas'!Y17+'previsão de vendas'!AF17)</f>
        <v>2248500</v>
      </c>
      <c r="Q15" s="190">
        <f>'base de dados'!$D$32*('previsão de vendas'!Z17+'previsão de vendas'!AG17)</f>
        <v>1998000</v>
      </c>
      <c r="R15" s="190">
        <f>'base de dados'!$D$33*('previsão de vendas'!AA17+'previsão de vendas'!AH17)</f>
        <v>898500</v>
      </c>
    </row>
    <row r="16" spans="2:30" ht="16.5">
      <c r="B16" s="68" t="s">
        <v>157</v>
      </c>
      <c r="C16" s="190">
        <f>'base de dados'!$D$30*('previsão de vendas'!C18+'previsão de vendas'!J18)</f>
        <v>3298500</v>
      </c>
      <c r="D16" s="190">
        <f>'base de dados'!$D$31*('previsão de vendas'!D18+'previsão de vendas'!K18)</f>
        <v>3747500</v>
      </c>
      <c r="E16" s="190">
        <f>'base de dados'!$D$32*('previsão de vendas'!E18+'previsão de vendas'!L18)</f>
        <v>2497500</v>
      </c>
      <c r="F16" s="190">
        <f>'base de dados'!$D$33*('previsão de vendas'!F18+'previsão de vendas'!M18)</f>
        <v>599000</v>
      </c>
      <c r="H16" s="68" t="s">
        <v>157</v>
      </c>
      <c r="I16" s="190">
        <f>'base de dados'!$D$30*('previsão de vendas'!Q18)</f>
        <v>1099500</v>
      </c>
      <c r="J16" s="190">
        <f>'base de dados'!$D$31*('previsão de vendas'!R18)</f>
        <v>749500</v>
      </c>
      <c r="K16" s="190">
        <f>'base de dados'!$D$32*('previsão de vendas'!S18)</f>
        <v>999000</v>
      </c>
      <c r="L16" s="190">
        <f>'base de dados'!$D$33*('previsão de vendas'!T18)</f>
        <v>599000</v>
      </c>
      <c r="N16" s="68" t="s">
        <v>157</v>
      </c>
      <c r="O16" s="190">
        <f>'base de dados'!$D$30*('previsão de vendas'!X18+'previsão de vendas'!AE18)</f>
        <v>0</v>
      </c>
      <c r="P16" s="190">
        <f>'base de dados'!$D$31*('previsão de vendas'!Y18+'previsão de vendas'!AF18)</f>
        <v>749500</v>
      </c>
      <c r="Q16" s="190">
        <f>'base de dados'!$D$32*('previsão de vendas'!Z18+'previsão de vendas'!AG18)</f>
        <v>999000</v>
      </c>
      <c r="R16" s="190">
        <f>'base de dados'!$D$33*('previsão de vendas'!AA18+'previsão de vendas'!AH18)</f>
        <v>299500</v>
      </c>
    </row>
    <row r="17" spans="2:18" ht="16.5">
      <c r="B17" s="67" t="s">
        <v>158</v>
      </c>
      <c r="C17" s="190">
        <f>'base de dados'!$D$30*('previsão de vendas'!C19+'previsão de vendas'!J19)</f>
        <v>16492500</v>
      </c>
      <c r="D17" s="190">
        <f>'base de dados'!$D$31*('previsão de vendas'!D19+'previsão de vendas'!K19)</f>
        <v>21735500</v>
      </c>
      <c r="E17" s="190">
        <f>'base de dados'!$D$32*('previsão de vendas'!E19+'previsão de vendas'!L19)</f>
        <v>12987000</v>
      </c>
      <c r="F17" s="190">
        <f>'base de dados'!$D$33*('previsão de vendas'!F19+'previsão de vendas'!M19)</f>
        <v>2995000</v>
      </c>
      <c r="H17" s="67" t="s">
        <v>158</v>
      </c>
      <c r="I17" s="190">
        <f>'base de dados'!$D$30*('previsão de vendas'!Q19)</f>
        <v>3298500</v>
      </c>
      <c r="J17" s="190">
        <f>'base de dados'!$D$31*('previsão de vendas'!R19)</f>
        <v>4497000</v>
      </c>
      <c r="K17" s="190">
        <f>'base de dados'!$D$32*('previsão de vendas'!S19)</f>
        <v>4995000</v>
      </c>
      <c r="L17" s="190">
        <f>'base de dados'!$D$33*('previsão de vendas'!T19)</f>
        <v>3294500</v>
      </c>
      <c r="N17" s="67" t="s">
        <v>158</v>
      </c>
      <c r="O17" s="190">
        <f>'base de dados'!$D$30*('previsão de vendas'!X19+'previsão de vendas'!AE19)</f>
        <v>3298500</v>
      </c>
      <c r="P17" s="190">
        <f>'base de dados'!$D$31*('previsão de vendas'!Y19+'previsão de vendas'!AF19)</f>
        <v>4497000</v>
      </c>
      <c r="Q17" s="190">
        <f>'base de dados'!$D$32*('previsão de vendas'!Z19+'previsão de vendas'!AG19)</f>
        <v>3496500</v>
      </c>
      <c r="R17" s="190">
        <f>'base de dados'!$D$33*('previsão de vendas'!AA19+'previsão de vendas'!AH19)</f>
        <v>1497500</v>
      </c>
    </row>
    <row r="18" spans="2:18" ht="16.5">
      <c r="B18" s="67" t="s">
        <v>159</v>
      </c>
      <c r="C18" s="190">
        <f>'base de dados'!$D$30*('previsão de vendas'!C20+'previsão de vendas'!J20)</f>
        <v>4398000</v>
      </c>
      <c r="D18" s="190">
        <f>'base de dados'!$D$31*('previsão de vendas'!D20+'previsão de vendas'!K20)</f>
        <v>5246500</v>
      </c>
      <c r="E18" s="190">
        <f>'base de dados'!$D$32*('previsão de vendas'!E20+'previsão de vendas'!L20)</f>
        <v>3496500</v>
      </c>
      <c r="F18" s="190">
        <f>'base de dados'!$D$33*('previsão de vendas'!F20+'previsão de vendas'!M20)</f>
        <v>898500</v>
      </c>
      <c r="H18" s="67" t="s">
        <v>159</v>
      </c>
      <c r="I18" s="190">
        <f>'base de dados'!$D$30*('previsão de vendas'!Q20)</f>
        <v>1099500</v>
      </c>
      <c r="J18" s="190">
        <f>'base de dados'!$D$31*('previsão de vendas'!R20)</f>
        <v>749500</v>
      </c>
      <c r="K18" s="190">
        <f>'base de dados'!$D$32*('previsão de vendas'!S20)</f>
        <v>1498500</v>
      </c>
      <c r="L18" s="190">
        <f>'base de dados'!$D$33*('previsão de vendas'!T20)</f>
        <v>898500</v>
      </c>
      <c r="N18" s="67" t="s">
        <v>159</v>
      </c>
      <c r="O18" s="190">
        <f>'base de dados'!$D$30*('previsão de vendas'!X20+'previsão de vendas'!AE20)</f>
        <v>1099500</v>
      </c>
      <c r="P18" s="190">
        <f>'base de dados'!$D$31*('previsão de vendas'!Y20+'previsão de vendas'!AF20)</f>
        <v>749500</v>
      </c>
      <c r="Q18" s="190">
        <f>'base de dados'!$D$32*('previsão de vendas'!Z20+'previsão de vendas'!AG20)</f>
        <v>999000</v>
      </c>
      <c r="R18" s="190">
        <f>'base de dados'!$D$33*('previsão de vendas'!AA20+'previsão de vendas'!AH20)</f>
        <v>299500</v>
      </c>
    </row>
    <row r="19" spans="2:18" ht="16.5">
      <c r="B19" s="67" t="s">
        <v>160</v>
      </c>
      <c r="C19" s="190">
        <f>'base de dados'!$D$30*('previsão de vendas'!C21+'previsão de vendas'!J21)</f>
        <v>18691500</v>
      </c>
      <c r="D19" s="190">
        <f>'base de dados'!$D$31*('previsão de vendas'!D21+'previsão de vendas'!K21)</f>
        <v>24733500</v>
      </c>
      <c r="E19" s="190">
        <f>'base de dados'!$D$32*('previsão de vendas'!E21+'previsão de vendas'!L21)</f>
        <v>14985000</v>
      </c>
      <c r="F19" s="190">
        <f>'base de dados'!$D$33*('previsão de vendas'!F21+'previsão de vendas'!M21)</f>
        <v>3294500</v>
      </c>
      <c r="H19" s="67" t="s">
        <v>160</v>
      </c>
      <c r="I19" s="190">
        <f>'base de dados'!$D$30*('previsão de vendas'!Q21)</f>
        <v>3298500</v>
      </c>
      <c r="J19" s="190">
        <f>'base de dados'!$D$31*('previsão de vendas'!R21)</f>
        <v>5246500</v>
      </c>
      <c r="K19" s="190">
        <f>'base de dados'!$D$32*('previsão de vendas'!S21)</f>
        <v>5994000</v>
      </c>
      <c r="L19" s="190">
        <f>'base de dados'!$D$33*('previsão de vendas'!T21)</f>
        <v>3893500</v>
      </c>
      <c r="N19" s="67" t="s">
        <v>160</v>
      </c>
      <c r="O19" s="190">
        <f>'base de dados'!$D$30*('previsão de vendas'!X21+'previsão de vendas'!AE21)</f>
        <v>3298500</v>
      </c>
      <c r="P19" s="190">
        <f>'base de dados'!$D$31*('previsão de vendas'!Y21+'previsão de vendas'!AF21)</f>
        <v>4497000</v>
      </c>
      <c r="Q19" s="190">
        <f>'base de dados'!$D$32*('previsão de vendas'!Z21+'previsão de vendas'!AG21)</f>
        <v>3996000</v>
      </c>
      <c r="R19" s="190">
        <f>'base de dados'!$D$33*('previsão de vendas'!AA21+'previsão de vendas'!AH21)</f>
        <v>1797000</v>
      </c>
    </row>
    <row r="20" spans="2:18" s="212" customFormat="1">
      <c r="B20" s="311" t="s">
        <v>178</v>
      </c>
      <c r="C20" s="190">
        <f>SUM(C8:C19)</f>
        <v>119845500</v>
      </c>
      <c r="D20" s="190">
        <f t="shared" ref="D20:F20" si="0">SUM(D8:D19)</f>
        <v>152898000</v>
      </c>
      <c r="E20" s="190">
        <f t="shared" si="0"/>
        <v>92907000</v>
      </c>
      <c r="F20" s="190">
        <f t="shared" si="0"/>
        <v>20965000</v>
      </c>
      <c r="H20" s="311" t="s">
        <v>178</v>
      </c>
      <c r="I20" s="190">
        <f>SUM(I8:I19)</f>
        <v>24189000</v>
      </c>
      <c r="J20" s="190">
        <f t="shared" ref="J20:L20" si="1">SUM(J8:J19)</f>
        <v>30729500</v>
      </c>
      <c r="K20" s="190">
        <f t="shared" si="1"/>
        <v>36463500</v>
      </c>
      <c r="L20" s="190">
        <f t="shared" si="1"/>
        <v>24559000</v>
      </c>
      <c r="N20" s="311" t="s">
        <v>178</v>
      </c>
      <c r="O20" s="190">
        <f>SUM(O8:O19)</f>
        <v>21990000</v>
      </c>
      <c r="P20" s="190">
        <f t="shared" ref="P20:R20" si="2">SUM(P8:P19)</f>
        <v>29980000</v>
      </c>
      <c r="Q20" s="190">
        <f t="shared" si="2"/>
        <v>24975000</v>
      </c>
      <c r="R20" s="190">
        <f t="shared" si="2"/>
        <v>10183000</v>
      </c>
    </row>
  </sheetData>
  <mergeCells count="1">
    <mergeCell ref="D4:P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5755-AF51-423D-A9DF-B81C83649383}">
  <dimension ref="B1:T49"/>
  <sheetViews>
    <sheetView workbookViewId="0">
      <selection activeCell="C3" sqref="C3"/>
    </sheetView>
  </sheetViews>
  <sheetFormatPr defaultRowHeight="15"/>
  <cols>
    <col min="2" max="2" width="13.42578125" bestFit="1" customWidth="1"/>
    <col min="3" max="3" width="37.85546875" bestFit="1" customWidth="1"/>
    <col min="4" max="4" width="17.85546875" customWidth="1"/>
    <col min="5" max="7" width="40.5703125" bestFit="1" customWidth="1"/>
    <col min="8" max="8" width="39.42578125" bestFit="1" customWidth="1"/>
    <col min="9" max="9" width="34" bestFit="1" customWidth="1"/>
    <col min="10" max="13" width="35.7109375" bestFit="1" customWidth="1"/>
    <col min="14" max="14" width="16.7109375" customWidth="1"/>
    <col min="15" max="16" width="35.7109375" bestFit="1" customWidth="1"/>
    <col min="17" max="17" width="37.5703125" bestFit="1" customWidth="1"/>
    <col min="18" max="18" width="35.7109375" bestFit="1" customWidth="1"/>
    <col min="19" max="19" width="39.42578125" bestFit="1" customWidth="1"/>
    <col min="20" max="20" width="19.85546875" bestFit="1" customWidth="1"/>
  </cols>
  <sheetData>
    <row r="1" spans="2:20" ht="18.75">
      <c r="E1" s="431" t="s">
        <v>207</v>
      </c>
      <c r="F1" s="432"/>
      <c r="G1" s="432"/>
      <c r="H1" s="432"/>
      <c r="I1" s="433" t="s">
        <v>208</v>
      </c>
      <c r="J1" s="433"/>
      <c r="K1" s="436"/>
      <c r="L1" s="433" t="s">
        <v>209</v>
      </c>
      <c r="M1" s="433"/>
      <c r="N1" s="433"/>
      <c r="O1" s="432" t="s">
        <v>21</v>
      </c>
      <c r="P1" s="432"/>
      <c r="Q1" s="435"/>
    </row>
    <row r="2" spans="2:20" ht="40.5" customHeight="1">
      <c r="B2" s="56" t="s">
        <v>210</v>
      </c>
      <c r="C2" s="232" t="s">
        <v>211</v>
      </c>
      <c r="D2" s="233" t="s">
        <v>212</v>
      </c>
      <c r="E2" s="236" t="s">
        <v>98</v>
      </c>
      <c r="F2" s="236" t="s">
        <v>99</v>
      </c>
      <c r="G2" s="236" t="s">
        <v>100</v>
      </c>
      <c r="H2" s="236" t="s">
        <v>101</v>
      </c>
      <c r="I2" s="240" t="s">
        <v>22</v>
      </c>
      <c r="J2" s="241" t="s">
        <v>23</v>
      </c>
      <c r="K2" s="241" t="s">
        <v>24</v>
      </c>
      <c r="L2" s="240" t="s">
        <v>22</v>
      </c>
      <c r="M2" s="241" t="s">
        <v>23</v>
      </c>
      <c r="N2" s="241" t="s">
        <v>24</v>
      </c>
      <c r="O2" s="220" t="s">
        <v>22</v>
      </c>
      <c r="P2" s="221" t="s">
        <v>23</v>
      </c>
      <c r="Q2" s="221" t="s">
        <v>24</v>
      </c>
      <c r="R2" s="234" t="s">
        <v>213</v>
      </c>
      <c r="S2" s="234" t="s">
        <v>214</v>
      </c>
      <c r="T2" s="207" t="s">
        <v>131</v>
      </c>
    </row>
    <row r="3" spans="2:20" ht="16.5">
      <c r="B3" s="235" t="s">
        <v>149</v>
      </c>
      <c r="C3" s="222">
        <f>'base de dados'!C8</f>
        <v>150000000</v>
      </c>
      <c r="D3" s="222">
        <f>armazem!V6+armazem!K6</f>
        <v>1078874</v>
      </c>
      <c r="E3" s="222">
        <f>'Compra dos telefones'!C$16</f>
        <v>309087100</v>
      </c>
      <c r="F3" s="222">
        <f>'Compra dos telefones'!D$16</f>
        <v>178882080</v>
      </c>
      <c r="G3" s="222">
        <f>'Compra dos telefones'!E$16</f>
        <v>42337680</v>
      </c>
      <c r="H3" s="222">
        <f>'Compra dos telefones'!F$16</f>
        <v>5363800</v>
      </c>
      <c r="I3" s="190">
        <f>'Custo de equipe'!C13+'Custo de equipe'!H13</f>
        <v>60000</v>
      </c>
      <c r="J3" s="190">
        <f>'Custo de equipe'!D13+'Custo de equipe'!I13</f>
        <v>112000</v>
      </c>
      <c r="K3" s="190">
        <f>'Custo de equipe'!E13+'Custo de equipe'!J13</f>
        <v>418000</v>
      </c>
      <c r="L3" s="190">
        <f>'Custo de equipe'!C31</f>
        <v>80000</v>
      </c>
      <c r="M3" s="190">
        <f>'Custo de equipe'!D31</f>
        <v>180000</v>
      </c>
      <c r="N3" s="190">
        <f>'Custo de equipe'!E31</f>
        <v>600000</v>
      </c>
      <c r="O3" s="224">
        <f>'Custo de equipe'!C48</f>
        <v>68500</v>
      </c>
      <c r="P3" s="224">
        <f>'Custo de equipe'!D48</f>
        <v>157000</v>
      </c>
      <c r="Q3" s="224">
        <f>'Custo de equipe'!E48</f>
        <v>495000</v>
      </c>
      <c r="R3" s="222">
        <f>'Custo de infraestrutura'!C5+'Custo de infraestrutura'!H5</f>
        <v>1650000</v>
      </c>
      <c r="S3" s="222">
        <f>'Custo de infraestrutura'!D5+'Custo de infraestrutura'!I5</f>
        <v>133136000</v>
      </c>
      <c r="T3" s="224">
        <f>SUM(C3:S3)</f>
        <v>823706034</v>
      </c>
    </row>
    <row r="4" spans="2:20" ht="16.5">
      <c r="B4" s="235" t="s">
        <v>150</v>
      </c>
      <c r="C4" s="222">
        <v>0</v>
      </c>
      <c r="D4" s="222">
        <f>armazem!V7+armazem!K7</f>
        <v>1625977</v>
      </c>
      <c r="E4" s="222">
        <f>'Compra dos telefones'!C17</f>
        <v>397397700</v>
      </c>
      <c r="F4" s="222">
        <f>'Compra dos telefones'!D17</f>
        <v>253416280</v>
      </c>
      <c r="G4" s="222">
        <f>'Compra dos telefones'!E17</f>
        <v>57733200</v>
      </c>
      <c r="H4" s="222">
        <f>'Compra dos telefones'!F17</f>
        <v>8045700</v>
      </c>
      <c r="I4" s="190">
        <f>'Custo de equipe'!C14+'Custo de equipe'!H14</f>
        <v>30000</v>
      </c>
      <c r="J4" s="190">
        <f>'Custo de equipe'!D14+'Custo de equipe'!I14</f>
        <v>48000</v>
      </c>
      <c r="K4" s="190">
        <f>'Custo de equipe'!E14+'Custo de equipe'!J14</f>
        <v>684000</v>
      </c>
      <c r="L4" s="190">
        <f>'Custo de equipe'!C32</f>
        <v>80000</v>
      </c>
      <c r="M4" s="190">
        <f>'Custo de equipe'!D32</f>
        <v>90000</v>
      </c>
      <c r="N4" s="190">
        <f>'Custo de equipe'!E32</f>
        <v>900000</v>
      </c>
      <c r="O4" s="224">
        <f>'Custo de equipe'!C49</f>
        <v>137000</v>
      </c>
      <c r="P4" s="224">
        <f>'Custo de equipe'!D49</f>
        <v>235500</v>
      </c>
      <c r="Q4" s="224">
        <f>'Custo de equipe'!E49</f>
        <v>1237500</v>
      </c>
      <c r="R4" s="222">
        <f>'Custo de infraestrutura'!C6+'Custo de infraestrutura'!H6</f>
        <v>2250000</v>
      </c>
      <c r="S4" s="222">
        <f>'Custo de infraestrutura'!D6+'Custo de infraestrutura'!I6</f>
        <v>362984000</v>
      </c>
      <c r="T4" s="224">
        <f>SUM(C4:S4)</f>
        <v>1086894857</v>
      </c>
    </row>
    <row r="5" spans="2:20" ht="16.5">
      <c r="B5" s="235" t="s">
        <v>151</v>
      </c>
      <c r="C5" s="222">
        <v>0</v>
      </c>
      <c r="D5" s="222">
        <f>armazem!V8+armazem!K8</f>
        <v>539437</v>
      </c>
      <c r="E5" s="222">
        <f>'Compra dos telefones'!C18</f>
        <v>44155300</v>
      </c>
      <c r="F5" s="222">
        <f>'Compra dos telefones'!D18</f>
        <v>14906840</v>
      </c>
      <c r="G5" s="222">
        <f>'Compra dos telefones'!E18</f>
        <v>3848880</v>
      </c>
      <c r="H5" s="222">
        <f>'Compra dos telefones'!F18</f>
        <v>0</v>
      </c>
      <c r="I5" s="190">
        <f>'Custo de equipe'!C15+'Custo de equipe'!H15</f>
        <v>0</v>
      </c>
      <c r="J5" s="190">
        <f>'Custo de equipe'!D15+'Custo de equipe'!I15</f>
        <v>0</v>
      </c>
      <c r="K5" s="190">
        <f>'Custo de equipe'!E15+'Custo de equipe'!J15</f>
        <v>0</v>
      </c>
      <c r="L5" s="190">
        <f>'Custo de equipe'!C33</f>
        <v>0</v>
      </c>
      <c r="M5" s="190">
        <f>'Custo de equipe'!D33</f>
        <v>0</v>
      </c>
      <c r="N5" s="190">
        <f>'Custo de equipe'!E33</f>
        <v>0</v>
      </c>
      <c r="O5" s="224">
        <f>'Custo de equipe'!C50</f>
        <v>68500</v>
      </c>
      <c r="P5" s="224">
        <f>'Custo de equipe'!D50</f>
        <v>78500</v>
      </c>
      <c r="Q5" s="224">
        <f>'Custo de equipe'!E50</f>
        <v>0</v>
      </c>
      <c r="R5" s="222">
        <f>'Custo de infraestrutura'!C7+'Custo de infraestrutura'!H7</f>
        <v>450000</v>
      </c>
      <c r="S5" s="222">
        <f>'Custo de infraestrutura'!D7+'Custo de infraestrutura'!I7</f>
        <v>21352000</v>
      </c>
      <c r="T5" s="224">
        <f>SUM(C5:S5)</f>
        <v>85399457</v>
      </c>
    </row>
    <row r="6" spans="2:20" ht="16.5">
      <c r="B6" s="235" t="s">
        <v>152</v>
      </c>
      <c r="C6" s="222">
        <v>0</v>
      </c>
      <c r="D6" s="222">
        <f>armazem!V9+armazem!K9</f>
        <v>1625977</v>
      </c>
      <c r="E6" s="222">
        <f>'Compra dos telefones'!C19</f>
        <v>574018900</v>
      </c>
      <c r="F6" s="222">
        <f>'Compra dos telefones'!D19</f>
        <v>372671000</v>
      </c>
      <c r="G6" s="222">
        <f>'Compra dos telefones'!E19</f>
        <v>88524240</v>
      </c>
      <c r="H6" s="222">
        <f>'Compra dos telefones'!F19</f>
        <v>10727600</v>
      </c>
      <c r="I6" s="190">
        <f>'Custo de equipe'!C16+'Custo de equipe'!H16</f>
        <v>90000</v>
      </c>
      <c r="J6" s="190">
        <f>'Custo de equipe'!D16+'Custo de equipe'!I16</f>
        <v>208000</v>
      </c>
      <c r="K6" s="190">
        <f>'Custo de equipe'!E16+'Custo de equipe'!J16</f>
        <v>1539000</v>
      </c>
      <c r="L6" s="190">
        <f>'Custo de equipe'!C34</f>
        <v>80000</v>
      </c>
      <c r="M6" s="190">
        <f>'Custo de equipe'!D34</f>
        <v>270000</v>
      </c>
      <c r="N6" s="190">
        <f>'Custo de equipe'!E34</f>
        <v>2100000</v>
      </c>
      <c r="O6" s="224">
        <f>'Custo de equipe'!C51</f>
        <v>137000</v>
      </c>
      <c r="P6" s="224">
        <f>'Custo de equipe'!D51</f>
        <v>314000</v>
      </c>
      <c r="Q6" s="224">
        <f>'Custo de equipe'!E51</f>
        <v>1732500</v>
      </c>
      <c r="R6" s="222">
        <f>'Custo de infraestrutura'!C8+'Custo de infraestrutura'!H8</f>
        <v>3300000</v>
      </c>
      <c r="S6" s="222">
        <f>'Custo de infraestrutura'!D8+'Custo de infraestrutura'!I8</f>
        <v>526264000</v>
      </c>
      <c r="T6" s="224">
        <f>SUM(C6:S6)</f>
        <v>1583602217</v>
      </c>
    </row>
    <row r="7" spans="2:20" ht="16.5">
      <c r="B7" s="235" t="s">
        <v>153</v>
      </c>
      <c r="C7" s="222">
        <v>0</v>
      </c>
      <c r="D7" s="222">
        <f>armazem!V10+armazem!K10</f>
        <v>1078874</v>
      </c>
      <c r="E7" s="222">
        <f>'Compra dos telefones'!C20</f>
        <v>309087100</v>
      </c>
      <c r="F7" s="222">
        <f>'Compra dos telefones'!D20</f>
        <v>178882080</v>
      </c>
      <c r="G7" s="222">
        <f>'Compra dos telefones'!E20</f>
        <v>42337680</v>
      </c>
      <c r="H7" s="222">
        <f>'Compra dos telefones'!F20</f>
        <v>5363800</v>
      </c>
      <c r="I7" s="190">
        <f>'Custo de equipe'!C17+'Custo de equipe'!H17</f>
        <v>0</v>
      </c>
      <c r="J7" s="190">
        <f>'Custo de equipe'!D17+'Custo de equipe'!I17</f>
        <v>0</v>
      </c>
      <c r="K7" s="190">
        <f>'Custo de equipe'!E17+'Custo de equipe'!J17</f>
        <v>0</v>
      </c>
      <c r="L7" s="190">
        <f>'Custo de equipe'!C35</f>
        <v>0</v>
      </c>
      <c r="M7" s="190">
        <f>'Custo de equipe'!D35</f>
        <v>0</v>
      </c>
      <c r="N7" s="190">
        <f>'Custo de equipe'!E35</f>
        <v>0</v>
      </c>
      <c r="O7" s="224">
        <f>'Custo de equipe'!C52</f>
        <v>68500</v>
      </c>
      <c r="P7" s="224">
        <f>'Custo de equipe'!D52</f>
        <v>157000</v>
      </c>
      <c r="Q7" s="224">
        <f>'Custo de equipe'!E52</f>
        <v>907500</v>
      </c>
      <c r="R7" s="222">
        <f>'Custo de infraestrutura'!C9+'Custo de infraestrutura'!H9</f>
        <v>1650000</v>
      </c>
      <c r="S7" s="222">
        <f>'Custo de infraestrutura'!D9+'Custo de infraestrutura'!I9</f>
        <v>259992000</v>
      </c>
      <c r="T7" s="224">
        <f>SUM(C7:S7)</f>
        <v>799524534</v>
      </c>
    </row>
    <row r="8" spans="2:20" ht="16.5">
      <c r="B8" s="235" t="s">
        <v>154</v>
      </c>
      <c r="C8" s="222">
        <v>0</v>
      </c>
      <c r="D8" s="222">
        <f>armazem!V11+armazem!K11</f>
        <v>1625977</v>
      </c>
      <c r="E8" s="222">
        <f>'Compra dos telefones'!C21</f>
        <v>485708300</v>
      </c>
      <c r="F8" s="222">
        <f>'Compra dos telefones'!D21</f>
        <v>298136800</v>
      </c>
      <c r="G8" s="222">
        <f>'Compra dos telefones'!E21</f>
        <v>69279840</v>
      </c>
      <c r="H8" s="222">
        <f>'Compra dos telefones'!F21</f>
        <v>9386650</v>
      </c>
      <c r="I8" s="190">
        <f>'Custo de equipe'!C18+'Custo de equipe'!H18</f>
        <v>45000</v>
      </c>
      <c r="J8" s="190">
        <f>'Custo de equipe'!D18+'Custo de equipe'!I18</f>
        <v>80000</v>
      </c>
      <c r="K8" s="190">
        <f>'Custo de equipe'!E18+'Custo de equipe'!J18</f>
        <v>494000</v>
      </c>
      <c r="L8" s="190">
        <f>'Custo de equipe'!C36</f>
        <v>80000</v>
      </c>
      <c r="M8" s="190">
        <f>'Custo de equipe'!D36</f>
        <v>90000</v>
      </c>
      <c r="N8" s="190">
        <f>'Custo de equipe'!E36</f>
        <v>700000</v>
      </c>
      <c r="O8" s="224">
        <f>'Custo de equipe'!C53</f>
        <v>137000</v>
      </c>
      <c r="P8" s="224">
        <f>'Custo de equipe'!D53</f>
        <v>235500</v>
      </c>
      <c r="Q8" s="224">
        <f>'Custo de equipe'!E53</f>
        <v>1485000</v>
      </c>
      <c r="R8" s="222">
        <f>'Custo de infraestrutura'!C10+'Custo de infraestrutura'!H10</f>
        <v>2700000</v>
      </c>
      <c r="S8" s="222">
        <f>'Custo de infraestrutura'!D10+'Custo de infraestrutura'!I10</f>
        <v>425784000</v>
      </c>
      <c r="T8" s="224">
        <f>SUM(C8:S8)</f>
        <v>1295968067</v>
      </c>
    </row>
    <row r="9" spans="2:20" ht="16.5">
      <c r="B9" s="235" t="s">
        <v>155</v>
      </c>
      <c r="C9" s="222">
        <v>0</v>
      </c>
      <c r="D9" s="222">
        <f>armazem!V12+armazem!K12</f>
        <v>1625977</v>
      </c>
      <c r="E9" s="222">
        <f>'Compra dos telefones'!C22</f>
        <v>574018900</v>
      </c>
      <c r="F9" s="222">
        <f>'Compra dos telefones'!D22</f>
        <v>372671000</v>
      </c>
      <c r="G9" s="222">
        <f>'Compra dos telefones'!E22</f>
        <v>88524240</v>
      </c>
      <c r="H9" s="222">
        <f>'Compra dos telefones'!F22</f>
        <v>10727600</v>
      </c>
      <c r="I9" s="190">
        <f>'Custo de equipe'!C19+'Custo de equipe'!H19</f>
        <v>15000</v>
      </c>
      <c r="J9" s="190">
        <f>'Custo de equipe'!D19+'Custo de equipe'!I19</f>
        <v>48000</v>
      </c>
      <c r="K9" s="190">
        <f>'Custo de equipe'!E19+'Custo de equipe'!J19</f>
        <v>323000</v>
      </c>
      <c r="L9" s="190">
        <f>'Custo de equipe'!C37</f>
        <v>0</v>
      </c>
      <c r="M9" s="190">
        <f>'Custo de equipe'!D37</f>
        <v>90000</v>
      </c>
      <c r="N9" s="190">
        <f>'Custo de equipe'!E37</f>
        <v>300000</v>
      </c>
      <c r="O9" s="224">
        <f>'Custo de equipe'!C54</f>
        <v>137000</v>
      </c>
      <c r="P9" s="224">
        <f>'Custo de equipe'!D54</f>
        <v>314000</v>
      </c>
      <c r="Q9" s="224">
        <f>'Custo de equipe'!E54</f>
        <v>1732500</v>
      </c>
      <c r="R9" s="222">
        <f>'Custo de infraestrutura'!C11+'Custo de infraestrutura'!H11</f>
        <v>3300000</v>
      </c>
      <c r="S9" s="222">
        <f>'Custo de infraestrutura'!D11+'Custo de infraestrutura'!I11</f>
        <v>528776000</v>
      </c>
      <c r="T9" s="224">
        <f>SUM(C9:S9)</f>
        <v>1582603217</v>
      </c>
    </row>
    <row r="10" spans="2:20" ht="16.5">
      <c r="B10" s="235" t="s">
        <v>156</v>
      </c>
      <c r="C10" s="222">
        <v>0</v>
      </c>
      <c r="D10" s="222">
        <f>armazem!V13+armazem!K13</f>
        <v>1625977</v>
      </c>
      <c r="E10" s="222">
        <f>'Compra dos telefones'!C23</f>
        <v>397397700</v>
      </c>
      <c r="F10" s="222">
        <f>'Compra dos telefones'!D23</f>
        <v>268323120</v>
      </c>
      <c r="G10" s="222">
        <f>'Compra dos telefones'!E23</f>
        <v>61582080</v>
      </c>
      <c r="H10" s="222">
        <f>'Compra dos telefones'!F23</f>
        <v>9386650</v>
      </c>
      <c r="I10" s="190">
        <f>'Custo de equipe'!C20+'Custo de equipe'!H20</f>
        <v>0</v>
      </c>
      <c r="J10" s="190">
        <f>'Custo de equipe'!D20+'Custo de equipe'!I20</f>
        <v>0</v>
      </c>
      <c r="K10" s="190">
        <f>'Custo de equipe'!E20+'Custo de equipe'!J20</f>
        <v>0</v>
      </c>
      <c r="L10" s="190">
        <f>'Custo de equipe'!C38</f>
        <v>0</v>
      </c>
      <c r="M10" s="190">
        <f>'Custo de equipe'!D38</f>
        <v>0</v>
      </c>
      <c r="N10" s="190">
        <f>'Custo de equipe'!E38</f>
        <v>0</v>
      </c>
      <c r="O10" s="224">
        <f>'Custo de equipe'!C55</f>
        <v>137000</v>
      </c>
      <c r="P10" s="224">
        <f>'Custo de equipe'!D55</f>
        <v>235500</v>
      </c>
      <c r="Q10" s="224">
        <f>'Custo de equipe'!E55</f>
        <v>1320000</v>
      </c>
      <c r="R10" s="222">
        <f>'Custo de infraestrutura'!C12+'Custo de infraestrutura'!H12</f>
        <v>2250000</v>
      </c>
      <c r="S10" s="222">
        <f>'Custo de infraestrutura'!D12+'Custo de infraestrutura'!I12</f>
        <v>381824000</v>
      </c>
      <c r="T10" s="224">
        <f>SUM(C10:S10)</f>
        <v>1124082027</v>
      </c>
    </row>
    <row r="11" spans="2:20" ht="16.5">
      <c r="B11" s="235" t="s">
        <v>157</v>
      </c>
      <c r="C11" s="222">
        <v>0</v>
      </c>
      <c r="D11" s="222">
        <f>armazem!V14+armazem!K14</f>
        <v>1078874</v>
      </c>
      <c r="E11" s="222">
        <f>'Compra dos telefones'!C24</f>
        <v>132465900</v>
      </c>
      <c r="F11" s="222">
        <f>'Compra dos telefones'!D24</f>
        <v>74534200</v>
      </c>
      <c r="G11" s="222">
        <f>'Compra dos telefones'!E24</f>
        <v>19244400</v>
      </c>
      <c r="H11" s="222">
        <f>'Compra dos telefones'!F24</f>
        <v>2681900</v>
      </c>
      <c r="I11" s="190">
        <f>'Custo de equipe'!C21+'Custo de equipe'!H21</f>
        <v>0</v>
      </c>
      <c r="J11" s="190">
        <f>'Custo de equipe'!D21+'Custo de equipe'!I21</f>
        <v>0</v>
      </c>
      <c r="K11" s="190">
        <f>'Custo de equipe'!E21+'Custo de equipe'!J21</f>
        <v>0</v>
      </c>
      <c r="L11" s="190">
        <f>'Custo de equipe'!C39</f>
        <v>0</v>
      </c>
      <c r="M11" s="190">
        <f>'Custo de equipe'!D39</f>
        <v>0</v>
      </c>
      <c r="N11" s="190">
        <f>'Custo de equipe'!E39</f>
        <v>0</v>
      </c>
      <c r="O11" s="224">
        <f>'Custo de equipe'!C56</f>
        <v>68500</v>
      </c>
      <c r="P11" s="224">
        <f>'Custo de equipe'!D56</f>
        <v>78500</v>
      </c>
      <c r="Q11" s="224">
        <f>'Custo de equipe'!E56</f>
        <v>412500</v>
      </c>
      <c r="R11" s="222">
        <f>'Custo de infraestrutura'!C13+'Custo de infraestrutura'!H13</f>
        <v>900000</v>
      </c>
      <c r="S11" s="222">
        <f>'Custo de infraestrutura'!D13+'Custo de infraestrutura'!I13</f>
        <v>116808000</v>
      </c>
      <c r="T11" s="224">
        <f>SUM(C11:S11)</f>
        <v>348272774</v>
      </c>
    </row>
    <row r="12" spans="2:20" ht="16.5">
      <c r="B12" s="235" t="s">
        <v>158</v>
      </c>
      <c r="C12" s="222">
        <v>0</v>
      </c>
      <c r="D12" s="222">
        <f>armazem!V15+armazem!K15</f>
        <v>1625977</v>
      </c>
      <c r="E12" s="222">
        <f>'Compra dos telefones'!C25</f>
        <v>662329500</v>
      </c>
      <c r="F12" s="222">
        <f>'Compra dos telefones'!D25</f>
        <v>432298360</v>
      </c>
      <c r="G12" s="222">
        <f>'Compra dos telefones'!E25</f>
        <v>100070880</v>
      </c>
      <c r="H12" s="222">
        <f>'Compra dos telefones'!F25</f>
        <v>13409500</v>
      </c>
      <c r="I12" s="190">
        <f>'Custo de equipe'!C22+'Custo de equipe'!H22</f>
        <v>90000</v>
      </c>
      <c r="J12" s="190">
        <f>'Custo de equipe'!D22+'Custo de equipe'!I22</f>
        <v>208000</v>
      </c>
      <c r="K12" s="190">
        <f>'Custo de equipe'!E22+'Custo de equipe'!J22</f>
        <v>1520000</v>
      </c>
      <c r="L12" s="190">
        <f>'Custo de equipe'!C40</f>
        <v>160000</v>
      </c>
      <c r="M12" s="190">
        <f>'Custo de equipe'!D40</f>
        <v>360000</v>
      </c>
      <c r="N12" s="190">
        <f>'Custo de equipe'!E40</f>
        <v>2100000</v>
      </c>
      <c r="O12" s="224">
        <f>'Custo de equipe'!C57</f>
        <v>205500</v>
      </c>
      <c r="P12" s="224">
        <f>'Custo de equipe'!D57</f>
        <v>392500</v>
      </c>
      <c r="Q12" s="224">
        <f>'Custo de equipe'!E57</f>
        <v>2145000</v>
      </c>
      <c r="R12" s="222">
        <f>'Custo de infraestrutura'!C14+'Custo de infraestrutura'!H14</f>
        <v>3750000</v>
      </c>
      <c r="S12" s="222">
        <f>'Custo de infraestrutura'!D14+'Custo de infraestrutura'!I14</f>
        <v>621720000</v>
      </c>
      <c r="T12" s="224">
        <f>SUM(C12:S12)</f>
        <v>1842385217</v>
      </c>
    </row>
    <row r="13" spans="2:20" ht="16.5">
      <c r="B13" s="235" t="s">
        <v>159</v>
      </c>
      <c r="C13" s="222">
        <v>0</v>
      </c>
      <c r="D13" s="222">
        <f>armazem!V16+armazem!K16</f>
        <v>1078874</v>
      </c>
      <c r="E13" s="222">
        <f>'Compra dos telefones'!C26</f>
        <v>176621200</v>
      </c>
      <c r="F13" s="222">
        <f>'Compra dos telefones'!D26</f>
        <v>104347880</v>
      </c>
      <c r="G13" s="222">
        <f>'Compra dos telefones'!E26</f>
        <v>26942160</v>
      </c>
      <c r="H13" s="222">
        <f>'Compra dos telefones'!F26</f>
        <v>4022850</v>
      </c>
      <c r="I13" s="190">
        <f>'Custo de equipe'!C23+'Custo de equipe'!H23</f>
        <v>0</v>
      </c>
      <c r="J13" s="190">
        <f>'Custo de equipe'!D23+'Custo de equipe'!I23</f>
        <v>0</v>
      </c>
      <c r="K13" s="190">
        <f>'Custo de equipe'!E23+'Custo de equipe'!J23</f>
        <v>0</v>
      </c>
      <c r="L13" s="190">
        <f>'Custo de equipe'!C41</f>
        <v>0</v>
      </c>
      <c r="M13" s="190">
        <f>'Custo de equipe'!D41</f>
        <v>0</v>
      </c>
      <c r="N13" s="190">
        <f>'Custo de equipe'!E41</f>
        <v>0</v>
      </c>
      <c r="O13" s="224">
        <f>'Custo de equipe'!C58</f>
        <v>68500</v>
      </c>
      <c r="P13" s="224">
        <f>'Custo de equipe'!D58</f>
        <v>157000</v>
      </c>
      <c r="Q13" s="224">
        <f>'Custo de equipe'!E58</f>
        <v>577500</v>
      </c>
      <c r="R13" s="222">
        <f>'Custo de infraestrutura'!C15+'Custo de infraestrutura'!H15</f>
        <v>1050000</v>
      </c>
      <c r="S13" s="222">
        <f>'Custo de infraestrutura'!D15+'Custo de infraestrutura'!I15</f>
        <v>162024000</v>
      </c>
      <c r="T13" s="224">
        <f>SUM(C13:S13)</f>
        <v>476889964</v>
      </c>
    </row>
    <row r="14" spans="2:20" ht="16.5">
      <c r="B14" s="235" t="s">
        <v>160</v>
      </c>
      <c r="C14" s="222">
        <v>0</v>
      </c>
      <c r="D14" s="222">
        <f>armazem!V17+armazem!K17</f>
        <v>1625977</v>
      </c>
      <c r="E14" s="222">
        <f>'Compra dos telefones'!C27</f>
        <v>750640100</v>
      </c>
      <c r="F14" s="222">
        <f>'Compra dos telefones'!D27</f>
        <v>491925720</v>
      </c>
      <c r="G14" s="222">
        <f>'Compra dos telefones'!E27</f>
        <v>115466400</v>
      </c>
      <c r="H14" s="222">
        <f>'Compra dos telefones'!F27</f>
        <v>14750450</v>
      </c>
      <c r="I14" s="190">
        <f>'Custo de equipe'!C24+'Custo de equipe'!H24</f>
        <v>105000</v>
      </c>
      <c r="J14" s="190">
        <f>'Custo de equipe'!D24+'Custo de equipe'!I24</f>
        <v>224000</v>
      </c>
      <c r="K14" s="190">
        <f>'Custo de equipe'!E24+'Custo de equipe'!J24</f>
        <v>1634000</v>
      </c>
      <c r="L14" s="190">
        <f>'Custo de equipe'!C42</f>
        <v>160000</v>
      </c>
      <c r="M14" s="190">
        <f>'Custo de equipe'!D42</f>
        <v>270000</v>
      </c>
      <c r="N14" s="190">
        <f>'Custo de equipe'!E42</f>
        <v>2100000</v>
      </c>
      <c r="O14" s="224">
        <f>'Custo de equipe'!C59</f>
        <v>205500</v>
      </c>
      <c r="P14" s="224">
        <f>'Custo de equipe'!D59</f>
        <v>392500</v>
      </c>
      <c r="Q14" s="224">
        <f>'Custo de equipe'!E59</f>
        <v>2310000</v>
      </c>
      <c r="R14" s="222">
        <f>'Custo de infraestrutura'!C16+'Custo de infraestrutura'!H16</f>
        <v>4350000</v>
      </c>
      <c r="S14" s="222">
        <f>'Custo de infraestrutura'!D16+'Custo de infraestrutura'!I16</f>
        <v>699592000</v>
      </c>
      <c r="T14" s="224">
        <f>SUM(C14:S14)</f>
        <v>2085751647</v>
      </c>
    </row>
    <row r="15" spans="2:20">
      <c r="B15" s="315" t="s">
        <v>178</v>
      </c>
      <c r="C15" s="222">
        <f>SUM(C3:C14)</f>
        <v>150000000</v>
      </c>
      <c r="D15" s="222">
        <f>SUM(D3:D14)</f>
        <v>16236772</v>
      </c>
      <c r="E15" s="222">
        <f>SUM(E3:E14)</f>
        <v>4812927700</v>
      </c>
      <c r="F15" s="222">
        <f>SUM(F3:F14)</f>
        <v>3040995360</v>
      </c>
      <c r="G15" s="222">
        <f>SUM(G3:G14)</f>
        <v>715891680</v>
      </c>
      <c r="H15" s="222">
        <f>SUM(H3:H14)</f>
        <v>93866500</v>
      </c>
      <c r="I15" s="222">
        <f>SUM(I3:I14)</f>
        <v>435000</v>
      </c>
      <c r="J15" s="222">
        <f>SUM(J3:J14)</f>
        <v>928000</v>
      </c>
      <c r="K15" s="222">
        <f>SUM(K3:K14)</f>
        <v>6612000</v>
      </c>
      <c r="L15" s="222">
        <f>SUM(L3:L14)</f>
        <v>640000</v>
      </c>
      <c r="M15" s="222">
        <f>SUM(M3:M14)</f>
        <v>1350000</v>
      </c>
      <c r="N15" s="222">
        <f>SUM(N3:N14)</f>
        <v>8800000</v>
      </c>
      <c r="O15" s="222">
        <f>SUM(O3:O14)</f>
        <v>1438500</v>
      </c>
      <c r="P15" s="222">
        <f>SUM(P3:P14)</f>
        <v>2747500</v>
      </c>
      <c r="Q15" s="222">
        <f>SUM(Q3:Q14)</f>
        <v>14355000</v>
      </c>
      <c r="R15" s="222">
        <f t="shared" ref="R15:T15" si="0">SUM(R3:R14)</f>
        <v>27600000</v>
      </c>
      <c r="S15" s="222">
        <f t="shared" si="0"/>
        <v>4240256000</v>
      </c>
      <c r="T15" s="222">
        <f t="shared" si="0"/>
        <v>13135080012</v>
      </c>
    </row>
    <row r="16" spans="2:20">
      <c r="B16" s="316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1"/>
      <c r="S16" s="231"/>
      <c r="T16" s="317"/>
    </row>
    <row r="18" spans="2:20" ht="18.75">
      <c r="E18" s="431" t="s">
        <v>207</v>
      </c>
      <c r="F18" s="432"/>
      <c r="G18" s="432"/>
      <c r="H18" s="432"/>
      <c r="I18" s="433" t="s">
        <v>208</v>
      </c>
      <c r="J18" s="433"/>
      <c r="K18" s="433"/>
      <c r="L18" s="434" t="s">
        <v>209</v>
      </c>
      <c r="M18" s="433"/>
      <c r="N18" s="433"/>
      <c r="O18" s="432" t="s">
        <v>21</v>
      </c>
      <c r="P18" s="432"/>
      <c r="Q18" s="435"/>
    </row>
    <row r="19" spans="2:20" ht="91.5">
      <c r="B19" s="56" t="s">
        <v>146</v>
      </c>
      <c r="C19" s="232" t="s">
        <v>211</v>
      </c>
      <c r="D19" s="233" t="s">
        <v>212</v>
      </c>
      <c r="E19" s="236" t="s">
        <v>98</v>
      </c>
      <c r="F19" s="236" t="s">
        <v>99</v>
      </c>
      <c r="G19" s="236" t="s">
        <v>100</v>
      </c>
      <c r="H19" s="236" t="s">
        <v>101</v>
      </c>
      <c r="I19" s="240" t="s">
        <v>22</v>
      </c>
      <c r="J19" s="241" t="s">
        <v>23</v>
      </c>
      <c r="K19" s="241" t="s">
        <v>24</v>
      </c>
      <c r="L19" s="240" t="s">
        <v>22</v>
      </c>
      <c r="M19" s="241" t="s">
        <v>23</v>
      </c>
      <c r="N19" s="241" t="s">
        <v>24</v>
      </c>
      <c r="O19" s="220" t="s">
        <v>22</v>
      </c>
      <c r="P19" s="221" t="s">
        <v>23</v>
      </c>
      <c r="Q19" s="221" t="s">
        <v>24</v>
      </c>
      <c r="R19" s="234" t="s">
        <v>213</v>
      </c>
      <c r="S19" s="234" t="s">
        <v>214</v>
      </c>
      <c r="T19" s="207" t="s">
        <v>131</v>
      </c>
    </row>
    <row r="20" spans="2:20" ht="16.5">
      <c r="B20" s="235" t="s">
        <v>149</v>
      </c>
      <c r="C20" s="222">
        <f>'base de dados'!C9</f>
        <v>100000000</v>
      </c>
      <c r="D20" s="222">
        <f>armazem!AG6</f>
        <v>539437</v>
      </c>
      <c r="E20" s="222">
        <f>'Compra dos telefones'!I16</f>
        <v>44155300</v>
      </c>
      <c r="F20" s="222">
        <f>'Compra dos telefones'!J16</f>
        <v>44720520</v>
      </c>
      <c r="G20" s="222">
        <f>'Compra dos telefones'!K16</f>
        <v>15395520</v>
      </c>
      <c r="H20" s="222">
        <f>'Compra dos telefones'!L16</f>
        <v>6704750</v>
      </c>
      <c r="I20" s="190">
        <f>'Custo de equipe'!M13</f>
        <v>30000</v>
      </c>
      <c r="J20" s="190">
        <f>'Custo de equipe'!N13</f>
        <v>48000</v>
      </c>
      <c r="K20" s="190">
        <f>'Custo de equipe'!O13</f>
        <v>114000</v>
      </c>
      <c r="L20" s="190">
        <f>'Custo de equipe'!M31</f>
        <v>160000</v>
      </c>
      <c r="M20" s="190">
        <f>'Custo de equipe'!N31</f>
        <v>270000</v>
      </c>
      <c r="N20" s="190">
        <f>'Custo de equipe'!O31</f>
        <v>600000</v>
      </c>
      <c r="O20" s="224">
        <f>'Custo de equipe'!M48</f>
        <v>137000</v>
      </c>
      <c r="P20" s="224">
        <f>'Custo de equipe'!N48</f>
        <v>235500</v>
      </c>
      <c r="Q20" s="224">
        <f>'Custo de equipe'!O48</f>
        <v>495000</v>
      </c>
      <c r="R20" s="222">
        <f>'Custo de infraestrutura'!M5</f>
        <v>750000</v>
      </c>
      <c r="S20" s="222">
        <f>'Custo de infraestrutura'!N5</f>
        <v>38936000</v>
      </c>
      <c r="T20" s="224">
        <f>SUM(C20:S20)</f>
        <v>253291027</v>
      </c>
    </row>
    <row r="21" spans="2:20" ht="16.5">
      <c r="B21" s="235" t="s">
        <v>150</v>
      </c>
      <c r="C21" s="222">
        <v>0</v>
      </c>
      <c r="D21" s="222">
        <f>armazem!AG7</f>
        <v>539437</v>
      </c>
      <c r="E21" s="222">
        <f>'Compra dos telefones'!I17</f>
        <v>88310600</v>
      </c>
      <c r="F21" s="222">
        <f>'Compra dos telefones'!J17</f>
        <v>44720520</v>
      </c>
      <c r="G21" s="222">
        <f>'Compra dos telefones'!K17</f>
        <v>23093280</v>
      </c>
      <c r="H21" s="222">
        <f>'Compra dos telefones'!L17</f>
        <v>9386650</v>
      </c>
      <c r="I21" s="190">
        <f>'Custo de equipe'!M14</f>
        <v>0</v>
      </c>
      <c r="J21" s="190">
        <f>'Custo de equipe'!N14</f>
        <v>16000</v>
      </c>
      <c r="K21" s="190">
        <f>'Custo de equipe'!O14</f>
        <v>133000</v>
      </c>
      <c r="L21" s="190">
        <f>'Custo de equipe'!M32</f>
        <v>0</v>
      </c>
      <c r="M21" s="190">
        <f>'Custo de equipe'!N32</f>
        <v>90000</v>
      </c>
      <c r="N21" s="190">
        <f>'Custo de equipe'!O32</f>
        <v>700000</v>
      </c>
      <c r="O21" s="224">
        <f>'Custo de equipe'!M49</f>
        <v>137000</v>
      </c>
      <c r="P21" s="224">
        <f>'Custo de equipe'!N49</f>
        <v>314000</v>
      </c>
      <c r="Q21" s="224">
        <f>'Custo de equipe'!O49</f>
        <v>1072500</v>
      </c>
      <c r="R21" s="222">
        <f>'Custo de infraestrutura'!M6</f>
        <v>900000</v>
      </c>
      <c r="S21" s="222">
        <f>'Custo de infraestrutura'!N6</f>
        <v>79128000</v>
      </c>
      <c r="T21" s="224">
        <f>SUM(C21:S21)</f>
        <v>248540987</v>
      </c>
    </row>
    <row r="22" spans="2:20" ht="16.5">
      <c r="B22" s="235" t="s">
        <v>151</v>
      </c>
      <c r="C22" s="222">
        <v>0</v>
      </c>
      <c r="D22" s="222">
        <f>armazem!AG8</f>
        <v>539437</v>
      </c>
      <c r="E22" s="222">
        <f>'Compra dos telefones'!I18</f>
        <v>0</v>
      </c>
      <c r="F22" s="222">
        <f>'Compra dos telefones'!J18</f>
        <v>0</v>
      </c>
      <c r="G22" s="222">
        <f>'Compra dos telefones'!K18</f>
        <v>3848880</v>
      </c>
      <c r="H22" s="222">
        <f>'Compra dos telefones'!L18</f>
        <v>1340950</v>
      </c>
      <c r="I22" s="190">
        <f>'Custo de equipe'!M15</f>
        <v>0</v>
      </c>
      <c r="J22" s="190">
        <f>'Custo de equipe'!N15</f>
        <v>0</v>
      </c>
      <c r="K22" s="190">
        <f>'Custo de equipe'!O15</f>
        <v>0</v>
      </c>
      <c r="L22" s="190">
        <f>'Custo de equipe'!M33</f>
        <v>0</v>
      </c>
      <c r="M22" s="190">
        <f>'Custo de equipe'!N33</f>
        <v>0</v>
      </c>
      <c r="N22" s="190">
        <f>'Custo de equipe'!O33</f>
        <v>0</v>
      </c>
      <c r="O22" s="224">
        <f>'Custo de equipe'!M50</f>
        <v>68500</v>
      </c>
      <c r="P22" s="224">
        <f>'Custo de equipe'!N50</f>
        <v>78500</v>
      </c>
      <c r="Q22" s="224">
        <f>'Custo de equipe'!O50</f>
        <v>82500</v>
      </c>
      <c r="R22" s="222">
        <f>'Custo de infraestrutura'!M7</f>
        <v>150000</v>
      </c>
      <c r="S22" s="222">
        <f>'Custo de infraestrutura'!N7</f>
        <v>6280000</v>
      </c>
      <c r="T22" s="224">
        <f>SUM(C22:S22)</f>
        <v>12388767</v>
      </c>
    </row>
    <row r="23" spans="2:20" ht="16.5">
      <c r="B23" s="235" t="s">
        <v>152</v>
      </c>
      <c r="C23" s="222">
        <v>0</v>
      </c>
      <c r="D23" s="222">
        <f>armazem!AG9</f>
        <v>1086540</v>
      </c>
      <c r="E23" s="222">
        <f>'Compra dos telefones'!I19</f>
        <v>132465900</v>
      </c>
      <c r="F23" s="222">
        <f>'Compra dos telefones'!J19</f>
        <v>74534200</v>
      </c>
      <c r="G23" s="222">
        <f>'Compra dos telefones'!K19</f>
        <v>34639920</v>
      </c>
      <c r="H23" s="222">
        <f>'Compra dos telefones'!L19</f>
        <v>13409500</v>
      </c>
      <c r="I23" s="190">
        <f>'Custo de equipe'!M16</f>
        <v>30000</v>
      </c>
      <c r="J23" s="190">
        <f>'Custo de equipe'!N16</f>
        <v>80000</v>
      </c>
      <c r="K23" s="190">
        <f>'Custo de equipe'!O16</f>
        <v>323000</v>
      </c>
      <c r="L23" s="190">
        <f>'Custo de equipe'!M34</f>
        <v>160000</v>
      </c>
      <c r="M23" s="190">
        <f>'Custo de equipe'!N34</f>
        <v>450000</v>
      </c>
      <c r="N23" s="190">
        <f>'Custo de equipe'!O34</f>
        <v>1700000</v>
      </c>
      <c r="O23" s="224">
        <f>'Custo de equipe'!M51</f>
        <v>205500</v>
      </c>
      <c r="P23" s="224">
        <f>'Custo de equipe'!N51</f>
        <v>471000</v>
      </c>
      <c r="Q23" s="224">
        <f>'Custo de equipe'!O51</f>
        <v>1485000</v>
      </c>
      <c r="R23" s="222">
        <f>'Custo de infraestrutura'!M8</f>
        <v>1200000</v>
      </c>
      <c r="S23" s="222">
        <f>'Custo de infraestrutura'!N8</f>
        <v>115552000</v>
      </c>
      <c r="T23" s="224">
        <f>SUM(C23:S23)</f>
        <v>377792560</v>
      </c>
    </row>
    <row r="24" spans="2:20" ht="16.5">
      <c r="B24" s="235" t="s">
        <v>153</v>
      </c>
      <c r="C24" s="222">
        <v>0</v>
      </c>
      <c r="D24" s="222">
        <f>armazem!AG10</f>
        <v>539437</v>
      </c>
      <c r="E24" s="222">
        <f>'Compra dos telefones'!I20</f>
        <v>44155300</v>
      </c>
      <c r="F24" s="222">
        <f>'Compra dos telefones'!J20</f>
        <v>29813680</v>
      </c>
      <c r="G24" s="222">
        <f>'Compra dos telefones'!K20</f>
        <v>15395520</v>
      </c>
      <c r="H24" s="222">
        <f>'Compra dos telefones'!L20</f>
        <v>6704750</v>
      </c>
      <c r="I24" s="190">
        <f>'Custo de equipe'!M17</f>
        <v>0</v>
      </c>
      <c r="J24" s="190">
        <f>'Custo de equipe'!N17</f>
        <v>0</v>
      </c>
      <c r="K24" s="190">
        <f>'Custo de equipe'!O17</f>
        <v>0</v>
      </c>
      <c r="L24" s="190">
        <f>'Custo de equipe'!M35</f>
        <v>0</v>
      </c>
      <c r="M24" s="190">
        <f>'Custo de equipe'!N35</f>
        <v>0</v>
      </c>
      <c r="N24" s="190">
        <f>'Custo de equipe'!O35</f>
        <v>0</v>
      </c>
      <c r="O24" s="224">
        <f>'Custo de equipe'!M52</f>
        <v>137000</v>
      </c>
      <c r="P24" s="224">
        <f>'Custo de equipe'!N52</f>
        <v>235500</v>
      </c>
      <c r="Q24" s="224">
        <f>'Custo de equipe'!O52</f>
        <v>742500</v>
      </c>
      <c r="R24" s="222">
        <f>'Custo de infraestrutura'!M9</f>
        <v>600000</v>
      </c>
      <c r="S24" s="222">
        <f>'Custo de infraestrutura'!N9</f>
        <v>55264000</v>
      </c>
      <c r="T24" s="224">
        <f>SUM(C24:S24)</f>
        <v>153587687</v>
      </c>
    </row>
    <row r="25" spans="2:20" ht="16.5">
      <c r="B25" s="235" t="s">
        <v>154</v>
      </c>
      <c r="C25" s="222">
        <v>0</v>
      </c>
      <c r="D25" s="222">
        <f>armazem!AG11</f>
        <v>539437</v>
      </c>
      <c r="E25" s="222">
        <f>'Compra dos telefones'!I21</f>
        <v>88310600</v>
      </c>
      <c r="F25" s="222">
        <f>'Compra dos telefones'!J21</f>
        <v>59627360</v>
      </c>
      <c r="G25" s="222">
        <f>'Compra dos telefones'!K21</f>
        <v>26942160</v>
      </c>
      <c r="H25" s="222">
        <f>'Compra dos telefones'!L21</f>
        <v>10727600</v>
      </c>
      <c r="I25" s="190">
        <f>'Custo de equipe'!M18</f>
        <v>15000</v>
      </c>
      <c r="J25" s="190">
        <f>'Custo de equipe'!N18</f>
        <v>32000</v>
      </c>
      <c r="K25" s="190">
        <f>'Custo de equipe'!O18</f>
        <v>95000</v>
      </c>
      <c r="L25" s="190">
        <f>'Custo de equipe'!M36</f>
        <v>80000</v>
      </c>
      <c r="M25" s="190">
        <f>'Custo de equipe'!N36</f>
        <v>180000</v>
      </c>
      <c r="N25" s="190">
        <f>'Custo de equipe'!O36</f>
        <v>500000</v>
      </c>
      <c r="O25" s="224">
        <f>'Custo de equipe'!M53</f>
        <v>205500</v>
      </c>
      <c r="P25" s="224">
        <f>'Custo de equipe'!N53</f>
        <v>392500</v>
      </c>
      <c r="Q25" s="224">
        <f>'Custo de equipe'!O53</f>
        <v>1155000</v>
      </c>
      <c r="R25" s="222">
        <f>'Custo de infraestrutura'!M10</f>
        <v>1050000</v>
      </c>
      <c r="S25" s="222">
        <f>'Custo de infraestrutura'!N10</f>
        <v>90432000</v>
      </c>
      <c r="T25" s="224">
        <f>SUM(C25:S25)</f>
        <v>280284157</v>
      </c>
    </row>
    <row r="26" spans="2:20" ht="16.5">
      <c r="B26" s="235" t="s">
        <v>155</v>
      </c>
      <c r="C26" s="222">
        <v>0</v>
      </c>
      <c r="D26" s="222">
        <f>armazem!AG12</f>
        <v>1086540</v>
      </c>
      <c r="E26" s="222">
        <f>'Compra dos telefones'!I22</f>
        <v>132465900</v>
      </c>
      <c r="F26" s="222">
        <f>'Compra dos telefones'!J22</f>
        <v>74534200</v>
      </c>
      <c r="G26" s="222">
        <f>'Compra dos telefones'!K22</f>
        <v>34639920</v>
      </c>
      <c r="H26" s="222">
        <f>'Compra dos telefones'!L22</f>
        <v>13409500</v>
      </c>
      <c r="I26" s="190">
        <f>'Custo de equipe'!M19</f>
        <v>0</v>
      </c>
      <c r="J26" s="190">
        <f>'Custo de equipe'!N19</f>
        <v>16000</v>
      </c>
      <c r="K26" s="190">
        <f>'Custo de equipe'!O19</f>
        <v>95000</v>
      </c>
      <c r="L26" s="190">
        <f>'Custo de equipe'!M37</f>
        <v>0</v>
      </c>
      <c r="M26" s="190">
        <f>'Custo de equipe'!N37</f>
        <v>90000</v>
      </c>
      <c r="N26" s="190">
        <f>'Custo de equipe'!O37</f>
        <v>500000</v>
      </c>
      <c r="O26" s="224">
        <f>'Custo de equipe'!M54</f>
        <v>205500</v>
      </c>
      <c r="P26" s="224">
        <f>'Custo de equipe'!N54</f>
        <v>471000</v>
      </c>
      <c r="Q26" s="224">
        <f>'Custo de equipe'!O54</f>
        <v>1567500</v>
      </c>
      <c r="R26" s="222">
        <f>'Custo de infraestrutura'!M11</f>
        <v>1350000</v>
      </c>
      <c r="S26" s="222">
        <f>'Custo de infraestrutura'!N11</f>
        <v>116808000</v>
      </c>
      <c r="T26" s="224">
        <f>SUM(C26:S26)</f>
        <v>377239060</v>
      </c>
    </row>
    <row r="27" spans="2:20" ht="16.5">
      <c r="B27" s="235" t="s">
        <v>156</v>
      </c>
      <c r="C27" s="222">
        <v>0</v>
      </c>
      <c r="D27" s="222">
        <f>armazem!AG13</f>
        <v>539437</v>
      </c>
      <c r="E27" s="222">
        <f>'Compra dos telefones'!I23</f>
        <v>88310600</v>
      </c>
      <c r="F27" s="222">
        <f>'Compra dos telefones'!J23</f>
        <v>59627360</v>
      </c>
      <c r="G27" s="222">
        <f>'Compra dos telefones'!K23</f>
        <v>23093280</v>
      </c>
      <c r="H27" s="222">
        <f>'Compra dos telefones'!L23</f>
        <v>9386650</v>
      </c>
      <c r="I27" s="190">
        <f>'Custo de equipe'!M20</f>
        <v>0</v>
      </c>
      <c r="J27" s="190">
        <f>'Custo de equipe'!N20</f>
        <v>0</v>
      </c>
      <c r="K27" s="190">
        <f>'Custo de equipe'!O20</f>
        <v>0</v>
      </c>
      <c r="L27" s="190">
        <f>'Custo de equipe'!M38</f>
        <v>0</v>
      </c>
      <c r="M27" s="190">
        <f>'Custo de equipe'!N38</f>
        <v>0</v>
      </c>
      <c r="N27" s="190">
        <f>'Custo de equipe'!O38</f>
        <v>0</v>
      </c>
      <c r="O27" s="224">
        <f>'Custo de equipe'!M55</f>
        <v>137000</v>
      </c>
      <c r="P27" s="224">
        <f>'Custo de equipe'!N55</f>
        <v>314000</v>
      </c>
      <c r="Q27" s="224">
        <f>'Custo de equipe'!O55</f>
        <v>1072500</v>
      </c>
      <c r="R27" s="222">
        <f>'Custo de infraestrutura'!M12</f>
        <v>900000</v>
      </c>
      <c r="S27" s="222">
        <f>'Custo de infraestrutura'!N12</f>
        <v>82896000</v>
      </c>
      <c r="T27" s="224">
        <f>SUM(C27:S27)</f>
        <v>266276827</v>
      </c>
    </row>
    <row r="28" spans="2:20" ht="16.5">
      <c r="B28" s="235" t="s">
        <v>157</v>
      </c>
      <c r="C28" s="222">
        <v>0</v>
      </c>
      <c r="D28" s="222">
        <f>armazem!AG14</f>
        <v>539437</v>
      </c>
      <c r="E28" s="222">
        <f>'Compra dos telefones'!I24</f>
        <v>44155300</v>
      </c>
      <c r="F28" s="222">
        <f>'Compra dos telefones'!J24</f>
        <v>14906840</v>
      </c>
      <c r="G28" s="222">
        <f>'Compra dos telefones'!K24</f>
        <v>7697760</v>
      </c>
      <c r="H28" s="222">
        <f>'Compra dos telefones'!L24</f>
        <v>2681900</v>
      </c>
      <c r="I28" s="190">
        <f>'Custo de equipe'!M21</f>
        <v>0</v>
      </c>
      <c r="J28" s="190">
        <f>'Custo de equipe'!N21</f>
        <v>0</v>
      </c>
      <c r="K28" s="190">
        <f>'Custo de equipe'!O21</f>
        <v>0</v>
      </c>
      <c r="L28" s="190">
        <f>'Custo de equipe'!M39</f>
        <v>0</v>
      </c>
      <c r="M28" s="190">
        <f>'Custo de equipe'!N39</f>
        <v>0</v>
      </c>
      <c r="N28" s="190">
        <f>'Custo de equipe'!O39</f>
        <v>0</v>
      </c>
      <c r="O28" s="224">
        <f>'Custo de equipe'!M56</f>
        <v>68500</v>
      </c>
      <c r="P28" s="224">
        <f>'Custo de equipe'!N56</f>
        <v>157000</v>
      </c>
      <c r="Q28" s="224">
        <f>'Custo de equipe'!O56</f>
        <v>330000</v>
      </c>
      <c r="R28" s="222">
        <f>'Custo de infraestrutura'!M13</f>
        <v>300000</v>
      </c>
      <c r="S28" s="222">
        <f>'Custo de infraestrutura'!N13</f>
        <v>25120000</v>
      </c>
      <c r="T28" s="224">
        <f>SUM(C28:S28)</f>
        <v>95956737</v>
      </c>
    </row>
    <row r="29" spans="2:20" ht="16.5">
      <c r="B29" s="235" t="s">
        <v>158</v>
      </c>
      <c r="C29" s="222">
        <v>0</v>
      </c>
      <c r="D29" s="222">
        <f>armazem!AG15</f>
        <v>1086540</v>
      </c>
      <c r="E29" s="222">
        <f>'Compra dos telefones'!I25</f>
        <v>132465900</v>
      </c>
      <c r="F29" s="222">
        <f>'Compra dos telefones'!J25</f>
        <v>89441040</v>
      </c>
      <c r="G29" s="222">
        <f>'Compra dos telefones'!K25</f>
        <v>38488800</v>
      </c>
      <c r="H29" s="222">
        <f>'Compra dos telefones'!L25</f>
        <v>14750450</v>
      </c>
      <c r="I29" s="190">
        <f>'Custo de equipe'!M22</f>
        <v>30000</v>
      </c>
      <c r="J29" s="190">
        <f>'Custo de equipe'!N22</f>
        <v>64000</v>
      </c>
      <c r="K29" s="190">
        <f>'Custo de equipe'!O22</f>
        <v>323000</v>
      </c>
      <c r="L29" s="190">
        <f>'Custo de equipe'!M40</f>
        <v>160000</v>
      </c>
      <c r="M29" s="190">
        <f>'Custo de equipe'!N40</f>
        <v>360000</v>
      </c>
      <c r="N29" s="190">
        <f>'Custo de equipe'!O40</f>
        <v>1700000</v>
      </c>
      <c r="O29" s="224">
        <f>'Custo de equipe'!M57</f>
        <v>205500</v>
      </c>
      <c r="P29" s="224">
        <f>'Custo de equipe'!N57</f>
        <v>471000</v>
      </c>
      <c r="Q29" s="224">
        <f>'Custo de equipe'!O57</f>
        <v>1732500</v>
      </c>
      <c r="R29" s="222">
        <f>'Custo de infraestrutura'!M14</f>
        <v>1500000</v>
      </c>
      <c r="S29" s="222">
        <f>'Custo de infraestrutura'!N14</f>
        <v>134392000</v>
      </c>
      <c r="T29" s="224">
        <f>SUM(C29:S29)</f>
        <v>417170730</v>
      </c>
    </row>
    <row r="30" spans="2:20" ht="16.5">
      <c r="B30" s="235" t="s">
        <v>159</v>
      </c>
      <c r="C30" s="222">
        <v>0</v>
      </c>
      <c r="D30" s="222">
        <f>armazem!AG16</f>
        <v>539437</v>
      </c>
      <c r="E30" s="222">
        <f>'Compra dos telefones'!I26</f>
        <v>44155300</v>
      </c>
      <c r="F30" s="222">
        <f>'Compra dos telefones'!J26</f>
        <v>14906840</v>
      </c>
      <c r="G30" s="222">
        <f>'Compra dos telefones'!K26</f>
        <v>11546640</v>
      </c>
      <c r="H30" s="222">
        <f>'Compra dos telefones'!L26</f>
        <v>4022850</v>
      </c>
      <c r="I30" s="190">
        <f>'Custo de equipe'!M23</f>
        <v>0</v>
      </c>
      <c r="J30" s="190">
        <f>'Custo de equipe'!N23</f>
        <v>0</v>
      </c>
      <c r="K30" s="190">
        <f>'Custo de equipe'!O23</f>
        <v>0</v>
      </c>
      <c r="L30" s="190">
        <f>'Custo de equipe'!M41</f>
        <v>0</v>
      </c>
      <c r="M30" s="190">
        <f>'Custo de equipe'!N41</f>
        <v>0</v>
      </c>
      <c r="N30" s="190">
        <f>'Custo de equipe'!O41</f>
        <v>0</v>
      </c>
      <c r="O30" s="224">
        <f>'Custo de equipe'!M58</f>
        <v>68500</v>
      </c>
      <c r="P30" s="224">
        <f>'Custo de equipe'!N58</f>
        <v>157000</v>
      </c>
      <c r="Q30" s="224">
        <f>'Custo de equipe'!O58</f>
        <v>577500</v>
      </c>
      <c r="R30" s="222">
        <f>'Custo de infraestrutura'!M15</f>
        <v>450000</v>
      </c>
      <c r="S30" s="222">
        <f>'Custo de infraestrutura'!N15</f>
        <v>45216000</v>
      </c>
      <c r="T30" s="224">
        <f>SUM(C30:S30)</f>
        <v>121640067</v>
      </c>
    </row>
    <row r="31" spans="2:20" ht="16.5">
      <c r="B31" s="235" t="s">
        <v>160</v>
      </c>
      <c r="C31" s="222">
        <v>0</v>
      </c>
      <c r="D31" s="222">
        <f>armazem!AG17</f>
        <v>1086540</v>
      </c>
      <c r="E31" s="222">
        <f>'Compra dos telefones'!I27</f>
        <v>132465900</v>
      </c>
      <c r="F31" s="222">
        <f>'Compra dos telefones'!J27</f>
        <v>104347880</v>
      </c>
      <c r="G31" s="222">
        <f>'Compra dos telefones'!K27</f>
        <v>46186560</v>
      </c>
      <c r="H31" s="222">
        <f>'Compra dos telefones'!L27</f>
        <v>17432350</v>
      </c>
      <c r="I31" s="190">
        <f>'Custo de equipe'!M24</f>
        <v>45000</v>
      </c>
      <c r="J31" s="190">
        <f>'Custo de equipe'!N24</f>
        <v>80000</v>
      </c>
      <c r="K31" s="190">
        <f>'Custo de equipe'!O24</f>
        <v>323000</v>
      </c>
      <c r="L31" s="190">
        <f>'Custo de equipe'!M42</f>
        <v>240000</v>
      </c>
      <c r="M31" s="190">
        <f>'Custo de equipe'!N42</f>
        <v>450000</v>
      </c>
      <c r="N31" s="190">
        <f>'Custo de equipe'!O42</f>
        <v>1700000</v>
      </c>
      <c r="O31" s="224">
        <f>'Custo de equipe'!M59</f>
        <v>274000</v>
      </c>
      <c r="P31" s="224">
        <f>'Custo de equipe'!N59</f>
        <v>549500</v>
      </c>
      <c r="Q31" s="224">
        <f>'Custo de equipe'!O59</f>
        <v>1980000</v>
      </c>
      <c r="R31" s="222">
        <f>'Custo de infraestrutura'!M16</f>
        <v>1650000</v>
      </c>
      <c r="S31" s="222">
        <f>'Custo de infraestrutura'!N16</f>
        <v>151976000</v>
      </c>
      <c r="T31" s="224">
        <f>SUM(C31:S31)</f>
        <v>460786730</v>
      </c>
    </row>
    <row r="32" spans="2:20">
      <c r="B32" s="315" t="s">
        <v>178</v>
      </c>
      <c r="C32" s="222">
        <f>SUM(C20:C31)</f>
        <v>100000000</v>
      </c>
      <c r="D32" s="222">
        <f t="shared" ref="D32:T32" si="1">SUM(D20:D31)</f>
        <v>8661656</v>
      </c>
      <c r="E32" s="222">
        <f>SUM(E20:E31)</f>
        <v>971416600</v>
      </c>
      <c r="F32" s="222">
        <f>SUM(F20:F31)</f>
        <v>611180440</v>
      </c>
      <c r="G32" s="222">
        <f>SUM(G20:G31)</f>
        <v>280968240</v>
      </c>
      <c r="H32" s="222">
        <f>SUM(H20:H31)</f>
        <v>109957900</v>
      </c>
      <c r="I32" s="222">
        <f>SUM(I20:I31)</f>
        <v>150000</v>
      </c>
      <c r="J32" s="222">
        <f>SUM(J20:J31)</f>
        <v>336000</v>
      </c>
      <c r="K32" s="222">
        <f>SUM(K20:K31)</f>
        <v>1406000</v>
      </c>
      <c r="L32" s="222">
        <f>SUM(L20:L31)</f>
        <v>800000</v>
      </c>
      <c r="M32" s="222">
        <f>SUM(M20:M31)</f>
        <v>1890000</v>
      </c>
      <c r="N32" s="222">
        <f>SUM(N20:N31)</f>
        <v>7400000</v>
      </c>
      <c r="O32" s="222">
        <f>SUM(O20:O31)</f>
        <v>1849500</v>
      </c>
      <c r="P32" s="222">
        <f>SUM(P20:P31)</f>
        <v>3846500</v>
      </c>
      <c r="Q32" s="222">
        <f>SUM(Q20:Q31)</f>
        <v>12292500</v>
      </c>
      <c r="R32" s="222">
        <f t="shared" si="1"/>
        <v>10800000</v>
      </c>
      <c r="S32" s="222">
        <f t="shared" si="1"/>
        <v>942000000</v>
      </c>
      <c r="T32" s="222">
        <f t="shared" si="1"/>
        <v>3064955336</v>
      </c>
    </row>
    <row r="35" spans="2:20" ht="18.75">
      <c r="E35" s="431" t="s">
        <v>207</v>
      </c>
      <c r="F35" s="432"/>
      <c r="G35" s="432"/>
      <c r="H35" s="432"/>
      <c r="I35" s="433" t="s">
        <v>208</v>
      </c>
      <c r="J35" s="433"/>
      <c r="K35" s="433"/>
      <c r="L35" s="434" t="s">
        <v>209</v>
      </c>
      <c r="M35" s="433"/>
      <c r="N35" s="433"/>
      <c r="O35" s="432" t="s">
        <v>21</v>
      </c>
      <c r="P35" s="432"/>
      <c r="Q35" s="435"/>
    </row>
    <row r="36" spans="2:20" ht="91.5">
      <c r="B36" s="188" t="s">
        <v>205</v>
      </c>
      <c r="C36" s="232" t="s">
        <v>211</v>
      </c>
      <c r="D36" s="233" t="s">
        <v>212</v>
      </c>
      <c r="E36" s="236" t="s">
        <v>98</v>
      </c>
      <c r="F36" s="236" t="s">
        <v>99</v>
      </c>
      <c r="G36" s="236" t="s">
        <v>100</v>
      </c>
      <c r="H36" s="236" t="s">
        <v>101</v>
      </c>
      <c r="I36" s="240" t="s">
        <v>22</v>
      </c>
      <c r="J36" s="241" t="s">
        <v>23</v>
      </c>
      <c r="K36" s="241" t="s">
        <v>24</v>
      </c>
      <c r="L36" s="240" t="s">
        <v>22</v>
      </c>
      <c r="M36" s="241" t="s">
        <v>23</v>
      </c>
      <c r="N36" s="241" t="s">
        <v>24</v>
      </c>
      <c r="O36" s="220" t="s">
        <v>22</v>
      </c>
      <c r="P36" s="221" t="s">
        <v>23</v>
      </c>
      <c r="Q36" s="221" t="s">
        <v>24</v>
      </c>
      <c r="R36" s="234" t="s">
        <v>213</v>
      </c>
      <c r="S36" s="234" t="s">
        <v>214</v>
      </c>
      <c r="T36" s="207" t="s">
        <v>131</v>
      </c>
    </row>
    <row r="37" spans="2:20" ht="16.5">
      <c r="B37" s="235" t="s">
        <v>149</v>
      </c>
      <c r="C37" s="222">
        <f>'base de dados'!C10</f>
        <v>80000000</v>
      </c>
      <c r="D37" s="222">
        <f>armazem!AR6+armazem!BC6</f>
        <v>1078874</v>
      </c>
      <c r="E37" s="222">
        <f>'Compra dos telefones'!O16</f>
        <v>44155300</v>
      </c>
      <c r="F37" s="222">
        <f>'Compra dos telefones'!P16</f>
        <v>44720520</v>
      </c>
      <c r="G37" s="222">
        <f>'Compra dos telefones'!Q16</f>
        <v>11546640</v>
      </c>
      <c r="H37" s="222">
        <f>'Compra dos telefones'!R16</f>
        <v>2681900</v>
      </c>
      <c r="I37" s="190">
        <f>'Custo de equipe'!R13+'Custo de equipe'!W13</f>
        <v>30000</v>
      </c>
      <c r="J37" s="190">
        <f>'Custo de equipe'!S13+'Custo de equipe'!X13</f>
        <v>48000</v>
      </c>
      <c r="K37" s="190">
        <f>'Custo de equipe'!T13+'Custo de equipe'!Y13</f>
        <v>57000</v>
      </c>
      <c r="L37" s="190">
        <f>'Custo de equipe'!R31+'Custo de equipe'!W31</f>
        <v>160000</v>
      </c>
      <c r="M37" s="190">
        <f>'Custo de equipe'!S31+'Custo de equipe'!X31</f>
        <v>270000</v>
      </c>
      <c r="N37" s="190">
        <f>'Custo de equipe'!T31+'Custo de equipe'!Y31</f>
        <v>300000</v>
      </c>
      <c r="O37" s="224">
        <f>'Custo de equipe'!R48+'Custo de equipe'!W48</f>
        <v>137000</v>
      </c>
      <c r="P37" s="224">
        <f>'Custo de equipe'!S48+'Custo de equipe'!X48</f>
        <v>235500</v>
      </c>
      <c r="Q37" s="224">
        <f>'Custo de equipe'!T48+'Custo de equipe'!Y48</f>
        <v>247500</v>
      </c>
      <c r="R37" s="222">
        <f>'Custo de infraestrutura'!R5+'Custo de infraestrutura'!W5</f>
        <v>600000</v>
      </c>
      <c r="S37" s="222">
        <f>'Custo de infraestrutura'!S5+'Custo de infraestrutura'!X5</f>
        <v>20096000</v>
      </c>
      <c r="T37" s="224">
        <f>SUM(C37:S37)</f>
        <v>206364234</v>
      </c>
    </row>
    <row r="38" spans="2:20" ht="16.5">
      <c r="B38" s="235" t="s">
        <v>150</v>
      </c>
      <c r="C38" s="222">
        <v>0</v>
      </c>
      <c r="D38" s="222">
        <f>armazem!AR7+armazem!BC7</f>
        <v>1078874</v>
      </c>
      <c r="E38" s="222">
        <f>'Compra dos telefones'!O17</f>
        <v>44155300</v>
      </c>
      <c r="F38" s="222">
        <f>'Compra dos telefones'!P17</f>
        <v>44720520</v>
      </c>
      <c r="G38" s="222">
        <f>'Compra dos telefones'!Q17</f>
        <v>15395520</v>
      </c>
      <c r="H38" s="222">
        <f>'Compra dos telefones'!R17</f>
        <v>4022850</v>
      </c>
      <c r="I38" s="190">
        <f>'Custo de equipe'!R14+'Custo de equipe'!W14</f>
        <v>0</v>
      </c>
      <c r="J38" s="190">
        <f>'Custo de equipe'!S14+'Custo de equipe'!X14</f>
        <v>0</v>
      </c>
      <c r="K38" s="190">
        <f>'Custo de equipe'!T14+'Custo de equipe'!Y14</f>
        <v>114000</v>
      </c>
      <c r="L38" s="190">
        <f>'Custo de equipe'!R32+'Custo de equipe'!W32</f>
        <v>0</v>
      </c>
      <c r="M38" s="190">
        <f>'Custo de equipe'!S32+'Custo de equipe'!X32</f>
        <v>0</v>
      </c>
      <c r="N38" s="190">
        <f>'Custo de equipe'!T32+'Custo de equipe'!Y32</f>
        <v>700000</v>
      </c>
      <c r="O38" s="224">
        <f>'Custo de equipe'!R49+'Custo de equipe'!W49</f>
        <v>137000</v>
      </c>
      <c r="P38" s="224">
        <f>'Custo de equipe'!S49+'Custo de equipe'!X49</f>
        <v>235500</v>
      </c>
      <c r="Q38" s="224">
        <f>'Custo de equipe'!T49+'Custo de equipe'!Y49</f>
        <v>742500</v>
      </c>
      <c r="R38" s="222">
        <f>'Custo de infraestrutura'!R6+'Custo de infraestrutura'!W6</f>
        <v>750000</v>
      </c>
      <c r="S38" s="222">
        <f>'Custo de infraestrutura'!S6+'Custo de infraestrutura'!X6</f>
        <v>54008000</v>
      </c>
      <c r="T38" s="224">
        <f>SUM(C38:S38)</f>
        <v>166060064</v>
      </c>
    </row>
    <row r="39" spans="2:20" ht="16.5">
      <c r="B39" s="235" t="s">
        <v>151</v>
      </c>
      <c r="C39" s="222">
        <v>0</v>
      </c>
      <c r="D39" s="222">
        <f>armazem!AR8+armazem!BC8</f>
        <v>539437</v>
      </c>
      <c r="E39" s="222">
        <f>'Compra dos telefones'!O18</f>
        <v>0</v>
      </c>
      <c r="F39" s="222">
        <f>'Compra dos telefones'!P18</f>
        <v>0</v>
      </c>
      <c r="G39" s="222">
        <f>'Compra dos telefones'!Q18</f>
        <v>0</v>
      </c>
      <c r="H39" s="222">
        <f>'Compra dos telefones'!R18</f>
        <v>0</v>
      </c>
      <c r="I39" s="190">
        <f>'Custo de equipe'!R15+'Custo de equipe'!W15</f>
        <v>0</v>
      </c>
      <c r="J39" s="190">
        <f>'Custo de equipe'!S15+'Custo de equipe'!X15</f>
        <v>0</v>
      </c>
      <c r="K39" s="190">
        <f>'Custo de equipe'!T15+'Custo de equipe'!Y15</f>
        <v>0</v>
      </c>
      <c r="L39" s="190">
        <f>'Custo de equipe'!R33+'Custo de equipe'!W33</f>
        <v>0</v>
      </c>
      <c r="M39" s="190">
        <f>'Custo de equipe'!S33+'Custo de equipe'!X33</f>
        <v>0</v>
      </c>
      <c r="N39" s="190">
        <f>'Custo de equipe'!T33+'Custo de equipe'!Y33</f>
        <v>0</v>
      </c>
      <c r="O39" s="224">
        <f>'Custo de equipe'!R50+'Custo de equipe'!W50</f>
        <v>137000</v>
      </c>
      <c r="P39" s="224">
        <f>'Custo de equipe'!S50+'Custo de equipe'!X50</f>
        <v>157000</v>
      </c>
      <c r="Q39" s="224">
        <f>'Custo de equipe'!T50+'Custo de equipe'!Y50</f>
        <v>0</v>
      </c>
      <c r="R39" s="222">
        <f>'Custo de infraestrutura'!R7+'Custo de infraestrutura'!W7</f>
        <v>300000</v>
      </c>
      <c r="S39" s="222">
        <f>'Custo de infraestrutura'!S7+'Custo de infraestrutura'!X7</f>
        <v>5024000</v>
      </c>
      <c r="T39" s="224">
        <f>SUM(C39:S39)</f>
        <v>6157437</v>
      </c>
    </row>
    <row r="40" spans="2:20" ht="16.5">
      <c r="B40" s="235" t="s">
        <v>152</v>
      </c>
      <c r="C40" s="222">
        <v>0</v>
      </c>
      <c r="D40" s="222">
        <f>armazem!AR9+armazem!BC9</f>
        <v>1078874</v>
      </c>
      <c r="E40" s="222">
        <f>'Compra dos telefones'!O19</f>
        <v>132465900</v>
      </c>
      <c r="F40" s="222">
        <f>'Compra dos telefones'!P19</f>
        <v>74534200</v>
      </c>
      <c r="G40" s="222">
        <f>'Compra dos telefones'!Q19</f>
        <v>23093280</v>
      </c>
      <c r="H40" s="222">
        <f>'Compra dos telefones'!R19</f>
        <v>5363800</v>
      </c>
      <c r="I40" s="190">
        <f>'Custo de equipe'!R16+'Custo de equipe'!W16</f>
        <v>0</v>
      </c>
      <c r="J40" s="190">
        <f>'Custo de equipe'!S16+'Custo de equipe'!X16</f>
        <v>32000</v>
      </c>
      <c r="K40" s="190">
        <f>'Custo de equipe'!T16+'Custo de equipe'!Y16</f>
        <v>247000</v>
      </c>
      <c r="L40" s="190">
        <f>'Custo de equipe'!R34+'Custo de equipe'!W34</f>
        <v>0</v>
      </c>
      <c r="M40" s="190">
        <f>'Custo de equipe'!S34+'Custo de equipe'!X34</f>
        <v>270000</v>
      </c>
      <c r="N40" s="190">
        <f>'Custo de equipe'!T34+'Custo de equipe'!Y34</f>
        <v>1300000</v>
      </c>
      <c r="O40" s="224">
        <f>'Custo de equipe'!R51+'Custo de equipe'!W51</f>
        <v>137000</v>
      </c>
      <c r="P40" s="224">
        <f>'Custo de equipe'!S51+'Custo de equipe'!X51</f>
        <v>314000</v>
      </c>
      <c r="Q40" s="224">
        <f>'Custo de equipe'!T51+'Custo de equipe'!Y51</f>
        <v>1072500</v>
      </c>
      <c r="R40" s="222">
        <f>'Custo de infraestrutura'!R8+'Custo de infraestrutura'!W8</f>
        <v>900000</v>
      </c>
      <c r="S40" s="222">
        <f>'Custo de infraestrutura'!S8+'Custo de infraestrutura'!X8</f>
        <v>79128000</v>
      </c>
      <c r="T40" s="224">
        <f>SUM(C40:S40)</f>
        <v>319936554</v>
      </c>
    </row>
    <row r="41" spans="2:20" ht="16.5">
      <c r="B41" s="235" t="s">
        <v>153</v>
      </c>
      <c r="C41" s="222">
        <v>0</v>
      </c>
      <c r="D41" s="222">
        <f>armazem!AR10+armazem!BC10</f>
        <v>1078874</v>
      </c>
      <c r="E41" s="222">
        <f>'Compra dos telefones'!O20</f>
        <v>44155300</v>
      </c>
      <c r="F41" s="222">
        <f>'Compra dos telefones'!P20</f>
        <v>44720520</v>
      </c>
      <c r="G41" s="222">
        <f>'Compra dos telefones'!Q20</f>
        <v>11546640</v>
      </c>
      <c r="H41" s="222">
        <f>'Compra dos telefones'!R20</f>
        <v>2681900</v>
      </c>
      <c r="I41" s="190">
        <f>'Custo de equipe'!R17+'Custo de equipe'!W17</f>
        <v>0</v>
      </c>
      <c r="J41" s="190">
        <f>'Custo de equipe'!S17+'Custo de equipe'!X17</f>
        <v>0</v>
      </c>
      <c r="K41" s="190">
        <f>'Custo de equipe'!T17+'Custo de equipe'!Y17</f>
        <v>0</v>
      </c>
      <c r="L41" s="190">
        <f>'Custo de equipe'!R35+'Custo de equipe'!W35</f>
        <v>0</v>
      </c>
      <c r="M41" s="190">
        <f>'Custo de equipe'!S35+'Custo de equipe'!X35</f>
        <v>0</v>
      </c>
      <c r="N41" s="190">
        <f>'Custo de equipe'!T35+'Custo de equipe'!Y35</f>
        <v>0</v>
      </c>
      <c r="O41" s="224">
        <f>'Custo de equipe'!R52+'Custo de equipe'!W52</f>
        <v>137000</v>
      </c>
      <c r="P41" s="224">
        <f>'Custo de equipe'!S52+'Custo de equipe'!X52</f>
        <v>235500</v>
      </c>
      <c r="Q41" s="224">
        <f>'Custo de equipe'!T52+'Custo de equipe'!Y52</f>
        <v>495000</v>
      </c>
      <c r="R41" s="222">
        <f>'Custo de infraestrutura'!R9+'Custo de infraestrutura'!W9</f>
        <v>600000</v>
      </c>
      <c r="S41" s="222">
        <f>'Custo de infraestrutura'!S9+'Custo de infraestrutura'!X9</f>
        <v>37680000</v>
      </c>
      <c r="T41" s="224">
        <f>SUM(C41:S41)</f>
        <v>143330734</v>
      </c>
    </row>
    <row r="42" spans="2:20" ht="16.5">
      <c r="B42" s="235" t="s">
        <v>154</v>
      </c>
      <c r="C42" s="222">
        <v>0</v>
      </c>
      <c r="D42" s="222">
        <f>armazem!AR11+armazem!BC11</f>
        <v>1078874</v>
      </c>
      <c r="E42" s="222">
        <f>'Compra dos telefones'!O21</f>
        <v>88310600</v>
      </c>
      <c r="F42" s="222">
        <f>'Compra dos telefones'!P21</f>
        <v>59627360</v>
      </c>
      <c r="G42" s="222">
        <f>'Compra dos telefones'!Q21</f>
        <v>19244400</v>
      </c>
      <c r="H42" s="222">
        <f>'Compra dos telefones'!R21</f>
        <v>4022850</v>
      </c>
      <c r="I42" s="190">
        <f>'Custo de equipe'!R18+'Custo de equipe'!W18</f>
        <v>0</v>
      </c>
      <c r="J42" s="190">
        <f>'Custo de equipe'!S18+'Custo de equipe'!X18</f>
        <v>16000</v>
      </c>
      <c r="K42" s="190">
        <f>'Custo de equipe'!T18+'Custo de equipe'!Y18</f>
        <v>76000</v>
      </c>
      <c r="L42" s="190">
        <f>'Custo de equipe'!R36+'Custo de equipe'!W36</f>
        <v>0</v>
      </c>
      <c r="M42" s="190">
        <f>'Custo de equipe'!S36+'Custo de equipe'!X36</f>
        <v>180000</v>
      </c>
      <c r="N42" s="190">
        <f>'Custo de equipe'!T36+'Custo de equipe'!Y36</f>
        <v>700000</v>
      </c>
      <c r="O42" s="224">
        <f>'Custo de equipe'!R53+'Custo de equipe'!W53</f>
        <v>137000</v>
      </c>
      <c r="P42" s="224">
        <f>'Custo de equipe'!S53+'Custo de equipe'!X53</f>
        <v>314000</v>
      </c>
      <c r="Q42" s="224">
        <f>'Custo de equipe'!T53+'Custo de equipe'!Y53</f>
        <v>825000</v>
      </c>
      <c r="R42" s="222">
        <f>'Custo de infraestrutura'!R10+'Custo de infraestrutura'!W10</f>
        <v>900000</v>
      </c>
      <c r="S42" s="222">
        <f>'Custo de infraestrutura'!S10+'Custo de infraestrutura'!X10</f>
        <v>62800000</v>
      </c>
      <c r="T42" s="224">
        <f>SUM(C42:S42)</f>
        <v>238232084</v>
      </c>
    </row>
    <row r="43" spans="2:20" ht="16.5">
      <c r="B43" s="235" t="s">
        <v>155</v>
      </c>
      <c r="C43" s="222">
        <v>0</v>
      </c>
      <c r="D43" s="222">
        <f>armazem!AR12+armazem!BC12</f>
        <v>1078874</v>
      </c>
      <c r="E43" s="222">
        <f>'Compra dos telefones'!O22</f>
        <v>132465900</v>
      </c>
      <c r="F43" s="222">
        <f>'Compra dos telefones'!P22</f>
        <v>74534200</v>
      </c>
      <c r="G43" s="222">
        <f>'Compra dos telefones'!Q22</f>
        <v>23093280</v>
      </c>
      <c r="H43" s="222">
        <f>'Compra dos telefones'!R22</f>
        <v>5363800</v>
      </c>
      <c r="I43" s="190">
        <f>'Custo de equipe'!R19+'Custo de equipe'!W19</f>
        <v>0</v>
      </c>
      <c r="J43" s="190">
        <f>'Custo de equipe'!S19+'Custo de equipe'!X19</f>
        <v>0</v>
      </c>
      <c r="K43" s="190">
        <f>'Custo de equipe'!T19+'Custo de equipe'!Y19</f>
        <v>57000</v>
      </c>
      <c r="L43" s="190">
        <f>'Custo de equipe'!R37+'Custo de equipe'!W37</f>
        <v>0</v>
      </c>
      <c r="M43" s="190">
        <f>'Custo de equipe'!S37+'Custo de equipe'!X37</f>
        <v>0</v>
      </c>
      <c r="N43" s="190">
        <f>'Custo de equipe'!T37+'Custo de equipe'!Y37</f>
        <v>800000</v>
      </c>
      <c r="O43" s="224">
        <f>'Custo de equipe'!R54+'Custo de equipe'!W54</f>
        <v>137000</v>
      </c>
      <c r="P43" s="224">
        <f>'Custo de equipe'!S54+'Custo de equipe'!X54</f>
        <v>314000</v>
      </c>
      <c r="Q43" s="224">
        <f>'Custo de equipe'!T54+'Custo de equipe'!Y54</f>
        <v>1072500</v>
      </c>
      <c r="R43" s="222">
        <f>'Custo de infraestrutura'!R11+'Custo de infraestrutura'!W11</f>
        <v>1050000</v>
      </c>
      <c r="S43" s="222">
        <f>'Custo de infraestrutura'!S11+'Custo de infraestrutura'!X11</f>
        <v>80384000</v>
      </c>
      <c r="T43" s="224">
        <f>SUM(C43:S43)</f>
        <v>320350554</v>
      </c>
    </row>
    <row r="44" spans="2:20" ht="16.5">
      <c r="B44" s="235" t="s">
        <v>156</v>
      </c>
      <c r="C44" s="222">
        <v>0</v>
      </c>
      <c r="D44" s="222">
        <f>armazem!AR13+armazem!BC13</f>
        <v>1078874</v>
      </c>
      <c r="E44" s="222">
        <f>'Compra dos telefones'!O23</f>
        <v>88310600</v>
      </c>
      <c r="F44" s="222">
        <f>'Compra dos telefones'!P23</f>
        <v>44720520</v>
      </c>
      <c r="G44" s="222">
        <f>'Compra dos telefones'!Q23</f>
        <v>15395520</v>
      </c>
      <c r="H44" s="222">
        <f>'Compra dos telefones'!R23</f>
        <v>4022850</v>
      </c>
      <c r="I44" s="190">
        <f>'Custo de equipe'!R20+'Custo de equipe'!W20</f>
        <v>0</v>
      </c>
      <c r="J44" s="190">
        <f>'Custo de equipe'!S20+'Custo de equipe'!X20</f>
        <v>0</v>
      </c>
      <c r="K44" s="190">
        <f>'Custo de equipe'!T20+'Custo de equipe'!Y20</f>
        <v>0</v>
      </c>
      <c r="L44" s="190">
        <f>'Custo de equipe'!R38+'Custo de equipe'!W38</f>
        <v>0</v>
      </c>
      <c r="M44" s="190">
        <f>'Custo de equipe'!S38+'Custo de equipe'!X38</f>
        <v>0</v>
      </c>
      <c r="N44" s="190">
        <f>'Custo de equipe'!T38+'Custo de equipe'!Y38</f>
        <v>0</v>
      </c>
      <c r="O44" s="224">
        <f>'Custo de equipe'!R55+'Custo de equipe'!W55</f>
        <v>137000</v>
      </c>
      <c r="P44" s="224">
        <f>'Custo de equipe'!S55+'Custo de equipe'!X55</f>
        <v>314000</v>
      </c>
      <c r="Q44" s="224">
        <f>'Custo de equipe'!T55+'Custo de equipe'!Y55</f>
        <v>742500</v>
      </c>
      <c r="R44" s="222">
        <f>'Custo de infraestrutura'!R12+'Custo de infraestrutura'!W12</f>
        <v>750000</v>
      </c>
      <c r="S44" s="222">
        <f>'Custo de infraestrutura'!S12+'Custo de infraestrutura'!X12</f>
        <v>56520000</v>
      </c>
      <c r="T44" s="224">
        <f>SUM(C44:S44)</f>
        <v>211991864</v>
      </c>
    </row>
    <row r="45" spans="2:20" ht="16.5">
      <c r="B45" s="235" t="s">
        <v>157</v>
      </c>
      <c r="C45" s="222">
        <v>0</v>
      </c>
      <c r="D45" s="222">
        <f>armazem!AR14+armazem!BC14</f>
        <v>1078874</v>
      </c>
      <c r="E45" s="222">
        <f>'Compra dos telefones'!O24</f>
        <v>0</v>
      </c>
      <c r="F45" s="222">
        <f>'Compra dos telefones'!P24</f>
        <v>14906840</v>
      </c>
      <c r="G45" s="222">
        <f>'Compra dos telefones'!Q24</f>
        <v>7697760</v>
      </c>
      <c r="H45" s="222">
        <f>'Compra dos telefones'!R24</f>
        <v>1340950</v>
      </c>
      <c r="I45" s="190">
        <f>'Custo de equipe'!R21+'Custo de equipe'!W21</f>
        <v>0</v>
      </c>
      <c r="J45" s="190">
        <f>'Custo de equipe'!S21+'Custo de equipe'!X21</f>
        <v>0</v>
      </c>
      <c r="K45" s="190">
        <f>'Custo de equipe'!T21+'Custo de equipe'!Y21</f>
        <v>0</v>
      </c>
      <c r="L45" s="190">
        <f>'Custo de equipe'!R39+'Custo de equipe'!W39</f>
        <v>0</v>
      </c>
      <c r="M45" s="190">
        <f>'Custo de equipe'!S39+'Custo de equipe'!X39</f>
        <v>0</v>
      </c>
      <c r="N45" s="190">
        <f>'Custo de equipe'!T39+'Custo de equipe'!Y39</f>
        <v>0</v>
      </c>
      <c r="O45" s="224">
        <f>'Custo de equipe'!R56+'Custo de equipe'!W56</f>
        <v>137000</v>
      </c>
      <c r="P45" s="224">
        <f>'Custo de equipe'!S56+'Custo de equipe'!X56</f>
        <v>157000</v>
      </c>
      <c r="Q45" s="224">
        <f>'Custo de equipe'!T56+'Custo de equipe'!Y56</f>
        <v>247500</v>
      </c>
      <c r="R45" s="222">
        <f>'Custo de infraestrutura'!R13+'Custo de infraestrutura'!W13</f>
        <v>300000</v>
      </c>
      <c r="S45" s="222">
        <f>'Custo de infraestrutura'!S13+'Custo de infraestrutura'!X13</f>
        <v>17584000</v>
      </c>
      <c r="T45" s="224">
        <f>SUM(C45:S45)</f>
        <v>43449924</v>
      </c>
    </row>
    <row r="46" spans="2:20" ht="16.5">
      <c r="B46" s="235" t="s">
        <v>158</v>
      </c>
      <c r="C46" s="222">
        <v>0</v>
      </c>
      <c r="D46" s="222">
        <f>armazem!AR15+armazem!BC15</f>
        <v>1078874</v>
      </c>
      <c r="E46" s="222">
        <f>'Compra dos telefones'!O25</f>
        <v>132465900</v>
      </c>
      <c r="F46" s="222">
        <f>'Compra dos telefones'!P25</f>
        <v>89441040</v>
      </c>
      <c r="G46" s="222">
        <f>'Compra dos telefones'!Q25</f>
        <v>26942160</v>
      </c>
      <c r="H46" s="222">
        <f>'Compra dos telefones'!R25</f>
        <v>6704750</v>
      </c>
      <c r="I46" s="190">
        <f>'Custo de equipe'!R22+'Custo de equipe'!W22</f>
        <v>15000</v>
      </c>
      <c r="J46" s="190">
        <f>'Custo de equipe'!S22+'Custo de equipe'!X22</f>
        <v>48000</v>
      </c>
      <c r="K46" s="190">
        <f>'Custo de equipe'!T22+'Custo de equipe'!Y22</f>
        <v>228000</v>
      </c>
      <c r="L46" s="190">
        <f>'Custo de equipe'!R40+'Custo de equipe'!W40</f>
        <v>80000</v>
      </c>
      <c r="M46" s="190">
        <f>'Custo de equipe'!S40+'Custo de equipe'!X40</f>
        <v>360000</v>
      </c>
      <c r="N46" s="190">
        <f>'Custo de equipe'!T40+'Custo de equipe'!Y40</f>
        <v>1300000</v>
      </c>
      <c r="O46" s="224">
        <f>'Custo de equipe'!R57+'Custo de equipe'!W57</f>
        <v>205500</v>
      </c>
      <c r="P46" s="224">
        <f>'Custo de equipe'!S57+'Custo de equipe'!X57</f>
        <v>392500</v>
      </c>
      <c r="Q46" s="224">
        <f>'Custo de equipe'!T57+'Custo de equipe'!Y57</f>
        <v>1237500</v>
      </c>
      <c r="R46" s="222">
        <f>'Custo de infraestrutura'!R14+'Custo de infraestrutura'!W14</f>
        <v>1200000</v>
      </c>
      <c r="S46" s="222">
        <f>'Custo de infraestrutura'!S14+'Custo de infraestrutura'!X14</f>
        <v>91688000</v>
      </c>
      <c r="T46" s="224">
        <f>SUM(C46:S46)</f>
        <v>353387224</v>
      </c>
    </row>
    <row r="47" spans="2:20" ht="16.5">
      <c r="B47" s="235" t="s">
        <v>159</v>
      </c>
      <c r="C47" s="222">
        <v>0</v>
      </c>
      <c r="D47" s="222">
        <f>armazem!AR16+armazem!BC16</f>
        <v>1078874</v>
      </c>
      <c r="E47" s="222">
        <f>'Compra dos telefones'!O26</f>
        <v>44155300</v>
      </c>
      <c r="F47" s="222">
        <f>'Compra dos telefones'!P26</f>
        <v>14906840</v>
      </c>
      <c r="G47" s="222">
        <f>'Compra dos telefones'!Q26</f>
        <v>7697760</v>
      </c>
      <c r="H47" s="222">
        <f>'Compra dos telefones'!R26</f>
        <v>1340950</v>
      </c>
      <c r="I47" s="190">
        <f>'Custo de equipe'!R23+'Custo de equipe'!W23</f>
        <v>0</v>
      </c>
      <c r="J47" s="190">
        <f>'Custo de equipe'!S23+'Custo de equipe'!X23</f>
        <v>0</v>
      </c>
      <c r="K47" s="190">
        <f>'Custo de equipe'!T23+'Custo de equipe'!Y23</f>
        <v>0</v>
      </c>
      <c r="L47" s="190">
        <f>'Custo de equipe'!R41+'Custo de equipe'!W41</f>
        <v>0</v>
      </c>
      <c r="M47" s="190">
        <f>'Custo de equipe'!S41+'Custo de equipe'!X41</f>
        <v>0</v>
      </c>
      <c r="N47" s="190">
        <f>'Custo de equipe'!T41+'Custo de equipe'!Y41</f>
        <v>0</v>
      </c>
      <c r="O47" s="224">
        <f>'Custo de equipe'!R58+'Custo de equipe'!W58</f>
        <v>137000</v>
      </c>
      <c r="P47" s="224">
        <f>'Custo de equipe'!S58+'Custo de equipe'!X58</f>
        <v>157000</v>
      </c>
      <c r="Q47" s="224">
        <f>'Custo de equipe'!T58+'Custo de equipe'!Y58</f>
        <v>330000</v>
      </c>
      <c r="R47" s="222">
        <f>'Custo de infraestrutura'!R15+'Custo de infraestrutura'!W15</f>
        <v>300000</v>
      </c>
      <c r="S47" s="222">
        <f>'Custo de infraestrutura'!S15+'Custo de infraestrutura'!X15</f>
        <v>23864000</v>
      </c>
      <c r="T47" s="224">
        <f>SUM(C47:S47)</f>
        <v>93967724</v>
      </c>
    </row>
    <row r="48" spans="2:20" ht="16.5">
      <c r="B48" s="235" t="s">
        <v>160</v>
      </c>
      <c r="C48" s="222">
        <v>0</v>
      </c>
      <c r="D48" s="222">
        <f>armazem!AR17+armazem!BC17</f>
        <v>1078874</v>
      </c>
      <c r="E48" s="222">
        <f>'Compra dos telefones'!O27</f>
        <v>132465900</v>
      </c>
      <c r="F48" s="222">
        <f>'Compra dos telefones'!P27</f>
        <v>89441040</v>
      </c>
      <c r="G48" s="222">
        <f>'Compra dos telefones'!Q27</f>
        <v>30791040</v>
      </c>
      <c r="H48" s="222">
        <f>'Compra dos telefones'!R27</f>
        <v>8045700</v>
      </c>
      <c r="I48" s="190">
        <f>'Custo de equipe'!R24+'Custo de equipe'!W24</f>
        <v>30000</v>
      </c>
      <c r="J48" s="190">
        <f>'Custo de equipe'!S24+'Custo de equipe'!X24</f>
        <v>64000</v>
      </c>
      <c r="K48" s="190">
        <f>'Custo de equipe'!T24+'Custo de equipe'!Y24</f>
        <v>247000</v>
      </c>
      <c r="L48" s="190">
        <f>'Custo de equipe'!R42+'Custo de equipe'!W42</f>
        <v>240000</v>
      </c>
      <c r="M48" s="190">
        <f>'Custo de equipe'!S42+'Custo de equipe'!X42</f>
        <v>450000</v>
      </c>
      <c r="N48" s="190">
        <f>'Custo de equipe'!T42+'Custo de equipe'!Y42</f>
        <v>1500000</v>
      </c>
      <c r="O48" s="224">
        <f>'Custo de equipe'!R59+'Custo de equipe'!W59</f>
        <v>274000</v>
      </c>
      <c r="P48" s="224">
        <f>'Custo de equipe'!S59+'Custo de equipe'!X59</f>
        <v>471000</v>
      </c>
      <c r="Q48" s="224">
        <f>'Custo de equipe'!T59+'Custo de equipe'!Y59</f>
        <v>1402500</v>
      </c>
      <c r="R48" s="222">
        <f>'Custo de infraestrutura'!R16+'Custo de infraestrutura'!W16</f>
        <v>1200000</v>
      </c>
      <c r="S48" s="222">
        <f>'Custo de infraestrutura'!S16+'Custo de infraestrutura'!X16</f>
        <v>104248000</v>
      </c>
      <c r="T48" s="224">
        <f>SUM(C48:S48)</f>
        <v>371949054</v>
      </c>
    </row>
    <row r="49" spans="2:20">
      <c r="B49" s="315" t="s">
        <v>178</v>
      </c>
      <c r="C49" s="222">
        <f>SUM(C37:C48)</f>
        <v>80000000</v>
      </c>
      <c r="D49" s="222">
        <f t="shared" ref="D49:T49" si="2">SUM(D37:D48)</f>
        <v>12407051</v>
      </c>
      <c r="E49" s="222">
        <f>SUM(E37:E48)</f>
        <v>883106000</v>
      </c>
      <c r="F49" s="222">
        <f>SUM(F37:F48)</f>
        <v>596273600</v>
      </c>
      <c r="G49" s="222">
        <f>SUM(G37:G48)</f>
        <v>192444000</v>
      </c>
      <c r="H49" s="222">
        <f>SUM(H37:H48)</f>
        <v>45592300</v>
      </c>
      <c r="I49" s="222">
        <f>SUM(I37:I48)</f>
        <v>75000</v>
      </c>
      <c r="J49" s="222">
        <f>SUM(J37:J48)</f>
        <v>208000</v>
      </c>
      <c r="K49" s="222">
        <f>SUM(K37:K48)</f>
        <v>1026000</v>
      </c>
      <c r="L49" s="222">
        <f>SUM(L37:L48)</f>
        <v>480000</v>
      </c>
      <c r="M49" s="222">
        <f>SUM(M37:M48)</f>
        <v>1530000</v>
      </c>
      <c r="N49" s="222">
        <f>SUM(N37:N48)</f>
        <v>6600000</v>
      </c>
      <c r="O49" s="222">
        <f>SUM(O37:O48)</f>
        <v>1849500</v>
      </c>
      <c r="P49" s="222">
        <f>SUM(P37:P48)</f>
        <v>3297000</v>
      </c>
      <c r="Q49" s="222">
        <f>SUM(Q37:Q48)</f>
        <v>8415000</v>
      </c>
      <c r="R49" s="222">
        <f t="shared" si="2"/>
        <v>8850000</v>
      </c>
      <c r="S49" s="222">
        <f t="shared" si="2"/>
        <v>633024000</v>
      </c>
      <c r="T49" s="222">
        <f t="shared" si="2"/>
        <v>2475177451</v>
      </c>
    </row>
  </sheetData>
  <mergeCells count="12">
    <mergeCell ref="E35:H35"/>
    <mergeCell ref="I35:K35"/>
    <mergeCell ref="L35:N35"/>
    <mergeCell ref="O35:Q35"/>
    <mergeCell ref="I1:K1"/>
    <mergeCell ref="L1:N1"/>
    <mergeCell ref="O1:Q1"/>
    <mergeCell ref="E1:H1"/>
    <mergeCell ref="E18:H18"/>
    <mergeCell ref="I18:K18"/>
    <mergeCell ref="L18:N18"/>
    <mergeCell ref="O18:Q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F4C3-D07F-4D46-8944-38C7341A2599}">
  <dimension ref="B1:Q47"/>
  <sheetViews>
    <sheetView topLeftCell="O4" workbookViewId="0">
      <selection activeCell="O4" sqref="O4"/>
    </sheetView>
  </sheetViews>
  <sheetFormatPr defaultRowHeight="15"/>
  <cols>
    <col min="2" max="2" width="14.5703125" style="212" customWidth="1"/>
    <col min="3" max="5" width="19.85546875" style="212" bestFit="1" customWidth="1"/>
    <col min="6" max="6" width="18.85546875" style="212" bestFit="1" customWidth="1"/>
    <col min="7" max="7" width="18.85546875" style="212" customWidth="1"/>
    <col min="8" max="8" width="19.85546875" style="212" bestFit="1" customWidth="1"/>
    <col min="9" max="9" width="21.7109375" style="212" customWidth="1"/>
    <col min="10" max="10" width="19.85546875" customWidth="1"/>
    <col min="13" max="13" width="11" bestFit="1" customWidth="1"/>
    <col min="14" max="16" width="20.28515625" customWidth="1"/>
    <col min="17" max="17" width="27.140625" customWidth="1"/>
  </cols>
  <sheetData>
    <row r="1" spans="2:17" ht="16.5">
      <c r="C1" s="437" t="s">
        <v>207</v>
      </c>
      <c r="D1" s="438"/>
      <c r="E1" s="438"/>
      <c r="F1" s="439"/>
      <c r="G1" s="318"/>
    </row>
    <row r="2" spans="2:17" ht="54.75" customHeight="1">
      <c r="B2" s="238" t="s">
        <v>210</v>
      </c>
      <c r="C2" s="239" t="s">
        <v>98</v>
      </c>
      <c r="D2" s="239" t="s">
        <v>99</v>
      </c>
      <c r="E2" s="239" t="s">
        <v>100</v>
      </c>
      <c r="F2" s="239" t="s">
        <v>101</v>
      </c>
      <c r="G2" s="239" t="s">
        <v>215</v>
      </c>
      <c r="H2" s="319" t="s">
        <v>178</v>
      </c>
      <c r="I2" s="319" t="s">
        <v>216</v>
      </c>
      <c r="J2" s="207" t="s">
        <v>202</v>
      </c>
      <c r="M2" s="207" t="s">
        <v>202</v>
      </c>
      <c r="N2" s="238" t="s">
        <v>210</v>
      </c>
      <c r="O2" s="238" t="s">
        <v>146</v>
      </c>
      <c r="P2" s="243" t="s">
        <v>217</v>
      </c>
      <c r="Q2" s="304" t="s">
        <v>218</v>
      </c>
    </row>
    <row r="3" spans="2:17" ht="16.5">
      <c r="B3" s="223" t="s">
        <v>149</v>
      </c>
      <c r="C3" s="224">
        <f>'Venda dos celulares'!C16</f>
        <v>466305840.00000006</v>
      </c>
      <c r="D3" s="224">
        <f>'Venda dos celulares'!D16</f>
        <v>279063360</v>
      </c>
      <c r="E3" s="224">
        <f>'Venda dos celulares'!E16</f>
        <v>72578880</v>
      </c>
      <c r="F3" s="224">
        <f>'Venda dos celulares'!F16</f>
        <v>12255600</v>
      </c>
      <c r="G3" s="224">
        <f>SUM('pacotes de serviço'!C8:F8)</f>
        <v>23383000</v>
      </c>
      <c r="H3" s="224">
        <f>SUM(C3:G3)</f>
        <v>853586680</v>
      </c>
      <c r="I3" s="224">
        <f>'Custos mensais'!T3</f>
        <v>823706034</v>
      </c>
      <c r="J3" s="224">
        <f>H3-I3</f>
        <v>29880646</v>
      </c>
      <c r="M3" s="223" t="s">
        <v>149</v>
      </c>
      <c r="N3" s="320">
        <f>J3</f>
        <v>29880646</v>
      </c>
      <c r="O3" s="224">
        <f>J19</f>
        <v>-68354747</v>
      </c>
      <c r="P3" s="237">
        <f>J35</f>
        <v>167501000</v>
      </c>
      <c r="Q3" s="224">
        <f>SUM(N3:P3)</f>
        <v>129026899</v>
      </c>
    </row>
    <row r="4" spans="2:17" ht="16.5">
      <c r="B4" s="223" t="s">
        <v>150</v>
      </c>
      <c r="C4" s="224">
        <f>'Venda dos celulares'!C17</f>
        <v>599536080</v>
      </c>
      <c r="D4" s="224">
        <f>'Venda dos celulares'!D17</f>
        <v>395339760.00000006</v>
      </c>
      <c r="E4" s="224">
        <f>'Venda dos celulares'!E17</f>
        <v>98971200</v>
      </c>
      <c r="F4" s="224">
        <f>'Venda dos celulares'!F17</f>
        <v>18383400</v>
      </c>
      <c r="G4" s="224">
        <f>SUM('pacotes de serviço'!C9:F9)</f>
        <v>31926500</v>
      </c>
      <c r="H4" s="224">
        <f t="shared" ref="H4:H15" si="0">SUM(C4:G4)</f>
        <v>1144156940</v>
      </c>
      <c r="I4" s="224">
        <f>'Custos mensais'!T4</f>
        <v>1086894857</v>
      </c>
      <c r="J4" s="224">
        <f>H4-I4</f>
        <v>57262083</v>
      </c>
      <c r="M4" s="223" t="s">
        <v>150</v>
      </c>
      <c r="N4" s="224">
        <f t="shared" ref="N4:N14" si="1">J4</f>
        <v>57262083</v>
      </c>
      <c r="O4" s="224">
        <f t="shared" ref="O4:O14" si="2">J20</f>
        <v>25031873</v>
      </c>
      <c r="P4" s="237">
        <f t="shared" ref="P4:P14" si="3">J36</f>
        <v>177466980</v>
      </c>
      <c r="Q4" s="224">
        <f t="shared" ref="Q4:Q14" si="4">SUM(N4:P4)</f>
        <v>259760936</v>
      </c>
    </row>
    <row r="5" spans="2:17" ht="16.5">
      <c r="B5" s="223" t="s">
        <v>151</v>
      </c>
      <c r="C5" s="224">
        <f>'Venda dos celulares'!C18</f>
        <v>66615120.000000007</v>
      </c>
      <c r="D5" s="224">
        <f>'Venda dos celulares'!D18</f>
        <v>23255280.000000004</v>
      </c>
      <c r="E5" s="224">
        <f>'Venda dos celulares'!E18</f>
        <v>6598080</v>
      </c>
      <c r="F5" s="224">
        <f>'Venda dos celulares'!F18</f>
        <v>0</v>
      </c>
      <c r="G5" s="224">
        <f>SUM('pacotes de serviço'!C10:F10)</f>
        <v>2348500</v>
      </c>
      <c r="H5" s="224">
        <f t="shared" si="0"/>
        <v>98816980.000000015</v>
      </c>
      <c r="I5" s="224">
        <f>'Custos mensais'!T5</f>
        <v>85399457</v>
      </c>
      <c r="J5" s="224">
        <f>H5-I5</f>
        <v>13417523.000000015</v>
      </c>
      <c r="M5" s="223" t="s">
        <v>151</v>
      </c>
      <c r="N5" s="224">
        <f t="shared" si="1"/>
        <v>13417523.000000015</v>
      </c>
      <c r="O5" s="224">
        <f t="shared" si="2"/>
        <v>-1927787</v>
      </c>
      <c r="P5" s="237">
        <f>J37</f>
        <v>0</v>
      </c>
      <c r="Q5" s="224">
        <f t="shared" si="4"/>
        <v>11489736.000000015</v>
      </c>
    </row>
    <row r="6" spans="2:17" ht="16.5">
      <c r="B6" s="223" t="s">
        <v>152</v>
      </c>
      <c r="C6" s="224">
        <f>'Venda dos celulares'!C19</f>
        <v>865996560.00000012</v>
      </c>
      <c r="D6" s="224">
        <f>'Venda dos celulares'!D19</f>
        <v>581382000.00000012</v>
      </c>
      <c r="E6" s="224">
        <f>'Venda dos celulares'!E19</f>
        <v>151755840</v>
      </c>
      <c r="F6" s="224">
        <f>'Venda dos celulares'!F19</f>
        <v>24511200</v>
      </c>
      <c r="G6" s="224">
        <f>SUM('pacotes de serviço'!C11:F11)</f>
        <v>46915500</v>
      </c>
      <c r="H6" s="224">
        <f t="shared" si="0"/>
        <v>1670561100.0000002</v>
      </c>
      <c r="I6" s="224">
        <f>'Custos mensais'!T6</f>
        <v>1583602217</v>
      </c>
      <c r="J6" s="224">
        <f>H6-I6</f>
        <v>86958883.000000238</v>
      </c>
      <c r="M6" s="223" t="s">
        <v>152</v>
      </c>
      <c r="N6" s="224">
        <f t="shared" si="1"/>
        <v>86958883.000000238</v>
      </c>
      <c r="O6" s="224">
        <f t="shared" si="2"/>
        <v>42887420.00000006</v>
      </c>
      <c r="P6" s="237">
        <f t="shared" si="3"/>
        <v>378134340.00000006</v>
      </c>
      <c r="Q6" s="224">
        <f t="shared" si="4"/>
        <v>507980643.00000036</v>
      </c>
    </row>
    <row r="7" spans="2:17" ht="16.5">
      <c r="B7" s="223" t="s">
        <v>153</v>
      </c>
      <c r="C7" s="224">
        <f>'Venda dos celulares'!C20</f>
        <v>466305840.00000006</v>
      </c>
      <c r="D7" s="224">
        <f>'Venda dos celulares'!D20</f>
        <v>279063360</v>
      </c>
      <c r="E7" s="224">
        <f>'Venda dos celulares'!E20</f>
        <v>72578880</v>
      </c>
      <c r="F7" s="224">
        <f>'Venda dos celulares'!F20</f>
        <v>12255600</v>
      </c>
      <c r="G7" s="224">
        <f>SUM('pacotes de serviço'!C12:F12)</f>
        <v>23383000</v>
      </c>
      <c r="H7" s="224">
        <f t="shared" si="0"/>
        <v>853586680</v>
      </c>
      <c r="I7" s="224">
        <f>'Custos mensais'!T7</f>
        <v>799524534</v>
      </c>
      <c r="J7" s="224">
        <f>H7-I7</f>
        <v>54062146</v>
      </c>
      <c r="M7" s="223" t="s">
        <v>153</v>
      </c>
      <c r="N7" s="224">
        <f t="shared" si="1"/>
        <v>54062146</v>
      </c>
      <c r="O7" s="224">
        <f t="shared" si="2"/>
        <v>7343813</v>
      </c>
      <c r="P7" s="237">
        <f t="shared" si="3"/>
        <v>167253500</v>
      </c>
      <c r="Q7" s="224">
        <f t="shared" si="4"/>
        <v>228659459</v>
      </c>
    </row>
    <row r="8" spans="2:17" ht="16.5">
      <c r="B8" s="223" t="s">
        <v>154</v>
      </c>
      <c r="C8" s="224">
        <f>'Venda dos celulares'!C21</f>
        <v>732766320.00000012</v>
      </c>
      <c r="D8" s="224">
        <f>'Venda dos celulares'!D21</f>
        <v>465105600.00000006</v>
      </c>
      <c r="E8" s="224">
        <f>'Venda dos celulares'!E21</f>
        <v>118765440</v>
      </c>
      <c r="F8" s="224">
        <f>'Venda dos celulares'!F21</f>
        <v>21447300</v>
      </c>
      <c r="G8" s="224">
        <f>SUM('pacotes de serviço'!C13:F13)</f>
        <v>38172000</v>
      </c>
      <c r="H8" s="224">
        <f t="shared" si="0"/>
        <v>1376256660.0000002</v>
      </c>
      <c r="I8" s="224">
        <f>'Custos mensais'!T8</f>
        <v>1295968067</v>
      </c>
      <c r="J8" s="224">
        <f>H8-I8</f>
        <v>80288593.000000238</v>
      </c>
      <c r="M8" s="223" t="s">
        <v>154</v>
      </c>
      <c r="N8" s="224">
        <f t="shared" si="1"/>
        <v>80288593.000000238</v>
      </c>
      <c r="O8" s="224">
        <f t="shared" si="2"/>
        <v>27754463</v>
      </c>
      <c r="P8" s="237">
        <f t="shared" si="3"/>
        <v>276201460</v>
      </c>
      <c r="Q8" s="224">
        <f t="shared" si="4"/>
        <v>384244516.00000024</v>
      </c>
    </row>
    <row r="9" spans="2:17" ht="16.5">
      <c r="B9" s="223" t="s">
        <v>155</v>
      </c>
      <c r="C9" s="224">
        <f>'Venda dos celulares'!C22</f>
        <v>865996560.00000012</v>
      </c>
      <c r="D9" s="224">
        <f>'Venda dos celulares'!D22</f>
        <v>581382000.00000012</v>
      </c>
      <c r="E9" s="224">
        <f>'Venda dos celulares'!E22</f>
        <v>151755840</v>
      </c>
      <c r="F9" s="224">
        <f>'Venda dos celulares'!F22</f>
        <v>24511200</v>
      </c>
      <c r="G9" s="224">
        <f>SUM('pacotes de serviço'!C14:F14)</f>
        <v>46915500</v>
      </c>
      <c r="H9" s="224">
        <f t="shared" si="0"/>
        <v>1670561100.0000002</v>
      </c>
      <c r="I9" s="224">
        <f>'Custos mensais'!T9</f>
        <v>1582603217</v>
      </c>
      <c r="J9" s="224">
        <f>H9-I9</f>
        <v>87957883.000000238</v>
      </c>
      <c r="M9" s="223" t="s">
        <v>155</v>
      </c>
      <c r="N9" s="224">
        <f t="shared" si="1"/>
        <v>87957883.000000238</v>
      </c>
      <c r="O9" s="224">
        <f t="shared" si="2"/>
        <v>43440920.00000006</v>
      </c>
      <c r="P9" s="237">
        <f t="shared" si="3"/>
        <v>378134340.00000006</v>
      </c>
      <c r="Q9" s="224">
        <f t="shared" si="4"/>
        <v>509533143.00000036</v>
      </c>
    </row>
    <row r="10" spans="2:17" ht="16.5">
      <c r="B10" s="223" t="s">
        <v>156</v>
      </c>
      <c r="C10" s="224">
        <f>'Venda dos celulares'!C23</f>
        <v>599536080</v>
      </c>
      <c r="D10" s="224">
        <f>'Venda dos celulares'!D23</f>
        <v>418595040.00000006</v>
      </c>
      <c r="E10" s="224">
        <f>'Venda dos celulares'!E23</f>
        <v>105569280</v>
      </c>
      <c r="F10" s="224">
        <f>'Venda dos celulares'!F23</f>
        <v>21447300</v>
      </c>
      <c r="G10" s="224">
        <f>SUM('pacotes de serviço'!C15:F15)</f>
        <v>33475000</v>
      </c>
      <c r="H10" s="224">
        <f t="shared" si="0"/>
        <v>1178622700</v>
      </c>
      <c r="I10" s="224">
        <f>'Custos mensais'!T10</f>
        <v>1124082027</v>
      </c>
      <c r="J10" s="224">
        <f>H10-I10</f>
        <v>54540673</v>
      </c>
      <c r="M10" s="223" t="s">
        <v>156</v>
      </c>
      <c r="N10" s="224">
        <f t="shared" si="1"/>
        <v>54540673</v>
      </c>
      <c r="O10" s="224">
        <f t="shared" si="2"/>
        <v>31300813</v>
      </c>
      <c r="P10" s="237">
        <f t="shared" si="3"/>
        <v>245181600</v>
      </c>
      <c r="Q10" s="224">
        <f t="shared" si="4"/>
        <v>331023086</v>
      </c>
    </row>
    <row r="11" spans="2:17" ht="16.5">
      <c r="B11" s="223" t="s">
        <v>157</v>
      </c>
      <c r="C11" s="224">
        <f>'Venda dos celulares'!C24</f>
        <v>199845360.00000003</v>
      </c>
      <c r="D11" s="224">
        <f>'Venda dos celulares'!D24</f>
        <v>116276400.00000001</v>
      </c>
      <c r="E11" s="224">
        <f>'Venda dos celulares'!E24</f>
        <v>32990400</v>
      </c>
      <c r="F11" s="224">
        <f>'Venda dos celulares'!F24</f>
        <v>6127800</v>
      </c>
      <c r="G11" s="224">
        <f>SUM('pacotes de serviço'!C16:F16)</f>
        <v>10142500</v>
      </c>
      <c r="H11" s="224">
        <f t="shared" si="0"/>
        <v>365382460.00000006</v>
      </c>
      <c r="I11" s="224">
        <f>'Custos mensais'!T11</f>
        <v>348272774</v>
      </c>
      <c r="J11" s="224">
        <f>H11-I11</f>
        <v>17109686.00000006</v>
      </c>
      <c r="M11" s="223" t="s">
        <v>157</v>
      </c>
      <c r="N11" s="224">
        <f t="shared" si="1"/>
        <v>17109686.00000006</v>
      </c>
      <c r="O11" s="224">
        <f t="shared" si="2"/>
        <v>16684623.000000015</v>
      </c>
      <c r="P11" s="237">
        <f t="shared" si="3"/>
        <v>41315840</v>
      </c>
      <c r="Q11" s="224">
        <f t="shared" si="4"/>
        <v>75110149.000000075</v>
      </c>
    </row>
    <row r="12" spans="2:17" ht="16.5">
      <c r="B12" s="223" t="s">
        <v>158</v>
      </c>
      <c r="C12" s="224">
        <f>'Venda dos celulares'!C25</f>
        <v>999226800.00000012</v>
      </c>
      <c r="D12" s="224">
        <f>'Venda dos celulares'!D25</f>
        <v>674403120.00000012</v>
      </c>
      <c r="E12" s="224">
        <f>'Venda dos celulares'!E25</f>
        <v>171550080</v>
      </c>
      <c r="F12" s="224">
        <f>'Venda dos celulares'!F25</f>
        <v>30639000</v>
      </c>
      <c r="G12" s="224">
        <f>SUM('pacotes de serviço'!C17:F17)</f>
        <v>54210000</v>
      </c>
      <c r="H12" s="224">
        <f t="shared" si="0"/>
        <v>1930029000.0000002</v>
      </c>
      <c r="I12" s="224">
        <f>'Custos mensais'!T12</f>
        <v>1842385217</v>
      </c>
      <c r="J12" s="224">
        <f>H12-I12</f>
        <v>87643783.000000238</v>
      </c>
      <c r="M12" s="223" t="s">
        <v>158</v>
      </c>
      <c r="N12" s="224">
        <f t="shared" si="1"/>
        <v>87643783.000000238</v>
      </c>
      <c r="O12" s="224">
        <f t="shared" si="2"/>
        <v>37975010</v>
      </c>
      <c r="P12" s="237">
        <f t="shared" si="3"/>
        <v>412435100</v>
      </c>
      <c r="Q12" s="224">
        <f t="shared" si="4"/>
        <v>538053893.00000024</v>
      </c>
    </row>
    <row r="13" spans="2:17" ht="16.5">
      <c r="B13" s="223" t="s">
        <v>159</v>
      </c>
      <c r="C13" s="224">
        <f>'Venda dos celulares'!C26</f>
        <v>266460480.00000003</v>
      </c>
      <c r="D13" s="224">
        <f>'Venda dos celulares'!D26</f>
        <v>162786960.00000003</v>
      </c>
      <c r="E13" s="224">
        <f>'Venda dos celulares'!E26</f>
        <v>46186560</v>
      </c>
      <c r="F13" s="224">
        <f>'Venda dos celulares'!F26</f>
        <v>9191700</v>
      </c>
      <c r="G13" s="224">
        <f>SUM('pacotes de serviço'!C18:F18)</f>
        <v>14039500</v>
      </c>
      <c r="H13" s="224">
        <f t="shared" si="0"/>
        <v>498665200.00000006</v>
      </c>
      <c r="I13" s="224">
        <f>'Custos mensais'!T13</f>
        <v>476889964</v>
      </c>
      <c r="J13" s="224">
        <f>H13-I13</f>
        <v>21775236.00000006</v>
      </c>
      <c r="M13" s="223" t="s">
        <v>159</v>
      </c>
      <c r="N13" s="224">
        <f t="shared" si="1"/>
        <v>21775236.00000006</v>
      </c>
      <c r="O13" s="224">
        <f t="shared" si="2"/>
        <v>1462273.0000000149</v>
      </c>
      <c r="P13" s="237">
        <f t="shared" si="3"/>
        <v>108947960.00000001</v>
      </c>
      <c r="Q13" s="224">
        <f t="shared" si="4"/>
        <v>132185469.00000009</v>
      </c>
    </row>
    <row r="14" spans="2:17" ht="16.5">
      <c r="B14" s="223" t="s">
        <v>160</v>
      </c>
      <c r="C14" s="224">
        <f>'Venda dos celulares'!C27</f>
        <v>1132457040</v>
      </c>
      <c r="D14" s="224">
        <f>'Venda dos celulares'!D27</f>
        <v>767424240.00000012</v>
      </c>
      <c r="E14" s="224">
        <f>'Venda dos celulares'!E27</f>
        <v>197942400</v>
      </c>
      <c r="F14" s="224">
        <f>'Venda dos celulares'!F27</f>
        <v>33702900</v>
      </c>
      <c r="G14" s="224">
        <f>SUM('pacotes de serviço'!C19:F19)</f>
        <v>61704500</v>
      </c>
      <c r="H14" s="224">
        <f t="shared" si="0"/>
        <v>2193231080</v>
      </c>
      <c r="I14" s="224">
        <f>'Custos mensais'!T14</f>
        <v>2085751647</v>
      </c>
      <c r="J14" s="224">
        <f>H14-I14</f>
        <v>107479433</v>
      </c>
      <c r="M14" s="223" t="s">
        <v>160</v>
      </c>
      <c r="N14" s="224">
        <f t="shared" si="1"/>
        <v>107479433</v>
      </c>
      <c r="O14" s="224">
        <f t="shared" si="2"/>
        <v>39285750.00000006</v>
      </c>
      <c r="P14" s="237">
        <f t="shared" si="3"/>
        <v>422731080</v>
      </c>
      <c r="Q14" s="224">
        <f t="shared" si="4"/>
        <v>569496263</v>
      </c>
    </row>
    <row r="15" spans="2:17">
      <c r="B15" s="319" t="s">
        <v>178</v>
      </c>
      <c r="C15" s="224">
        <f>SUM(C3:C14)</f>
        <v>7261048080</v>
      </c>
      <c r="D15" s="224">
        <f t="shared" ref="D15:H15" si="5">SUM(D3:D14)</f>
        <v>4744077120</v>
      </c>
      <c r="E15" s="224">
        <f t="shared" si="5"/>
        <v>1227242880</v>
      </c>
      <c r="F15" s="224">
        <f t="shared" si="5"/>
        <v>214473000</v>
      </c>
      <c r="G15" s="224">
        <f t="shared" si="5"/>
        <v>386615500</v>
      </c>
      <c r="H15" s="224">
        <f t="shared" si="0"/>
        <v>13833456580</v>
      </c>
      <c r="I15" s="224">
        <f>'Custos mensais'!T15</f>
        <v>13135080012</v>
      </c>
      <c r="J15" s="224">
        <f>SUM(J3:J14)</f>
        <v>698376568.00000095</v>
      </c>
      <c r="M15" s="207" t="s">
        <v>219</v>
      </c>
      <c r="N15" s="440">
        <f>SUM(N3:P14)</f>
        <v>3676564192.000001</v>
      </c>
      <c r="O15" s="441"/>
      <c r="P15" s="441"/>
      <c r="Q15" s="441"/>
    </row>
    <row r="17" spans="2:10" ht="16.5">
      <c r="C17" s="437" t="s">
        <v>207</v>
      </c>
      <c r="D17" s="438"/>
      <c r="E17" s="438"/>
      <c r="F17" s="439"/>
      <c r="G17" s="318"/>
    </row>
    <row r="18" spans="2:10" ht="91.5">
      <c r="B18" s="238" t="s">
        <v>146</v>
      </c>
      <c r="C18" s="239" t="s">
        <v>98</v>
      </c>
      <c r="D18" s="239" t="s">
        <v>99</v>
      </c>
      <c r="E18" s="239" t="s">
        <v>100</v>
      </c>
      <c r="F18" s="239" t="s">
        <v>101</v>
      </c>
      <c r="G18" s="239" t="s">
        <v>215</v>
      </c>
      <c r="H18" s="319" t="s">
        <v>178</v>
      </c>
      <c r="I18" s="319" t="s">
        <v>216</v>
      </c>
      <c r="J18" s="207" t="s">
        <v>202</v>
      </c>
    </row>
    <row r="19" spans="2:10" ht="16.5">
      <c r="B19" s="223" t="s">
        <v>149</v>
      </c>
      <c r="C19" s="224">
        <f>'Venda dos celulares'!I16</f>
        <v>66615120.000000007</v>
      </c>
      <c r="D19" s="224">
        <f>'Venda dos celulares'!J16</f>
        <v>69765840</v>
      </c>
      <c r="E19" s="224">
        <f>'Venda dos celulares'!K16</f>
        <v>26392320</v>
      </c>
      <c r="F19" s="224">
        <f>'Venda dos celulares'!L16</f>
        <v>15319500</v>
      </c>
      <c r="G19" s="224">
        <f>SUM('pacotes de serviço'!I8:L8)</f>
        <v>6843500</v>
      </c>
      <c r="H19" s="224">
        <f>SUM(C19:G19)</f>
        <v>184936280</v>
      </c>
      <c r="I19" s="224">
        <f>'Custos mensais'!T20</f>
        <v>253291027</v>
      </c>
      <c r="J19" s="224">
        <f>H19-I19</f>
        <v>-68354747</v>
      </c>
    </row>
    <row r="20" spans="2:10" ht="16.5">
      <c r="B20" s="223" t="s">
        <v>150</v>
      </c>
      <c r="C20" s="224">
        <f>'Venda dos celulares'!I17</f>
        <v>133230240.00000001</v>
      </c>
      <c r="D20" s="224">
        <f>'Venda dos celulares'!J17</f>
        <v>69765840</v>
      </c>
      <c r="E20" s="224">
        <f>'Venda dos celulares'!K17</f>
        <v>39588480</v>
      </c>
      <c r="F20" s="224">
        <f>'Venda dos celulares'!L17</f>
        <v>21447300</v>
      </c>
      <c r="G20" s="224">
        <f>SUM('pacotes de serviço'!I9:L9)</f>
        <v>9541000</v>
      </c>
      <c r="H20" s="224">
        <f t="shared" ref="H20:H30" si="6">SUM(C20:G20)</f>
        <v>273572860</v>
      </c>
      <c r="I20" s="224">
        <f>'Custos mensais'!T21</f>
        <v>248540987</v>
      </c>
      <c r="J20" s="224">
        <f>H20-I20</f>
        <v>25031873</v>
      </c>
    </row>
    <row r="21" spans="2:10" ht="16.5">
      <c r="B21" s="223" t="s">
        <v>151</v>
      </c>
      <c r="C21" s="224">
        <f>'Venda dos celulares'!I18</f>
        <v>0</v>
      </c>
      <c r="D21" s="224">
        <f>'Venda dos celulares'!J18</f>
        <v>0</v>
      </c>
      <c r="E21" s="224">
        <f>'Venda dos celulares'!K18</f>
        <v>6598080</v>
      </c>
      <c r="F21" s="224">
        <f>'Venda dos celulares'!L18</f>
        <v>3063900</v>
      </c>
      <c r="G21" s="224">
        <f>SUM('pacotes de serviço'!I10:L10)</f>
        <v>799000</v>
      </c>
      <c r="H21" s="224">
        <f t="shared" si="6"/>
        <v>10460980</v>
      </c>
      <c r="I21" s="224">
        <f>'Custos mensais'!T22</f>
        <v>12388767</v>
      </c>
      <c r="J21" s="224">
        <f>H21-I21</f>
        <v>-1927787</v>
      </c>
    </row>
    <row r="22" spans="2:10" ht="16.5">
      <c r="B22" s="223" t="s">
        <v>152</v>
      </c>
      <c r="C22" s="224">
        <f>'Venda dos celulares'!I19</f>
        <v>199845360.00000003</v>
      </c>
      <c r="D22" s="224">
        <f>'Venda dos celulares'!J19</f>
        <v>116276400.00000001</v>
      </c>
      <c r="E22" s="224">
        <f>'Venda dos celulares'!K19</f>
        <v>59382720</v>
      </c>
      <c r="F22" s="224">
        <f>'Venda dos celulares'!L19</f>
        <v>30639000</v>
      </c>
      <c r="G22" s="224">
        <f>SUM('pacotes de serviço'!I11:L11)</f>
        <v>14536500</v>
      </c>
      <c r="H22" s="224">
        <f t="shared" si="6"/>
        <v>420679980.00000006</v>
      </c>
      <c r="I22" s="224">
        <f>'Custos mensais'!T23</f>
        <v>377792560</v>
      </c>
      <c r="J22" s="224">
        <f>H22-I22</f>
        <v>42887420.00000006</v>
      </c>
    </row>
    <row r="23" spans="2:10" ht="16.5">
      <c r="B23" s="223" t="s">
        <v>153</v>
      </c>
      <c r="C23" s="224">
        <f>'Venda dos celulares'!I20</f>
        <v>66615120.000000007</v>
      </c>
      <c r="D23" s="224">
        <f>'Venda dos celulares'!J20</f>
        <v>46510560.000000007</v>
      </c>
      <c r="E23" s="224">
        <f>'Venda dos celulares'!K20</f>
        <v>26392320</v>
      </c>
      <c r="F23" s="224">
        <f>'Venda dos celulares'!L20</f>
        <v>15319500</v>
      </c>
      <c r="G23" s="224">
        <f>SUM('pacotes de serviço'!I12:L12)</f>
        <v>6094000</v>
      </c>
      <c r="H23" s="224">
        <f t="shared" si="6"/>
        <v>160931500</v>
      </c>
      <c r="I23" s="224">
        <f>'Custos mensais'!T24</f>
        <v>153587687</v>
      </c>
      <c r="J23" s="224">
        <f>H23-I23</f>
        <v>7343813</v>
      </c>
    </row>
    <row r="24" spans="2:10" ht="16.5">
      <c r="B24" s="223" t="s">
        <v>154</v>
      </c>
      <c r="C24" s="224">
        <f>'Venda dos celulares'!I21</f>
        <v>133230240.00000001</v>
      </c>
      <c r="D24" s="224">
        <f>'Venda dos celulares'!J21</f>
        <v>93021120.000000015</v>
      </c>
      <c r="E24" s="224">
        <f>'Venda dos celulares'!K21</f>
        <v>46186560</v>
      </c>
      <c r="F24" s="224">
        <f>'Venda dos celulares'!L21</f>
        <v>24511200</v>
      </c>
      <c r="G24" s="224">
        <f>SUM('pacotes de serviço'!I13:L13)</f>
        <v>11089500</v>
      </c>
      <c r="H24" s="224">
        <f t="shared" si="6"/>
        <v>308038620</v>
      </c>
      <c r="I24" s="224">
        <f>'Custos mensais'!T25</f>
        <v>280284157</v>
      </c>
      <c r="J24" s="224">
        <f>H24-I24</f>
        <v>27754463</v>
      </c>
    </row>
    <row r="25" spans="2:10" ht="16.5">
      <c r="B25" s="223" t="s">
        <v>155</v>
      </c>
      <c r="C25" s="224">
        <f>'Venda dos celulares'!I22</f>
        <v>199845360.00000003</v>
      </c>
      <c r="D25" s="224">
        <f>'Venda dos celulares'!J22</f>
        <v>116276400.00000001</v>
      </c>
      <c r="E25" s="224">
        <f>'Venda dos celulares'!K22</f>
        <v>59382720</v>
      </c>
      <c r="F25" s="224">
        <f>'Venda dos celulares'!L22</f>
        <v>30639000</v>
      </c>
      <c r="G25" s="224">
        <f>SUM('pacotes de serviço'!I14:L14)</f>
        <v>14536500</v>
      </c>
      <c r="H25" s="224">
        <f t="shared" si="6"/>
        <v>420679980.00000006</v>
      </c>
      <c r="I25" s="224">
        <f>'Custos mensais'!T26</f>
        <v>377239060</v>
      </c>
      <c r="J25" s="224">
        <f>H25-I25</f>
        <v>43440920.00000006</v>
      </c>
    </row>
    <row r="26" spans="2:10" ht="16.5">
      <c r="B26" s="223" t="s">
        <v>156</v>
      </c>
      <c r="C26" s="224">
        <f>'Venda dos celulares'!I23</f>
        <v>133230240.00000001</v>
      </c>
      <c r="D26" s="224">
        <f>'Venda dos celulares'!J23</f>
        <v>93021120.000000015</v>
      </c>
      <c r="E26" s="224">
        <f>'Venda dos celulares'!K23</f>
        <v>39588480</v>
      </c>
      <c r="F26" s="224">
        <f>'Venda dos celulares'!L23</f>
        <v>21447300</v>
      </c>
      <c r="G26" s="224">
        <f>SUM('pacotes de serviço'!I15:L15)</f>
        <v>10290500</v>
      </c>
      <c r="H26" s="224">
        <f t="shared" si="6"/>
        <v>297577640</v>
      </c>
      <c r="I26" s="224">
        <f>'Custos mensais'!T27</f>
        <v>266276827</v>
      </c>
      <c r="J26" s="224">
        <f>H26-I26</f>
        <v>31300813</v>
      </c>
    </row>
    <row r="27" spans="2:10" ht="16.5">
      <c r="B27" s="223" t="s">
        <v>157</v>
      </c>
      <c r="C27" s="224">
        <f>'Venda dos celulares'!I24</f>
        <v>66615120.000000007</v>
      </c>
      <c r="D27" s="224">
        <f>'Venda dos celulares'!J24</f>
        <v>23255280.000000004</v>
      </c>
      <c r="E27" s="224">
        <f>'Venda dos celulares'!K24</f>
        <v>13196160</v>
      </c>
      <c r="F27" s="224">
        <f>'Venda dos celulares'!L24</f>
        <v>6127800</v>
      </c>
      <c r="G27" s="224">
        <f>SUM('pacotes de serviço'!I16:L16)</f>
        <v>3447000</v>
      </c>
      <c r="H27" s="224">
        <f t="shared" si="6"/>
        <v>112641360.00000001</v>
      </c>
      <c r="I27" s="224">
        <f>'Custos mensais'!T28</f>
        <v>95956737</v>
      </c>
      <c r="J27" s="224">
        <f>H27-I27</f>
        <v>16684623.000000015</v>
      </c>
    </row>
    <row r="28" spans="2:10" ht="16.5">
      <c r="B28" s="223" t="s">
        <v>158</v>
      </c>
      <c r="C28" s="224">
        <f>'Venda dos celulares'!I25</f>
        <v>199845360.00000003</v>
      </c>
      <c r="D28" s="224">
        <f>'Venda dos celulares'!J25</f>
        <v>139531680</v>
      </c>
      <c r="E28" s="224">
        <f>'Venda dos celulares'!K25</f>
        <v>65980800</v>
      </c>
      <c r="F28" s="224">
        <f>'Venda dos celulares'!L25</f>
        <v>33702900</v>
      </c>
      <c r="G28" s="224">
        <f>SUM('pacotes de serviço'!I17:L17)</f>
        <v>16085000</v>
      </c>
      <c r="H28" s="224">
        <f t="shared" si="6"/>
        <v>455145740</v>
      </c>
      <c r="I28" s="224">
        <f>'Custos mensais'!T29</f>
        <v>417170730</v>
      </c>
      <c r="J28" s="224">
        <f>H28-I28</f>
        <v>37975010</v>
      </c>
    </row>
    <row r="29" spans="2:10" ht="16.5">
      <c r="B29" s="223" t="s">
        <v>159</v>
      </c>
      <c r="C29" s="224">
        <f>'Venda dos celulares'!I26</f>
        <v>66615120.000000007</v>
      </c>
      <c r="D29" s="224">
        <f>'Venda dos celulares'!J26</f>
        <v>23255280.000000004</v>
      </c>
      <c r="E29" s="224">
        <f>'Venda dos celulares'!K26</f>
        <v>19794240</v>
      </c>
      <c r="F29" s="224">
        <f>'Venda dos celulares'!L26</f>
        <v>9191700</v>
      </c>
      <c r="G29" s="224">
        <f>SUM('pacotes de serviço'!I18:L18)</f>
        <v>4246000</v>
      </c>
      <c r="H29" s="224">
        <f t="shared" si="6"/>
        <v>123102340.00000001</v>
      </c>
      <c r="I29" s="224">
        <f>'Custos mensais'!T30</f>
        <v>121640067</v>
      </c>
      <c r="J29" s="224">
        <f>H29-I29</f>
        <v>1462273.0000000149</v>
      </c>
    </row>
    <row r="30" spans="2:10" ht="16.5">
      <c r="B30" s="223" t="s">
        <v>160</v>
      </c>
      <c r="C30" s="224">
        <f>'Venda dos celulares'!I27</f>
        <v>199845360.00000003</v>
      </c>
      <c r="D30" s="224">
        <f>'Venda dos celulares'!J27</f>
        <v>162786960.00000003</v>
      </c>
      <c r="E30" s="224">
        <f>'Venda dos celulares'!K27</f>
        <v>79176960</v>
      </c>
      <c r="F30" s="224">
        <f>'Venda dos celulares'!L27</f>
        <v>39830700</v>
      </c>
      <c r="G30" s="224">
        <f>SUM('pacotes de serviço'!I19:L19)</f>
        <v>18432500</v>
      </c>
      <c r="H30" s="224">
        <f t="shared" si="6"/>
        <v>500072480.00000006</v>
      </c>
      <c r="I30" s="224">
        <f>'Custos mensais'!T31</f>
        <v>460786730</v>
      </c>
      <c r="J30" s="224">
        <f>H30-I30</f>
        <v>39285750.00000006</v>
      </c>
    </row>
    <row r="31" spans="2:10">
      <c r="B31" s="319" t="s">
        <v>178</v>
      </c>
      <c r="C31" s="224">
        <f>SUM(C19:C30)</f>
        <v>1465532640.0000002</v>
      </c>
      <c r="D31" s="224">
        <f t="shared" ref="D31:H31" si="7">SUM(D19:D30)</f>
        <v>953466480</v>
      </c>
      <c r="E31" s="224">
        <f t="shared" si="7"/>
        <v>481659840</v>
      </c>
      <c r="F31" s="224">
        <f t="shared" si="7"/>
        <v>251239800</v>
      </c>
      <c r="G31" s="224">
        <f t="shared" si="7"/>
        <v>115941000</v>
      </c>
      <c r="H31" s="224">
        <f t="shared" ref="H20:H31" si="8">SUM(C31:F31)</f>
        <v>3151898760</v>
      </c>
      <c r="I31" s="224">
        <f>'Custos mensais'!T31</f>
        <v>460786730</v>
      </c>
      <c r="J31" s="224">
        <f>SUM(J19:J30)</f>
        <v>202884424.00000018</v>
      </c>
    </row>
    <row r="33" spans="2:10" ht="16.5">
      <c r="C33" s="437" t="s">
        <v>207</v>
      </c>
      <c r="D33" s="438"/>
      <c r="E33" s="438"/>
      <c r="F33" s="439"/>
      <c r="G33" s="321"/>
    </row>
    <row r="34" spans="2:10" ht="91.5">
      <c r="B34" s="242" t="s">
        <v>217</v>
      </c>
      <c r="C34" s="239" t="s">
        <v>98</v>
      </c>
      <c r="D34" s="239" t="s">
        <v>99</v>
      </c>
      <c r="E34" s="239" t="s">
        <v>100</v>
      </c>
      <c r="F34" s="239" t="s">
        <v>101</v>
      </c>
      <c r="G34" s="239" t="s">
        <v>215</v>
      </c>
      <c r="H34" s="319" t="s">
        <v>178</v>
      </c>
      <c r="I34" s="319" t="s">
        <v>216</v>
      </c>
      <c r="J34" s="207" t="s">
        <v>202</v>
      </c>
    </row>
    <row r="35" spans="2:10" ht="16.5">
      <c r="B35" s="223" t="s">
        <v>149</v>
      </c>
      <c r="C35" s="224">
        <f>'Venda dos celulares'!O16</f>
        <v>66615120.000000007</v>
      </c>
      <c r="D35" s="224">
        <f>'Venda dos celulares'!P16</f>
        <v>69765840</v>
      </c>
      <c r="E35" s="224">
        <f>'Venda dos celulares'!Q16</f>
        <v>19794240</v>
      </c>
      <c r="F35" s="224">
        <f>'Venda dos celulares'!R16</f>
        <v>6127800</v>
      </c>
      <c r="G35" s="224">
        <f>SUM('pacotes de serviço'!O8:R8)</f>
        <v>5445500</v>
      </c>
      <c r="H35" s="224">
        <f>SUM(C35:G35)</f>
        <v>167748500</v>
      </c>
      <c r="I35" s="224">
        <f>'Custos mensais'!Q37</f>
        <v>247500</v>
      </c>
      <c r="J35" s="224">
        <f>H35-I35</f>
        <v>167501000</v>
      </c>
    </row>
    <row r="36" spans="2:10" ht="16.5">
      <c r="B36" s="223" t="s">
        <v>150</v>
      </c>
      <c r="C36" s="224">
        <f>'Venda dos celulares'!O17</f>
        <v>66615120.000000007</v>
      </c>
      <c r="D36" s="224">
        <f>'Venda dos celulares'!P17</f>
        <v>69765840</v>
      </c>
      <c r="E36" s="224">
        <f>'Venda dos celulares'!Q17</f>
        <v>26392320</v>
      </c>
      <c r="F36" s="224">
        <f>'Venda dos celulares'!R17</f>
        <v>9191700</v>
      </c>
      <c r="G36" s="224">
        <f>SUM('pacotes de serviço'!O9:R9)</f>
        <v>6244500</v>
      </c>
      <c r="H36" s="224">
        <f t="shared" ref="H36:H46" si="9">SUM(C36:G36)</f>
        <v>178209480</v>
      </c>
      <c r="I36" s="224">
        <f>'Custos mensais'!Q38</f>
        <v>742500</v>
      </c>
      <c r="J36" s="224">
        <f>H36-I36</f>
        <v>177466980</v>
      </c>
    </row>
    <row r="37" spans="2:10" ht="16.5">
      <c r="B37" s="223" t="s">
        <v>151</v>
      </c>
      <c r="C37" s="224">
        <f>'Venda dos celulares'!O18</f>
        <v>0</v>
      </c>
      <c r="D37" s="224">
        <f>'Venda dos celulares'!P18</f>
        <v>0</v>
      </c>
      <c r="E37" s="224">
        <f>'Venda dos celulares'!Q18</f>
        <v>0</v>
      </c>
      <c r="F37" s="224">
        <f>'Venda dos celulares'!R18</f>
        <v>0</v>
      </c>
      <c r="G37" s="224">
        <f>SUM('pacotes de serviço'!O10:R10)</f>
        <v>0</v>
      </c>
      <c r="H37" s="224">
        <f t="shared" si="9"/>
        <v>0</v>
      </c>
      <c r="I37" s="224">
        <f>'Custos mensais'!Q39</f>
        <v>0</v>
      </c>
      <c r="J37" s="224">
        <f>H37-I37</f>
        <v>0</v>
      </c>
    </row>
    <row r="38" spans="2:10" ht="16.5">
      <c r="B38" s="223" t="s">
        <v>152</v>
      </c>
      <c r="C38" s="224">
        <f>'Venda dos celulares'!O19</f>
        <v>199845360.00000003</v>
      </c>
      <c r="D38" s="224">
        <f>'Venda dos celulares'!P19</f>
        <v>116276400.00000001</v>
      </c>
      <c r="E38" s="224">
        <f>'Venda dos celulares'!Q19</f>
        <v>39588480</v>
      </c>
      <c r="F38" s="224">
        <f>'Venda dos celulares'!R19</f>
        <v>12255600</v>
      </c>
      <c r="G38" s="224">
        <f>SUM('pacotes de serviço'!O11:R11)</f>
        <v>11241000</v>
      </c>
      <c r="H38" s="224">
        <f t="shared" si="9"/>
        <v>379206840.00000006</v>
      </c>
      <c r="I38" s="224">
        <f>'Custos mensais'!Q40</f>
        <v>1072500</v>
      </c>
      <c r="J38" s="224">
        <f>H38-I38</f>
        <v>378134340.00000006</v>
      </c>
    </row>
    <row r="39" spans="2:10" ht="16.5">
      <c r="B39" s="223" t="s">
        <v>153</v>
      </c>
      <c r="C39" s="224">
        <f>'Venda dos celulares'!O20</f>
        <v>66615120.000000007</v>
      </c>
      <c r="D39" s="224">
        <f>'Venda dos celulares'!P20</f>
        <v>69765840</v>
      </c>
      <c r="E39" s="224">
        <f>'Venda dos celulares'!Q20</f>
        <v>19794240</v>
      </c>
      <c r="F39" s="224">
        <f>'Venda dos celulares'!R20</f>
        <v>6127800</v>
      </c>
      <c r="G39" s="224">
        <f>SUM('pacotes de serviço'!O12:R12)</f>
        <v>5445500</v>
      </c>
      <c r="H39" s="224">
        <f t="shared" si="9"/>
        <v>167748500</v>
      </c>
      <c r="I39" s="224">
        <f>'Custos mensais'!Q41</f>
        <v>495000</v>
      </c>
      <c r="J39" s="224">
        <f>H39-I39</f>
        <v>167253500</v>
      </c>
    </row>
    <row r="40" spans="2:10" ht="16.5">
      <c r="B40" s="223" t="s">
        <v>154</v>
      </c>
      <c r="C40" s="224">
        <f>'Venda dos celulares'!O21</f>
        <v>133230240.00000001</v>
      </c>
      <c r="D40" s="224">
        <f>'Venda dos celulares'!P21</f>
        <v>93021120.000000015</v>
      </c>
      <c r="E40" s="224">
        <f>'Venda dos celulares'!Q21</f>
        <v>32990400</v>
      </c>
      <c r="F40" s="224">
        <f>'Venda dos celulares'!R21</f>
        <v>9191700</v>
      </c>
      <c r="G40" s="224">
        <f>SUM('pacotes de serviço'!O13:R13)</f>
        <v>8593000</v>
      </c>
      <c r="H40" s="224">
        <f t="shared" si="9"/>
        <v>277026460</v>
      </c>
      <c r="I40" s="224">
        <f>'Custos mensais'!Q42</f>
        <v>825000</v>
      </c>
      <c r="J40" s="224">
        <f>H40-I40</f>
        <v>276201460</v>
      </c>
    </row>
    <row r="41" spans="2:10" ht="16.5">
      <c r="B41" s="223" t="s">
        <v>155</v>
      </c>
      <c r="C41" s="224">
        <f>'Venda dos celulares'!O22</f>
        <v>199845360.00000003</v>
      </c>
      <c r="D41" s="224">
        <f>'Venda dos celulares'!P22</f>
        <v>116276400.00000001</v>
      </c>
      <c r="E41" s="224">
        <f>'Venda dos celulares'!Q22</f>
        <v>39588480</v>
      </c>
      <c r="F41" s="224">
        <f>'Venda dos celulares'!R22</f>
        <v>12255600</v>
      </c>
      <c r="G41" s="224">
        <f>SUM('pacotes de serviço'!O14:R14)</f>
        <v>11241000</v>
      </c>
      <c r="H41" s="224">
        <f t="shared" si="9"/>
        <v>379206840.00000006</v>
      </c>
      <c r="I41" s="224">
        <f>'Custos mensais'!Q43</f>
        <v>1072500</v>
      </c>
      <c r="J41" s="224">
        <f>H41-I41</f>
        <v>378134340.00000006</v>
      </c>
    </row>
    <row r="42" spans="2:10" ht="16.5">
      <c r="B42" s="223" t="s">
        <v>156</v>
      </c>
      <c r="C42" s="224">
        <f>'Venda dos celulares'!O23</f>
        <v>133230240.00000001</v>
      </c>
      <c r="D42" s="224">
        <f>'Venda dos celulares'!P23</f>
        <v>69765840</v>
      </c>
      <c r="E42" s="224">
        <f>'Venda dos celulares'!Q23</f>
        <v>26392320</v>
      </c>
      <c r="F42" s="224">
        <f>'Venda dos celulares'!R23</f>
        <v>9191700</v>
      </c>
      <c r="G42" s="224">
        <f>SUM('pacotes de serviço'!O15:R15)</f>
        <v>7344000</v>
      </c>
      <c r="H42" s="224">
        <f t="shared" si="9"/>
        <v>245924100</v>
      </c>
      <c r="I42" s="224">
        <f>'Custos mensais'!Q44</f>
        <v>742500</v>
      </c>
      <c r="J42" s="224">
        <f>H42-I42</f>
        <v>245181600</v>
      </c>
    </row>
    <row r="43" spans="2:10" ht="16.5">
      <c r="B43" s="223" t="s">
        <v>157</v>
      </c>
      <c r="C43" s="224">
        <f>'Venda dos celulares'!O24</f>
        <v>0</v>
      </c>
      <c r="D43" s="224">
        <f>'Venda dos celulares'!P24</f>
        <v>23255280.000000004</v>
      </c>
      <c r="E43" s="224">
        <f>'Venda dos celulares'!Q24</f>
        <v>13196160</v>
      </c>
      <c r="F43" s="224">
        <f>'Venda dos celulares'!R24</f>
        <v>3063900</v>
      </c>
      <c r="G43" s="224">
        <f>SUM('pacotes de serviço'!O16:R16)</f>
        <v>2048000</v>
      </c>
      <c r="H43" s="224">
        <f t="shared" si="9"/>
        <v>41563340</v>
      </c>
      <c r="I43" s="224">
        <f>'Custos mensais'!Q45</f>
        <v>247500</v>
      </c>
      <c r="J43" s="224">
        <f>H43-I43</f>
        <v>41315840</v>
      </c>
    </row>
    <row r="44" spans="2:10" ht="16.5">
      <c r="B44" s="223" t="s">
        <v>158</v>
      </c>
      <c r="C44" s="224">
        <f>'Venda dos celulares'!O25</f>
        <v>199845360.00000003</v>
      </c>
      <c r="D44" s="224">
        <f>'Venda dos celulares'!P25</f>
        <v>139531680</v>
      </c>
      <c r="E44" s="224">
        <f>'Venda dos celulares'!Q25</f>
        <v>46186560</v>
      </c>
      <c r="F44" s="224">
        <f>'Venda dos celulares'!R25</f>
        <v>15319500</v>
      </c>
      <c r="G44" s="224">
        <f>SUM('pacotes de serviço'!O17:R17)</f>
        <v>12789500</v>
      </c>
      <c r="H44" s="224">
        <f t="shared" si="9"/>
        <v>413672600</v>
      </c>
      <c r="I44" s="224">
        <f>'Custos mensais'!Q46</f>
        <v>1237500</v>
      </c>
      <c r="J44" s="224">
        <f>H44-I44</f>
        <v>412435100</v>
      </c>
    </row>
    <row r="45" spans="2:10" ht="16.5">
      <c r="B45" s="223" t="s">
        <v>159</v>
      </c>
      <c r="C45" s="224">
        <f>'Venda dos celulares'!O26</f>
        <v>66615120.000000007</v>
      </c>
      <c r="D45" s="224">
        <f>'Venda dos celulares'!P26</f>
        <v>23255280.000000004</v>
      </c>
      <c r="E45" s="224">
        <f>'Venda dos celulares'!Q26</f>
        <v>13196160</v>
      </c>
      <c r="F45" s="224">
        <f>'Venda dos celulares'!R26</f>
        <v>3063900</v>
      </c>
      <c r="G45" s="224">
        <f>SUM('pacotes de serviço'!O18:R18)</f>
        <v>3147500</v>
      </c>
      <c r="H45" s="224">
        <f t="shared" si="9"/>
        <v>109277960.00000001</v>
      </c>
      <c r="I45" s="224">
        <f>'Custos mensais'!Q47</f>
        <v>330000</v>
      </c>
      <c r="J45" s="224">
        <f>H45-I45</f>
        <v>108947960.00000001</v>
      </c>
    </row>
    <row r="46" spans="2:10" ht="16.5">
      <c r="B46" s="223" t="s">
        <v>160</v>
      </c>
      <c r="C46" s="224">
        <f>'Venda dos celulares'!O27</f>
        <v>199845360.00000003</v>
      </c>
      <c r="D46" s="224">
        <f>'Venda dos celulares'!P27</f>
        <v>139531680</v>
      </c>
      <c r="E46" s="224">
        <f>'Venda dos celulares'!Q27</f>
        <v>52784640</v>
      </c>
      <c r="F46" s="224">
        <f>'Venda dos celulares'!R27</f>
        <v>18383400</v>
      </c>
      <c r="G46" s="224">
        <f>SUM('pacotes de serviço'!O19:R19)</f>
        <v>13588500</v>
      </c>
      <c r="H46" s="224">
        <f t="shared" si="9"/>
        <v>424133580</v>
      </c>
      <c r="I46" s="224">
        <f>'Custos mensais'!Q48</f>
        <v>1402500</v>
      </c>
      <c r="J46" s="224">
        <f>H46-I46</f>
        <v>422731080</v>
      </c>
    </row>
    <row r="47" spans="2:10">
      <c r="B47" s="319" t="s">
        <v>178</v>
      </c>
      <c r="C47" s="224">
        <f>SUM(C35:C46)</f>
        <v>1332302400.0000002</v>
      </c>
      <c r="D47" s="224">
        <f t="shared" ref="D47:H47" si="10">SUM(D35:D46)</f>
        <v>930211200</v>
      </c>
      <c r="E47" s="224">
        <f t="shared" si="10"/>
        <v>329904000</v>
      </c>
      <c r="F47" s="224">
        <f t="shared" si="10"/>
        <v>104172600</v>
      </c>
      <c r="G47" s="224">
        <f t="shared" si="10"/>
        <v>87128000</v>
      </c>
      <c r="H47" s="224">
        <f t="shared" ref="H36:H47" si="11">SUM(C47:F47)</f>
        <v>2696590200</v>
      </c>
      <c r="I47" s="224">
        <f>'Custos mensais'!T47</f>
        <v>93967724</v>
      </c>
      <c r="J47" s="224">
        <f>SUM(J35:J46)</f>
        <v>2775303200</v>
      </c>
    </row>
  </sheetData>
  <mergeCells count="4">
    <mergeCell ref="C1:F1"/>
    <mergeCell ref="C17:F17"/>
    <mergeCell ref="C33:F33"/>
    <mergeCell ref="N15:Q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D38C-43A6-4127-AB44-52757F937160}">
  <dimension ref="B2:AO47"/>
  <sheetViews>
    <sheetView topLeftCell="Q5" workbookViewId="0">
      <selection activeCell="F10" sqref="F10"/>
    </sheetView>
  </sheetViews>
  <sheetFormatPr defaultRowHeight="15"/>
  <cols>
    <col min="1" max="1" width="3.28515625" customWidth="1"/>
    <col min="2" max="2" width="12.28515625" customWidth="1"/>
    <col min="3" max="3" width="15" customWidth="1"/>
    <col min="4" max="5" width="12.28515625" customWidth="1"/>
    <col min="9" max="9" width="11" bestFit="1" customWidth="1"/>
    <col min="10" max="14" width="11.42578125" customWidth="1"/>
    <col min="16" max="21" width="12.140625" customWidth="1"/>
    <col min="23" max="28" width="13" customWidth="1"/>
    <col min="30" max="35" width="11.7109375" customWidth="1"/>
    <col min="37" max="37" width="7.7109375" customWidth="1"/>
    <col min="38" max="40" width="29.140625" bestFit="1" customWidth="1"/>
  </cols>
  <sheetData>
    <row r="2" spans="2:41">
      <c r="B2" s="177" t="s">
        <v>120</v>
      </c>
      <c r="C2" s="177" t="s">
        <v>220</v>
      </c>
      <c r="D2" s="399" t="s">
        <v>221</v>
      </c>
      <c r="E2" s="400"/>
      <c r="F2" s="400"/>
      <c r="G2" s="400"/>
      <c r="H2" s="401"/>
    </row>
    <row r="3" spans="2:41" ht="18.75" customHeight="1">
      <c r="B3" s="397">
        <v>0.6</v>
      </c>
      <c r="C3" s="391">
        <v>2500</v>
      </c>
      <c r="D3" s="398" t="s">
        <v>222</v>
      </c>
      <c r="E3" s="398"/>
      <c r="F3" s="398"/>
      <c r="G3" s="398"/>
      <c r="H3" s="398"/>
      <c r="K3" s="393" t="s">
        <v>223</v>
      </c>
      <c r="L3" s="394"/>
      <c r="M3" s="394"/>
      <c r="N3" s="394"/>
      <c r="O3" s="394"/>
      <c r="P3" s="394"/>
      <c r="Q3" s="394"/>
      <c r="R3" s="394"/>
      <c r="S3" s="394"/>
      <c r="T3" s="394"/>
      <c r="U3" s="394"/>
      <c r="V3" s="394"/>
      <c r="W3" s="394"/>
      <c r="X3" s="394"/>
    </row>
    <row r="4" spans="2:41" ht="18.75" customHeight="1">
      <c r="B4" s="397"/>
      <c r="C4" s="391"/>
      <c r="D4" s="398"/>
      <c r="E4" s="398"/>
      <c r="F4" s="398"/>
      <c r="G4" s="398"/>
      <c r="H4" s="398"/>
      <c r="K4" s="394"/>
      <c r="L4" s="394"/>
      <c r="M4" s="394"/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</row>
    <row r="5" spans="2:41">
      <c r="B5" s="170" t="s">
        <v>224</v>
      </c>
      <c r="C5" s="209">
        <v>5000</v>
      </c>
      <c r="D5" s="398"/>
      <c r="E5" s="398"/>
      <c r="F5" s="398"/>
      <c r="G5" s="398"/>
      <c r="H5" s="398"/>
      <c r="K5" s="394"/>
      <c r="L5" s="394"/>
      <c r="M5" s="394"/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</row>
    <row r="6" spans="2:41">
      <c r="K6" s="394"/>
      <c r="L6" s="394"/>
      <c r="M6" s="394"/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</row>
    <row r="7" spans="2:41">
      <c r="K7" s="395" t="s">
        <v>225</v>
      </c>
      <c r="L7" s="395"/>
      <c r="M7" s="395"/>
      <c r="N7" s="395"/>
      <c r="O7" s="395"/>
      <c r="P7" s="395"/>
      <c r="Q7" s="395"/>
      <c r="R7" s="395"/>
      <c r="S7" s="395"/>
      <c r="T7" s="395"/>
      <c r="U7" s="395"/>
      <c r="V7" s="395"/>
      <c r="W7" s="395"/>
      <c r="X7" s="395"/>
    </row>
    <row r="9" spans="2:41" ht="90">
      <c r="B9" s="56" t="s">
        <v>173</v>
      </c>
      <c r="C9" s="57" t="s">
        <v>98</v>
      </c>
      <c r="D9" s="57" t="s">
        <v>99</v>
      </c>
      <c r="E9" s="57" t="s">
        <v>100</v>
      </c>
      <c r="F9" s="57" t="s">
        <v>101</v>
      </c>
      <c r="G9" s="207" t="s">
        <v>131</v>
      </c>
      <c r="I9" s="56" t="s">
        <v>174</v>
      </c>
      <c r="J9" s="57" t="s">
        <v>98</v>
      </c>
      <c r="K9" s="57" t="s">
        <v>99</v>
      </c>
      <c r="L9" s="57" t="s">
        <v>100</v>
      </c>
      <c r="M9" s="57" t="s">
        <v>101</v>
      </c>
      <c r="N9" s="207" t="s">
        <v>131</v>
      </c>
      <c r="P9" s="3" t="s">
        <v>146</v>
      </c>
      <c r="Q9" s="57" t="s">
        <v>98</v>
      </c>
      <c r="R9" s="57" t="s">
        <v>99</v>
      </c>
      <c r="S9" s="57" t="s">
        <v>100</v>
      </c>
      <c r="T9" s="57" t="s">
        <v>101</v>
      </c>
      <c r="U9" s="207" t="s">
        <v>131</v>
      </c>
      <c r="W9" s="3" t="s">
        <v>147</v>
      </c>
      <c r="X9" s="57" t="s">
        <v>98</v>
      </c>
      <c r="Y9" s="57" t="s">
        <v>99</v>
      </c>
      <c r="Z9" s="57" t="s">
        <v>100</v>
      </c>
      <c r="AA9" s="57" t="s">
        <v>101</v>
      </c>
      <c r="AB9" s="207" t="s">
        <v>131</v>
      </c>
      <c r="AD9" s="3" t="s">
        <v>148</v>
      </c>
      <c r="AE9" s="57" t="s">
        <v>98</v>
      </c>
      <c r="AF9" s="57" t="s">
        <v>99</v>
      </c>
      <c r="AG9" s="57" t="s">
        <v>100</v>
      </c>
      <c r="AH9" s="57" t="s">
        <v>101</v>
      </c>
      <c r="AI9" s="207" t="s">
        <v>131</v>
      </c>
      <c r="AL9" s="396" t="s">
        <v>175</v>
      </c>
      <c r="AM9" s="396"/>
      <c r="AN9" s="70"/>
      <c r="AO9" s="70"/>
    </row>
    <row r="10" spans="2:41" ht="18.75">
      <c r="B10" s="67" t="s">
        <v>149</v>
      </c>
      <c r="C10" s="6">
        <f>IF(C35&lt;$C$3,,MROUND('Pesquisa de mercado'!$G35*'Pesquisa de mercado'!B$11,5000))</f>
        <v>10000</v>
      </c>
      <c r="D10" s="6">
        <f>IF(D35&lt;$C$3,,MROUND('Pesquisa de mercado'!$G35*'Pesquisa de mercado'!C$11,5000))</f>
        <v>15000</v>
      </c>
      <c r="E10" s="6">
        <f>IF(E35&lt;$C$3,,MROUND('Pesquisa de mercado'!$M35*'Pesquisa de mercado'!D$11,5000))</f>
        <v>15000</v>
      </c>
      <c r="F10" s="6">
        <f>IF(F35&lt;$C$3,,MROUND('Pesquisa de mercado'!$S35*'Pesquisa de mercado'!E$11,5000))</f>
        <v>5000</v>
      </c>
      <c r="G10" s="215">
        <f>SUM(C10:F10)</f>
        <v>45000</v>
      </c>
      <c r="I10" s="67" t="s">
        <v>149</v>
      </c>
      <c r="J10" s="6">
        <f>IF(J35&lt;$C$3,,MROUND('Pesquisa de mercado'!$H35*'Pesquisa de mercado'!B$11,5000))</f>
        <v>25000</v>
      </c>
      <c r="K10" s="6">
        <f>IF(K35&lt;$C$3,,MROUND('Pesquisa de mercado'!$H35*'Pesquisa de mercado'!C$11,5000))</f>
        <v>45000</v>
      </c>
      <c r="L10" s="6">
        <f>IF(L35&lt;$C$3,,MROUND('Pesquisa de mercado'!$N35*'Pesquisa de mercado'!D$11,5000))</f>
        <v>40000</v>
      </c>
      <c r="M10" s="6">
        <f>IF(M35&lt;$C$3,,MROUND('Pesquisa de mercado'!$T35*'Pesquisa de mercado'!E$11,5000))</f>
        <v>15000</v>
      </c>
      <c r="N10" s="215">
        <f>SUM(J10:M10)</f>
        <v>125000</v>
      </c>
      <c r="P10" s="67" t="s">
        <v>149</v>
      </c>
      <c r="Q10" s="6">
        <f>IF(Q35&lt;$C$3,,MROUND('Pesquisa de mercado'!$I35*'Pesquisa de mercado'!B$11,5000))</f>
        <v>5000</v>
      </c>
      <c r="R10" s="6">
        <f>IF(R35&lt;$C$3,,MROUND('Pesquisa de mercado'!$I35*'Pesquisa de mercado'!C$11,5000))</f>
        <v>15000</v>
      </c>
      <c r="S10" s="6">
        <f>IF(S35&lt;$C$3,,MROUND('Pesquisa de mercado'!$O35*'Pesquisa de mercado'!D$11,5000))</f>
        <v>20000</v>
      </c>
      <c r="T10" s="6">
        <f>IF(T35&lt;$C$3,,MROUND('Pesquisa de mercado'!$U35*'Pesquisa de mercado'!E$11,5000))</f>
        <v>25000</v>
      </c>
      <c r="U10" s="215">
        <f>SUM(Q10:T10)</f>
        <v>65000</v>
      </c>
      <c r="W10" s="67" t="s">
        <v>149</v>
      </c>
      <c r="X10" s="6">
        <f>IF(X35&lt;$B$3,,MROUND('Pesquisa de mercado'!$J35*'Pesquisa de mercado'!B$11,5000))</f>
        <v>5000</v>
      </c>
      <c r="Y10" s="6">
        <f>IF(Y35&lt;$B$3,,MROUND('Pesquisa de mercado'!$J35*'Pesquisa de mercado'!C$11,5000))</f>
        <v>10000</v>
      </c>
      <c r="Z10" s="6">
        <f>IF(Z35&lt;$B$3,,MROUND('Pesquisa de mercado'!$P35*'Pesquisa de mercado'!D$11,5000))</f>
        <v>10000</v>
      </c>
      <c r="AA10" s="6">
        <f>IF(AA35&lt;$B$3,,MROUND('Pesquisa de mercado'!$V35*'Pesquisa de mercado'!E$11,5000))</f>
        <v>5000</v>
      </c>
      <c r="AB10" s="215">
        <f>SUM(X10:AA10)</f>
        <v>30000</v>
      </c>
      <c r="AD10" s="67" t="s">
        <v>149</v>
      </c>
      <c r="AE10" s="6">
        <f>IF(AE35&lt;$C$3,,MROUND('Pesquisa de mercado'!$K35*'Pesquisa de mercado'!B$11-500,5000))</f>
        <v>0</v>
      </c>
      <c r="AF10" s="6">
        <f>IF(AF35&lt;$C$3,,MROUND('Pesquisa de mercado'!$K35*'Pesquisa de mercado'!C$11-500,5000))</f>
        <v>5000</v>
      </c>
      <c r="AG10" s="6">
        <f>IF(AG35&lt;$C$3,,MROUND('Pesquisa de mercado'!$Q35*'Pesquisa de mercado'!D$11-500,5000))</f>
        <v>5000</v>
      </c>
      <c r="AH10" s="6">
        <f>IF(AH35&lt;$C$3,,MROUND('Pesquisa de mercado'!$W35*'Pesquisa de mercado'!E$11-500,5000))</f>
        <v>5000</v>
      </c>
      <c r="AI10" s="215">
        <f>SUM(AE10:AH10)</f>
        <v>15000</v>
      </c>
      <c r="AL10" s="71" t="s">
        <v>176</v>
      </c>
      <c r="AM10" s="72">
        <f>SUM(AE25+X25+Q25+C25+J25)</f>
        <v>4655000</v>
      </c>
    </row>
    <row r="11" spans="2:41" ht="18.75">
      <c r="B11" s="67" t="s">
        <v>150</v>
      </c>
      <c r="C11" s="6">
        <f>IF(C36&lt;$C$3,,MROUND('Pesquisa de mercado'!$G36*'Pesquisa de mercado'!B$11,5000))</f>
        <v>10000</v>
      </c>
      <c r="D11" s="6">
        <f>IF(D36&lt;$C$3,,MROUND('Pesquisa de mercado'!$G36*'Pesquisa de mercado'!C$11,5000))</f>
        <v>20000</v>
      </c>
      <c r="E11" s="6">
        <f>IF(E36&lt;$C$3,,MROUND('Pesquisa de mercado'!$M36*'Pesquisa de mercado'!D$11,5000))</f>
        <v>20000</v>
      </c>
      <c r="F11" s="6">
        <f>IF(F36&lt;$C$3,,MROUND('Pesquisa de mercado'!$S36*'Pesquisa de mercado'!E$11,5000))</f>
        <v>10000</v>
      </c>
      <c r="G11" s="322">
        <f t="shared" ref="G11:G22" si="0">SUM(C11:F11)</f>
        <v>60000</v>
      </c>
      <c r="I11" s="67" t="s">
        <v>150</v>
      </c>
      <c r="J11" s="6">
        <f>IF(J36&lt;$C$3,,MROUND('Pesquisa de mercado'!$H36*'Pesquisa de mercado'!B$11,5000))</f>
        <v>35000</v>
      </c>
      <c r="K11" s="6">
        <f>IF(K36&lt;$C$3,,MROUND('Pesquisa de mercado'!$H36*'Pesquisa de mercado'!C$11,5000))</f>
        <v>65000</v>
      </c>
      <c r="L11" s="6">
        <f>IF(L36&lt;$C$3,,MROUND('Pesquisa de mercado'!$N36*'Pesquisa de mercado'!D$11,5000))</f>
        <v>55000</v>
      </c>
      <c r="M11" s="6">
        <f>IF(M36&lt;$C$3,,MROUND('Pesquisa de mercado'!$T36*'Pesquisa de mercado'!E$11,5000))</f>
        <v>20000</v>
      </c>
      <c r="N11" s="215">
        <f t="shared" ref="N11:N22" si="1">SUM(J11:M11)</f>
        <v>175000</v>
      </c>
      <c r="P11" s="67" t="s">
        <v>150</v>
      </c>
      <c r="Q11" s="6">
        <f>IF(Q36&lt;$C$3,,MROUND('Pesquisa de mercado'!$I36*'Pesquisa de mercado'!B$11,5000))</f>
        <v>10000</v>
      </c>
      <c r="R11" s="6">
        <f>IF(R36&lt;$C$3,,MROUND('Pesquisa de mercado'!$I36*'Pesquisa de mercado'!C$11,5000))</f>
        <v>15000</v>
      </c>
      <c r="S11" s="6">
        <f>IF(S36&lt;$C$3,,MROUND('Pesquisa de mercado'!$O36*'Pesquisa de mercado'!D$11,5000))</f>
        <v>30000</v>
      </c>
      <c r="T11" s="6">
        <f>IF(T36&lt;$C$3,,MROUND('Pesquisa de mercado'!$U36*'Pesquisa de mercado'!E$11,5000))</f>
        <v>35000</v>
      </c>
      <c r="U11" s="215">
        <f t="shared" ref="U11:U22" si="2">SUM(Q11:T11)</f>
        <v>90000</v>
      </c>
      <c r="W11" s="67" t="s">
        <v>150</v>
      </c>
      <c r="X11" s="6">
        <f>MROUND('Pesquisa de mercado'!$J36*'Pesquisa de mercado'!B$11,5000)</f>
        <v>5000</v>
      </c>
      <c r="Y11" s="6">
        <f>MROUND('Pesquisa de mercado'!$J36*'Pesquisa de mercado'!C$11,5000)</f>
        <v>10000</v>
      </c>
      <c r="Z11" s="6">
        <f>IF(Z36&lt;$B$3,,MROUND('Pesquisa de mercado'!$P36*'Pesquisa de mercado'!D$11,5000))</f>
        <v>10000</v>
      </c>
      <c r="AA11" s="6">
        <f>IF(AA36&lt;$B$3,,MROUND('Pesquisa de mercado'!$V36*'Pesquisa de mercado'!E$11,5000))</f>
        <v>5000</v>
      </c>
      <c r="AB11" s="215">
        <f t="shared" ref="AB11:AB22" si="3">SUM(X11:AA11)</f>
        <v>30000</v>
      </c>
      <c r="AD11" s="67" t="s">
        <v>150</v>
      </c>
      <c r="AE11" s="6">
        <f>IF(AE36&lt;$C$3,,MROUND('Pesquisa de mercado'!$K36*'Pesquisa de mercado'!B$11-500,5000))</f>
        <v>0</v>
      </c>
      <c r="AF11" s="6">
        <f>IF(AF36&lt;$C$3,,MROUND('Pesquisa de mercado'!$K36*'Pesquisa de mercado'!C$11-500,5000))</f>
        <v>5000</v>
      </c>
      <c r="AG11" s="6">
        <f>IF(AG36&lt;$C$3,,MROUND('Pesquisa de mercado'!$Q36*'Pesquisa de mercado'!D$11-500,5000))</f>
        <v>10000</v>
      </c>
      <c r="AH11" s="6">
        <f>IF(AH36&lt;$C$3,,MROUND('Pesquisa de mercado'!$W36*'Pesquisa de mercado'!E$11-500,5000))</f>
        <v>10000</v>
      </c>
      <c r="AI11" s="215">
        <f t="shared" ref="AI11:AI22" si="4">SUM(AE11:AH11)</f>
        <v>25000</v>
      </c>
      <c r="AL11" s="71" t="s">
        <v>177</v>
      </c>
      <c r="AM11" s="72">
        <f>AF25+Y25+R25+K25+D25</f>
        <v>4680660</v>
      </c>
    </row>
    <row r="12" spans="2:41" ht="16.5">
      <c r="B12" s="67" t="s">
        <v>151</v>
      </c>
      <c r="C12" s="6">
        <f>IF(C37&lt;$C$3,,MROUND('Pesquisa de mercado'!$G37*'Pesquisa de mercado'!B$11,5000))</f>
        <v>0</v>
      </c>
      <c r="D12" s="6">
        <f>IF(D37&lt;$C$3,,MROUND('Pesquisa de mercado'!$G37*'Pesquisa de mercado'!C$11,5000))</f>
        <v>0</v>
      </c>
      <c r="E12" s="6">
        <f>IF(E37&lt;$C$3,,MROUND('Pesquisa de mercado'!$M37*'Pesquisa de mercado'!D$11,5000))</f>
        <v>0</v>
      </c>
      <c r="F12" s="6">
        <f>IF(F37&lt;$C$3,,MROUND('Pesquisa de mercado'!$S37*'Pesquisa de mercado'!E$11,5000))</f>
        <v>0</v>
      </c>
      <c r="G12" s="215">
        <f t="shared" si="0"/>
        <v>0</v>
      </c>
      <c r="I12" s="67" t="s">
        <v>151</v>
      </c>
      <c r="J12" s="6">
        <f>IF(J37&lt;$C$3,,MROUND('Pesquisa de mercado'!$H37*'Pesquisa de mercado'!B$11,5000))</f>
        <v>5000</v>
      </c>
      <c r="K12" s="6">
        <f>IF(K37&lt;$C$3,,MROUND('Pesquisa de mercado'!$H37*'Pesquisa de mercado'!C$11,5000))</f>
        <v>5000</v>
      </c>
      <c r="L12" s="6">
        <f>IF(L37&lt;$C$3,,MROUND('Pesquisa de mercado'!$N37*'Pesquisa de mercado'!D$11,5000))</f>
        <v>5000</v>
      </c>
      <c r="M12" s="6">
        <f>IF(M37&lt;$C$3,,MROUND('Pesquisa de mercado'!$T37*'Pesquisa de mercado'!E$11,5000))</f>
        <v>0</v>
      </c>
      <c r="N12" s="215">
        <f t="shared" si="1"/>
        <v>15000</v>
      </c>
      <c r="P12" s="67" t="s">
        <v>151</v>
      </c>
      <c r="Q12" s="6">
        <f>IF(Q37&lt;$C$3,,MROUND('Pesquisa de mercado'!$I37*'Pesquisa de mercado'!B$11,5000))</f>
        <v>0</v>
      </c>
      <c r="R12" s="6">
        <f>IF(R37&lt;$C$3,,MROUND('Pesquisa de mercado'!$I37*'Pesquisa de mercado'!C$11,5000))</f>
        <v>0</v>
      </c>
      <c r="S12" s="6">
        <f>IF(S37&lt;$C$3,,MROUND('Pesquisa de mercado'!$O37*'Pesquisa de mercado'!D$11,5000))</f>
        <v>5000</v>
      </c>
      <c r="T12" s="6">
        <f>IF(T37&lt;$C$3,,MROUND('Pesquisa de mercado'!$U37*'Pesquisa de mercado'!E$11,5000))</f>
        <v>5000</v>
      </c>
      <c r="U12" s="215">
        <f t="shared" si="2"/>
        <v>10000</v>
      </c>
      <c r="W12" s="67" t="s">
        <v>151</v>
      </c>
      <c r="X12" s="6">
        <f>MROUND('Pesquisa de mercado'!$J37*'Pesquisa de mercado'!B$11,5000)</f>
        <v>0</v>
      </c>
      <c r="Y12" s="6">
        <f>MROUND('Pesquisa de mercado'!$J37*'Pesquisa de mercado'!C$11,5000)</f>
        <v>0</v>
      </c>
      <c r="Z12" s="6">
        <f>IF(Z37&lt;$B$3,,MROUND('Pesquisa de mercado'!$P37*'Pesquisa de mercado'!D$11,5000))</f>
        <v>0</v>
      </c>
      <c r="AA12" s="6">
        <f>IF(AA37&lt;$B$3,,MROUND('Pesquisa de mercado'!$V37*'Pesquisa de mercado'!E$11,5000))</f>
        <v>0</v>
      </c>
      <c r="AB12" s="215">
        <f t="shared" si="3"/>
        <v>0</v>
      </c>
      <c r="AD12" s="67" t="s">
        <v>151</v>
      </c>
      <c r="AE12" s="6">
        <f>IF(AE37&lt;$C$3,,MROUND('Pesquisa de mercado'!$K37*'Pesquisa de mercado'!B$11-500,5000))</f>
        <v>0</v>
      </c>
      <c r="AF12" s="6">
        <f>IF(AF37&lt;$C$3,,MROUND('Pesquisa de mercado'!$K37*'Pesquisa de mercado'!C$11-500,5000))</f>
        <v>0</v>
      </c>
      <c r="AG12" s="6">
        <f>IF(AG37&lt;$C$3,,MROUND('Pesquisa de mercado'!$Q37*'Pesquisa de mercado'!D$11-500,5000))</f>
        <v>0</v>
      </c>
      <c r="AH12" s="6">
        <f>IF(AH37&lt;$C$3,,MROUND('Pesquisa de mercado'!$W37*'Pesquisa de mercado'!E$11-500,5000))</f>
        <v>0</v>
      </c>
      <c r="AI12" s="215">
        <f t="shared" si="4"/>
        <v>0</v>
      </c>
    </row>
    <row r="13" spans="2:41" ht="16.5">
      <c r="B13" s="67" t="s">
        <v>152</v>
      </c>
      <c r="C13" s="6">
        <f>IF(C38&lt;$C$3,,MROUND('Pesquisa de mercado'!$G38*'Pesquisa de mercado'!B$11,5000))</f>
        <v>15000</v>
      </c>
      <c r="D13" s="6">
        <f>IF(D38&lt;$C$3,,MROUND('Pesquisa de mercado'!$G38*'Pesquisa de mercado'!C$11,5000))</f>
        <v>30000</v>
      </c>
      <c r="E13" s="6">
        <f>IF(E38&lt;$C$3,,MROUND('Pesquisa de mercado'!$M38*'Pesquisa de mercado'!D$11,5000))</f>
        <v>30000</v>
      </c>
      <c r="F13" s="6">
        <f>IF(F38&lt;$C$3,,MROUND('Pesquisa de mercado'!$S38*'Pesquisa de mercado'!E$11,5000))</f>
        <v>10000</v>
      </c>
      <c r="G13" s="215">
        <f t="shared" si="0"/>
        <v>85000</v>
      </c>
      <c r="I13" s="67" t="s">
        <v>152</v>
      </c>
      <c r="J13" s="6">
        <f>IF(J38&lt;$C$3,,MROUND('Pesquisa de mercado'!$H38*'Pesquisa de mercado'!B$11,5000))</f>
        <v>50000</v>
      </c>
      <c r="K13" s="6">
        <f>IF(K38&lt;$C$3,,MROUND('Pesquisa de mercado'!$H38*'Pesquisa de mercado'!C$11,5000))</f>
        <v>95000</v>
      </c>
      <c r="L13" s="6">
        <f>IF(L38&lt;$C$3,,MROUND('Pesquisa de mercado'!$N38*'Pesquisa de mercado'!D$11,5000))</f>
        <v>85000</v>
      </c>
      <c r="M13" s="6">
        <f>IF(M38&lt;$C$3,,MROUND('Pesquisa de mercado'!$T38*'Pesquisa de mercado'!E$11,5000))</f>
        <v>30000</v>
      </c>
      <c r="N13" s="215">
        <f t="shared" si="1"/>
        <v>260000</v>
      </c>
      <c r="P13" s="67" t="s">
        <v>152</v>
      </c>
      <c r="Q13" s="6">
        <f>IF(Q38&lt;$C$3,,MROUND('Pesquisa de mercado'!$I38*'Pesquisa de mercado'!B$11,5000))</f>
        <v>15000</v>
      </c>
      <c r="R13" s="6">
        <f>IF(R38&lt;$C$3,,MROUND('Pesquisa de mercado'!$I38*'Pesquisa de mercado'!C$11,5000))</f>
        <v>25000</v>
      </c>
      <c r="S13" s="6">
        <f>IF(S38&lt;$C$3,,MROUND('Pesquisa de mercado'!$O38*'Pesquisa de mercado'!D$11,5000))</f>
        <v>45000</v>
      </c>
      <c r="T13" s="6">
        <f>IF(T38&lt;$C$3,,MROUND('Pesquisa de mercado'!$U38*'Pesquisa de mercado'!E$11,5000))</f>
        <v>50000</v>
      </c>
      <c r="U13" s="215">
        <f t="shared" si="2"/>
        <v>135000</v>
      </c>
      <c r="W13" s="67" t="s">
        <v>152</v>
      </c>
      <c r="X13" s="6">
        <f>MROUND('Pesquisa de mercado'!$J38*'Pesquisa de mercado'!B$11,5000)</f>
        <v>10000</v>
      </c>
      <c r="Y13" s="6">
        <f>MROUND('Pesquisa de mercado'!$J38*'Pesquisa de mercado'!C$11,5000)</f>
        <v>15000</v>
      </c>
      <c r="Z13" s="6">
        <f>IF(Z38&lt;$B$3,,MROUND('Pesquisa de mercado'!$P38*'Pesquisa de mercado'!D$11,5000))</f>
        <v>15000</v>
      </c>
      <c r="AA13" s="6">
        <f>IF(AA38&lt;$B$3,,MROUND('Pesquisa de mercado'!$V38*'Pesquisa de mercado'!E$11,5000))</f>
        <v>5000</v>
      </c>
      <c r="AB13" s="215">
        <f t="shared" si="3"/>
        <v>45000</v>
      </c>
      <c r="AD13" s="67" t="s">
        <v>152</v>
      </c>
      <c r="AE13" s="6">
        <f>IF(AE38&lt;$C$3,,MROUND('Pesquisa de mercado'!$K38*'Pesquisa de mercado'!B$11-500,5000))</f>
        <v>5000</v>
      </c>
      <c r="AF13" s="6">
        <f>IF(AF38&lt;$C$3,,MROUND('Pesquisa de mercado'!$K38*'Pesquisa de mercado'!C$11-500,5000))</f>
        <v>10000</v>
      </c>
      <c r="AG13" s="6">
        <f>IF(AG38&lt;$C$3,,MROUND('Pesquisa de mercado'!$Q38*'Pesquisa de mercado'!D$11-500,5000))</f>
        <v>15000</v>
      </c>
      <c r="AH13" s="6">
        <f>IF(AH38&lt;$C$3,,MROUND('Pesquisa de mercado'!$W38*'Pesquisa de mercado'!E$11-500,5000))</f>
        <v>15000</v>
      </c>
      <c r="AI13" s="215">
        <f t="shared" si="4"/>
        <v>45000</v>
      </c>
    </row>
    <row r="14" spans="2:41" ht="16.5">
      <c r="B14" s="67" t="s">
        <v>153</v>
      </c>
      <c r="C14" s="6">
        <f>IF(C39&lt;$C$3,,MROUND('Pesquisa de mercado'!$G39*'Pesquisa de mercado'!B$11,5000))</f>
        <v>10000</v>
      </c>
      <c r="D14" s="6">
        <f>IF(D39&lt;$C$3,,MROUND('Pesquisa de mercado'!$G39*'Pesquisa de mercado'!C$11,5000))</f>
        <v>15000</v>
      </c>
      <c r="E14" s="6">
        <f>IF(E39&lt;$C$3,,MROUND('Pesquisa de mercado'!$M39*'Pesquisa de mercado'!D$11,5000))</f>
        <v>15000</v>
      </c>
      <c r="F14" s="6">
        <f>IF(F39&lt;$C$3,,MROUND('Pesquisa de mercado'!$S39*'Pesquisa de mercado'!E$11,5000))</f>
        <v>5000</v>
      </c>
      <c r="G14" s="215">
        <f t="shared" si="0"/>
        <v>45000</v>
      </c>
      <c r="I14" s="67" t="s">
        <v>153</v>
      </c>
      <c r="J14" s="6">
        <f>IF(J39&lt;$C$3,,MROUND('Pesquisa de mercado'!$H39*'Pesquisa de mercado'!B$11,5000))</f>
        <v>25000</v>
      </c>
      <c r="K14" s="6">
        <f>IF(K39&lt;$C$3,,MROUND('Pesquisa de mercado'!$H39*'Pesquisa de mercado'!C$11,5000))</f>
        <v>45000</v>
      </c>
      <c r="L14" s="6">
        <f>IF(L39&lt;$C$3,,MROUND('Pesquisa de mercado'!$N39*'Pesquisa de mercado'!D$11,5000))</f>
        <v>40000</v>
      </c>
      <c r="M14" s="6">
        <f>IF(M39&lt;$C$3,,MROUND('Pesquisa de mercado'!$T39*'Pesquisa de mercado'!E$11,5000))</f>
        <v>15000</v>
      </c>
      <c r="N14" s="215">
        <f t="shared" si="1"/>
        <v>125000</v>
      </c>
      <c r="P14" s="67" t="s">
        <v>153</v>
      </c>
      <c r="Q14" s="6">
        <f>IF(Q39&lt;$C$3,,MROUND('Pesquisa de mercado'!$I39*'Pesquisa de mercado'!B$11,5000))</f>
        <v>5000</v>
      </c>
      <c r="R14" s="6">
        <f>IF(R39&lt;$C$3,,MROUND('Pesquisa de mercado'!$I39*'Pesquisa de mercado'!C$11,5000))</f>
        <v>10000</v>
      </c>
      <c r="S14" s="6">
        <f>IF(S39&lt;$C$3,,MROUND('Pesquisa de mercado'!$O39*'Pesquisa de mercado'!D$11,5000))</f>
        <v>20000</v>
      </c>
      <c r="T14" s="6">
        <f>IF(T39&lt;$C$3,,MROUND('Pesquisa de mercado'!$U39*'Pesquisa de mercado'!E$11,5000))</f>
        <v>25000</v>
      </c>
      <c r="U14" s="215">
        <f t="shared" si="2"/>
        <v>60000</v>
      </c>
      <c r="W14" s="67" t="s">
        <v>153</v>
      </c>
      <c r="X14" s="6">
        <f>MROUND('Pesquisa de mercado'!$J39*'Pesquisa de mercado'!B$11,5000)</f>
        <v>5000</v>
      </c>
      <c r="Y14" s="6">
        <f>MROUND('Pesquisa de mercado'!$J39*'Pesquisa de mercado'!C$11,5000)</f>
        <v>10000</v>
      </c>
      <c r="Z14" s="6">
        <f>IF(Z39&lt;$B$3,,MROUND('Pesquisa de mercado'!$P39*'Pesquisa de mercado'!D$11,5000))</f>
        <v>10000</v>
      </c>
      <c r="AA14" s="6">
        <f>IF(AA39&lt;$B$3,,MROUND('Pesquisa de mercado'!$V39*'Pesquisa de mercado'!E$11,5000))</f>
        <v>5000</v>
      </c>
      <c r="AB14" s="215">
        <f t="shared" si="3"/>
        <v>30000</v>
      </c>
      <c r="AD14" s="67" t="s">
        <v>153</v>
      </c>
      <c r="AE14" s="6">
        <f>IF(AE39&lt;$C$3,,MROUND('Pesquisa de mercado'!$K39*'Pesquisa de mercado'!B$11-500,5000))</f>
        <v>0</v>
      </c>
      <c r="AF14" s="6">
        <f>IF(AF39&lt;$C$3,,MROUND('Pesquisa de mercado'!$K39*'Pesquisa de mercado'!C$11-500,5000))</f>
        <v>5000</v>
      </c>
      <c r="AG14" s="6">
        <f>IF(AG39&lt;$C$3,,MROUND('Pesquisa de mercado'!$Q39*'Pesquisa de mercado'!D$11-500,5000))</f>
        <v>5000</v>
      </c>
      <c r="AH14" s="6">
        <f>IF(AH39&lt;$C$3,,MROUND('Pesquisa de mercado'!$W39*'Pesquisa de mercado'!E$11-500,5000))</f>
        <v>5000</v>
      </c>
      <c r="AI14" s="215">
        <f t="shared" si="4"/>
        <v>15000</v>
      </c>
    </row>
    <row r="15" spans="2:41" ht="16.5">
      <c r="B15" s="67" t="s">
        <v>154</v>
      </c>
      <c r="C15" s="6">
        <f>IF(C40&lt;$C$3,,MROUND('Pesquisa de mercado'!$G40*'Pesquisa de mercado'!B$11,5000))</f>
        <v>15000</v>
      </c>
      <c r="D15" s="6">
        <f>IF(D40&lt;$C$3,,MROUND('Pesquisa de mercado'!$G40*'Pesquisa de mercado'!C$11,5000))</f>
        <v>25000</v>
      </c>
      <c r="E15" s="6">
        <f>IF(E40&lt;$C$3,,MROUND('Pesquisa de mercado'!$M40*'Pesquisa de mercado'!D$11,5000))</f>
        <v>25000</v>
      </c>
      <c r="F15" s="6">
        <f>IF(F40&lt;$C$3,,MROUND('Pesquisa de mercado'!$S40*'Pesquisa de mercado'!E$11,5000))</f>
        <v>10000</v>
      </c>
      <c r="G15" s="215">
        <f t="shared" si="0"/>
        <v>75000</v>
      </c>
      <c r="I15" s="67" t="s">
        <v>154</v>
      </c>
      <c r="J15" s="6">
        <f>IF(J40&lt;$C$3,,MROUND('Pesquisa de mercado'!$H40*'Pesquisa de mercado'!B$11,5000))</f>
        <v>40000</v>
      </c>
      <c r="K15" s="6">
        <f>IF(K40&lt;$C$3,,MROUND('Pesquisa de mercado'!$H40*'Pesquisa de mercado'!C$11,5000))</f>
        <v>75000</v>
      </c>
      <c r="L15" s="6">
        <f>IF(L40&lt;$C$3,,MROUND('Pesquisa de mercado'!$N40*'Pesquisa de mercado'!D$11,5000))</f>
        <v>65000</v>
      </c>
      <c r="M15" s="6">
        <f>IF(M40&lt;$C$3,,MROUND('Pesquisa de mercado'!$T40*'Pesquisa de mercado'!E$11,5000))</f>
        <v>25000</v>
      </c>
      <c r="N15" s="215">
        <f t="shared" si="1"/>
        <v>205000</v>
      </c>
      <c r="P15" s="67" t="s">
        <v>154</v>
      </c>
      <c r="Q15" s="6">
        <f>IF(Q40&lt;$C$3,,MROUND('Pesquisa de mercado'!$I40*'Pesquisa de mercado'!B$11,5000))</f>
        <v>10000</v>
      </c>
      <c r="R15" s="6">
        <f>IF(R40&lt;$C$3,,MROUND('Pesquisa de mercado'!$I40*'Pesquisa de mercado'!C$11,5000))</f>
        <v>20000</v>
      </c>
      <c r="S15" s="6">
        <f>IF(S40&lt;$C$3,,MROUND('Pesquisa de mercado'!$O40*'Pesquisa de mercado'!D$11,5000))</f>
        <v>35000</v>
      </c>
      <c r="T15" s="6">
        <f>IF(T40&lt;$C$3,,MROUND('Pesquisa de mercado'!$U40*'Pesquisa de mercado'!E$11,5000))</f>
        <v>40000</v>
      </c>
      <c r="U15" s="215">
        <f t="shared" si="2"/>
        <v>105000</v>
      </c>
      <c r="W15" s="67" t="s">
        <v>154</v>
      </c>
      <c r="X15" s="6">
        <f>MROUND('Pesquisa de mercado'!$J40*'Pesquisa de mercado'!B$11,5000)</f>
        <v>5000</v>
      </c>
      <c r="Y15" s="6">
        <f>MROUND('Pesquisa de mercado'!$J40*'Pesquisa de mercado'!C$11,5000)</f>
        <v>15000</v>
      </c>
      <c r="Z15" s="6">
        <f>IF(Z40&lt;$B$3,,MROUND('Pesquisa de mercado'!$P40*'Pesquisa de mercado'!D$11,5000))</f>
        <v>15000</v>
      </c>
      <c r="AA15" s="6">
        <f>IF(AA40&lt;$B$3,,MROUND('Pesquisa de mercado'!$V40*'Pesquisa de mercado'!E$11,5000))</f>
        <v>5000</v>
      </c>
      <c r="AB15" s="215">
        <f t="shared" si="3"/>
        <v>40000</v>
      </c>
      <c r="AD15" s="67" t="s">
        <v>154</v>
      </c>
      <c r="AE15" s="6">
        <f>IF(AE40&lt;$C$3,,MROUND('Pesquisa de mercado'!$K40*'Pesquisa de mercado'!B$11-500,5000))</f>
        <v>5000</v>
      </c>
      <c r="AF15" s="6">
        <f>IF(AF40&lt;$C$3,,MROUND('Pesquisa de mercado'!$K40*'Pesquisa de mercado'!C$11-500,5000))</f>
        <v>5000</v>
      </c>
      <c r="AG15" s="6">
        <f>IF(AG40&lt;$C$3,,MROUND('Pesquisa de mercado'!$Q40*'Pesquisa de mercado'!D$11-500,5000))</f>
        <v>10000</v>
      </c>
      <c r="AH15" s="6">
        <f>IF(AH40&lt;$C$3,,MROUND('Pesquisa de mercado'!$W40*'Pesquisa de mercado'!E$11-500,5000))</f>
        <v>10000</v>
      </c>
      <c r="AI15" s="215">
        <f t="shared" si="4"/>
        <v>30000</v>
      </c>
    </row>
    <row r="16" spans="2:41" ht="16.5">
      <c r="B16" s="67" t="s">
        <v>155</v>
      </c>
      <c r="C16" s="6">
        <f>IF(C41&lt;$C$3,,MROUND('Pesquisa de mercado'!$G41*'Pesquisa de mercado'!B$11,5000))</f>
        <v>15000</v>
      </c>
      <c r="D16" s="6">
        <f>IF(D41&lt;$C$3,,MROUND('Pesquisa de mercado'!$G41*'Pesquisa de mercado'!C$11,5000))</f>
        <v>30000</v>
      </c>
      <c r="E16" s="6">
        <f>IF(E41&lt;$C$3,,MROUND('Pesquisa de mercado'!$M41*'Pesquisa de mercado'!D$11,5000))</f>
        <v>30000</v>
      </c>
      <c r="F16" s="6">
        <f>IF(F41&lt;$C$3,,MROUND('Pesquisa de mercado'!$S41*'Pesquisa de mercado'!E$11,5000))</f>
        <v>10000</v>
      </c>
      <c r="G16" s="215">
        <f t="shared" si="0"/>
        <v>85000</v>
      </c>
      <c r="I16" s="67" t="s">
        <v>155</v>
      </c>
      <c r="J16" s="6">
        <f>IF(J41&lt;$C$3,,MROUND('Pesquisa de mercado'!$H41*'Pesquisa de mercado'!B$11,5000))</f>
        <v>50000</v>
      </c>
      <c r="K16" s="6">
        <f>IF(K41&lt;$C$3,,MROUND('Pesquisa de mercado'!$H41*'Pesquisa de mercado'!C$11,5000))</f>
        <v>95000</v>
      </c>
      <c r="L16" s="6">
        <f>IF(L41&lt;$C$3,,MROUND('Pesquisa de mercado'!$N41*'Pesquisa de mercado'!D$11,5000))</f>
        <v>85000</v>
      </c>
      <c r="M16" s="6">
        <f>IF(M41&lt;$C$3,,MROUND('Pesquisa de mercado'!$T41*'Pesquisa de mercado'!E$11,5000))</f>
        <v>30000</v>
      </c>
      <c r="N16" s="215">
        <f t="shared" si="1"/>
        <v>260000</v>
      </c>
      <c r="P16" s="67" t="s">
        <v>155</v>
      </c>
      <c r="Q16" s="6">
        <f>IF(Q41&lt;$C$3,,MROUND('Pesquisa de mercado'!$I41*'Pesquisa de mercado'!B$11,5000))</f>
        <v>15000</v>
      </c>
      <c r="R16" s="6">
        <f>IF(R41&lt;$C$3,,MROUND('Pesquisa de mercado'!$I41*'Pesquisa de mercado'!C$11,5000))</f>
        <v>25000</v>
      </c>
      <c r="S16" s="6">
        <f>IF(S41&lt;$C$3,,MROUND('Pesquisa de mercado'!$O41*'Pesquisa de mercado'!D$11,5000))</f>
        <v>45000</v>
      </c>
      <c r="T16" s="6">
        <f>IF(T41&lt;$C$3,,MROUND('Pesquisa de mercado'!$U41*'Pesquisa de mercado'!E$11,5000))</f>
        <v>50000</v>
      </c>
      <c r="U16" s="215">
        <f t="shared" si="2"/>
        <v>135000</v>
      </c>
      <c r="W16" s="67" t="s">
        <v>155</v>
      </c>
      <c r="X16" s="6">
        <f>MROUND('Pesquisa de mercado'!$J41*'Pesquisa de mercado'!B$11,5000)</f>
        <v>10000</v>
      </c>
      <c r="Y16" s="6">
        <f>MROUND('Pesquisa de mercado'!$J41*'Pesquisa de mercado'!C$11,5000)</f>
        <v>15000</v>
      </c>
      <c r="Z16" s="6">
        <f>IF(Z41&lt;$B$3,,MROUND('Pesquisa de mercado'!$P41*'Pesquisa de mercado'!D$11,5000))</f>
        <v>15000</v>
      </c>
      <c r="AA16" s="6">
        <f>IF(AA41&lt;$B$3,,MROUND('Pesquisa de mercado'!$V41*'Pesquisa de mercado'!E$11,5000))</f>
        <v>5000</v>
      </c>
      <c r="AB16" s="215">
        <f t="shared" si="3"/>
        <v>45000</v>
      </c>
      <c r="AD16" s="67" t="s">
        <v>155</v>
      </c>
      <c r="AE16" s="6">
        <f>IF(AE41&lt;$C$3,,MROUND('Pesquisa de mercado'!$K41*'Pesquisa de mercado'!B$11-500,5000))</f>
        <v>5000</v>
      </c>
      <c r="AF16" s="6">
        <f>IF(AF41&lt;$C$3,,MROUND('Pesquisa de mercado'!$K41*'Pesquisa de mercado'!C$11-500,5000))</f>
        <v>10000</v>
      </c>
      <c r="AG16" s="6">
        <f>IF(AG41&lt;$C$3,,MROUND('Pesquisa de mercado'!$Q41*'Pesquisa de mercado'!D$11-500,5000))</f>
        <v>15000</v>
      </c>
      <c r="AH16" s="6">
        <f>IF(AH41&lt;$C$3,,MROUND('Pesquisa de mercado'!$W41*'Pesquisa de mercado'!E$11-500,5000))</f>
        <v>15000</v>
      </c>
      <c r="AI16" s="215">
        <f t="shared" si="4"/>
        <v>45000</v>
      </c>
    </row>
    <row r="17" spans="2:35" ht="16.5">
      <c r="B17" s="67" t="s">
        <v>156</v>
      </c>
      <c r="C17" s="6">
        <f>IF(C42&lt;$C$3,,MROUND('Pesquisa de mercado'!$G42*'Pesquisa de mercado'!B$11,5000))</f>
        <v>10000</v>
      </c>
      <c r="D17" s="6">
        <f>IF(D42&lt;$C$3,,MROUND('Pesquisa de mercado'!$G42*'Pesquisa de mercado'!C$11,5000))</f>
        <v>25000</v>
      </c>
      <c r="E17" s="6">
        <f>IF(E42&lt;$C$3,,MROUND('Pesquisa de mercado'!$M42*'Pesquisa de mercado'!D$11,5000))</f>
        <v>20000</v>
      </c>
      <c r="F17" s="6">
        <f>IF(F42&lt;$C$3,,MROUND('Pesquisa de mercado'!$S42*'Pesquisa de mercado'!E$11,5000))</f>
        <v>10000</v>
      </c>
      <c r="G17" s="215">
        <f t="shared" si="0"/>
        <v>65000</v>
      </c>
      <c r="I17" s="67" t="s">
        <v>156</v>
      </c>
      <c r="J17" s="6">
        <f>IF(J42&lt;$C$3,,MROUND('Pesquisa de mercado'!$H42*'Pesquisa de mercado'!B$11,5000))</f>
        <v>35000</v>
      </c>
      <c r="K17" s="6">
        <f>IF(K42&lt;$C$3,,MROUND('Pesquisa de mercado'!$H42*'Pesquisa de mercado'!C$11,5000))</f>
        <v>65000</v>
      </c>
      <c r="L17" s="6">
        <f>IF(L42&lt;$C$3,,MROUND('Pesquisa de mercado'!$N42*'Pesquisa de mercado'!D$11,5000))</f>
        <v>60000</v>
      </c>
      <c r="M17" s="6">
        <f>IF(M42&lt;$C$3,,MROUND('Pesquisa de mercado'!$T42*'Pesquisa de mercado'!E$11,5000))</f>
        <v>25000</v>
      </c>
      <c r="N17" s="215">
        <f t="shared" si="1"/>
        <v>185000</v>
      </c>
      <c r="P17" s="67" t="s">
        <v>156</v>
      </c>
      <c r="Q17" s="6">
        <f>IF(Q42&lt;$C$3,,MROUND('Pesquisa de mercado'!$I42*'Pesquisa de mercado'!B$11,5000))</f>
        <v>10000</v>
      </c>
      <c r="R17" s="6">
        <f>IF(R42&lt;$C$3,,MROUND('Pesquisa de mercado'!$I42*'Pesquisa de mercado'!C$11,5000))</f>
        <v>20000</v>
      </c>
      <c r="S17" s="6">
        <f>IF(S42&lt;$C$3,,MROUND('Pesquisa de mercado'!$O42*'Pesquisa de mercado'!D$11,5000))</f>
        <v>30000</v>
      </c>
      <c r="T17" s="6">
        <f>IF(T42&lt;$C$3,,MROUND('Pesquisa de mercado'!$U42*'Pesquisa de mercado'!E$11,5000))</f>
        <v>35000</v>
      </c>
      <c r="U17" s="215">
        <f t="shared" si="2"/>
        <v>95000</v>
      </c>
      <c r="W17" s="67" t="s">
        <v>156</v>
      </c>
      <c r="X17" s="6">
        <f>MROUND('Pesquisa de mercado'!$J42*'Pesquisa de mercado'!B$11,5000)</f>
        <v>5000</v>
      </c>
      <c r="Y17" s="6">
        <f>MROUND('Pesquisa de mercado'!$J42*'Pesquisa de mercado'!C$11,5000)</f>
        <v>10000</v>
      </c>
      <c r="Z17" s="6">
        <f>IF(Z42&lt;$B$3,,MROUND('Pesquisa de mercado'!$P42*'Pesquisa de mercado'!D$11,5000))</f>
        <v>10000</v>
      </c>
      <c r="AA17" s="6">
        <f>IF(AA42&lt;$B$3,,MROUND('Pesquisa de mercado'!$V42*'Pesquisa de mercado'!E$11,5000))</f>
        <v>5000</v>
      </c>
      <c r="AB17" s="215">
        <f t="shared" si="3"/>
        <v>30000</v>
      </c>
      <c r="AD17" s="67" t="s">
        <v>156</v>
      </c>
      <c r="AE17" s="6">
        <f>IF(AE42&lt;$C$3,,MROUND('Pesquisa de mercado'!$K42*'Pesquisa de mercado'!B$11-500,5000))</f>
        <v>5000</v>
      </c>
      <c r="AF17" s="6">
        <f>IF(AF42&lt;$C$3,,MROUND('Pesquisa de mercado'!$K42*'Pesquisa de mercado'!C$11-500,5000))</f>
        <v>5000</v>
      </c>
      <c r="AG17" s="6">
        <f>IF(AG42&lt;$C$3,,MROUND('Pesquisa de mercado'!$Q42*'Pesquisa de mercado'!D$11-500,5000))</f>
        <v>10000</v>
      </c>
      <c r="AH17" s="6">
        <f>IF(AH42&lt;$C$3,,MROUND('Pesquisa de mercado'!$W42*'Pesquisa de mercado'!E$11-500,5000))</f>
        <v>10000</v>
      </c>
      <c r="AI17" s="215">
        <f t="shared" si="4"/>
        <v>30000</v>
      </c>
    </row>
    <row r="18" spans="2:35" ht="16.5">
      <c r="B18" s="68" t="s">
        <v>157</v>
      </c>
      <c r="C18" s="6">
        <f>IF(C43&lt;$C$3,,MROUND('Pesquisa de mercado'!$G43*'Pesquisa de mercado'!B$11,5000))</f>
        <v>5000</v>
      </c>
      <c r="D18" s="6">
        <f>IF(D43&lt;$C$3,,MROUND('Pesquisa de mercado'!$G43*'Pesquisa de mercado'!C$11,5000))</f>
        <v>5000</v>
      </c>
      <c r="E18" s="6">
        <f>IF(E43&lt;$C$3,,MROUND('Pesquisa de mercado'!$M43*'Pesquisa de mercado'!D$11,5000))</f>
        <v>5000</v>
      </c>
      <c r="F18" s="6">
        <f>IF(F43&lt;$C$3,,MROUND('Pesquisa de mercado'!$S43*'Pesquisa de mercado'!E$11,5000))</f>
        <v>5000</v>
      </c>
      <c r="G18" s="215">
        <f t="shared" si="0"/>
        <v>20000</v>
      </c>
      <c r="I18" s="68" t="s">
        <v>157</v>
      </c>
      <c r="J18" s="6">
        <f>IF(J43&lt;$C$3,,MROUND('Pesquisa de mercado'!$H43*'Pesquisa de mercado'!B$11,5000))</f>
        <v>10000</v>
      </c>
      <c r="K18" s="6">
        <f>IF(K43&lt;$C$3,,MROUND('Pesquisa de mercado'!$H43*'Pesquisa de mercado'!C$11,5000))</f>
        <v>20000</v>
      </c>
      <c r="L18" s="6">
        <f>IF(L43&lt;$C$3,,MROUND('Pesquisa de mercado'!$N43*'Pesquisa de mercado'!D$11,5000))</f>
        <v>20000</v>
      </c>
      <c r="M18" s="6">
        <f>IF(M43&lt;$C$3,,MROUND('Pesquisa de mercado'!$T43*'Pesquisa de mercado'!E$11,5000))</f>
        <v>5000</v>
      </c>
      <c r="N18" s="215">
        <f t="shared" si="1"/>
        <v>55000</v>
      </c>
      <c r="P18" s="68" t="s">
        <v>157</v>
      </c>
      <c r="Q18" s="6">
        <f>IF(Q43&lt;$C$3,,MROUND('Pesquisa de mercado'!$I43*'Pesquisa de mercado'!B$11,5000))</f>
        <v>5000</v>
      </c>
      <c r="R18" s="6">
        <f>IF(R43&lt;$C$3,,MROUND('Pesquisa de mercado'!$I43*'Pesquisa de mercado'!C$11,5000))</f>
        <v>5000</v>
      </c>
      <c r="S18" s="6">
        <f>IF(S43&lt;$C$3,,MROUND('Pesquisa de mercado'!$O43*'Pesquisa de mercado'!D$11,5000))</f>
        <v>10000</v>
      </c>
      <c r="T18" s="6">
        <f>IF(T43&lt;$C$3,,MROUND('Pesquisa de mercado'!$U43*'Pesquisa de mercado'!E$11,5000))</f>
        <v>10000</v>
      </c>
      <c r="U18" s="215">
        <f t="shared" si="2"/>
        <v>30000</v>
      </c>
      <c r="W18" s="68" t="s">
        <v>157</v>
      </c>
      <c r="X18" s="6">
        <f>MROUND('Pesquisa de mercado'!$J43*'Pesquisa de mercado'!B$11,5000)</f>
        <v>0</v>
      </c>
      <c r="Y18" s="6">
        <f>MROUND('Pesquisa de mercado'!$J43*'Pesquisa de mercado'!C$11,5000)</f>
        <v>5000</v>
      </c>
      <c r="Z18" s="6">
        <f>IF(Z43&lt;$B$3,,MROUND('Pesquisa de mercado'!$P43*'Pesquisa de mercado'!D$11,5000))</f>
        <v>5000</v>
      </c>
      <c r="AA18" s="6">
        <f>IF(AA43&lt;$B$3,,MROUND('Pesquisa de mercado'!$V43*'Pesquisa de mercado'!E$11,5000))</f>
        <v>0</v>
      </c>
      <c r="AB18" s="215">
        <f t="shared" si="3"/>
        <v>10000</v>
      </c>
      <c r="AD18" s="68" t="s">
        <v>157</v>
      </c>
      <c r="AE18" s="6">
        <f>IF(AE43&lt;$C$3,,MROUND('Pesquisa de mercado'!$K43*'Pesquisa de mercado'!B$11-500,5000))</f>
        <v>0</v>
      </c>
      <c r="AF18" s="6">
        <f>IF(AF43&lt;$C$3,,MROUND('Pesquisa de mercado'!$K43*'Pesquisa de mercado'!C$11-500,5000))</f>
        <v>0</v>
      </c>
      <c r="AG18" s="6">
        <f>IF(AG43&lt;$C$3,,MROUND('Pesquisa de mercado'!$Q43*'Pesquisa de mercado'!D$11-500,5000))</f>
        <v>5000</v>
      </c>
      <c r="AH18" s="6">
        <f>IF(AH43&lt;$C$3,,MROUND('Pesquisa de mercado'!$W43*'Pesquisa de mercado'!E$11-500,5000))</f>
        <v>5000</v>
      </c>
      <c r="AI18" s="215">
        <f t="shared" si="4"/>
        <v>10000</v>
      </c>
    </row>
    <row r="19" spans="2:35" ht="16.5">
      <c r="B19" s="67" t="s">
        <v>158</v>
      </c>
      <c r="C19" s="6">
        <f>IF(C44&lt;$C$3,,MROUND('Pesquisa de mercado'!$G44*'Pesquisa de mercado'!B$11,5000))</f>
        <v>20000</v>
      </c>
      <c r="D19" s="6">
        <f>IF(D44&lt;$C$3,,MROUND('Pesquisa de mercado'!$G44*'Pesquisa de mercado'!C$11,5000))</f>
        <v>35000</v>
      </c>
      <c r="E19" s="6">
        <f>IF(E44&lt;$C$3,,MROUND('Pesquisa de mercado'!$M44*'Pesquisa de mercado'!D$11,5000))</f>
        <v>35000</v>
      </c>
      <c r="F19" s="6">
        <f>IF(F44&lt;$C$3,,MROUND('Pesquisa de mercado'!$S44*'Pesquisa de mercado'!E$11,5000))</f>
        <v>15000</v>
      </c>
      <c r="G19" s="215">
        <f t="shared" si="0"/>
        <v>105000</v>
      </c>
      <c r="I19" s="67" t="s">
        <v>158</v>
      </c>
      <c r="J19" s="6">
        <f>IF(J44&lt;$C$3,,MROUND('Pesquisa de mercado'!$H44*'Pesquisa de mercado'!B$11,5000))</f>
        <v>55000</v>
      </c>
      <c r="K19" s="6">
        <f>IF(K44&lt;$C$3,,MROUND('Pesquisa de mercado'!$H44*'Pesquisa de mercado'!C$11,5000))</f>
        <v>110000</v>
      </c>
      <c r="L19" s="6">
        <f>IF(L44&lt;$C$3,,MROUND('Pesquisa de mercado'!$N44*'Pesquisa de mercado'!D$11,5000))</f>
        <v>95000</v>
      </c>
      <c r="M19" s="6">
        <f>IF(M44&lt;$C$3,,MROUND('Pesquisa de mercado'!$T44*'Pesquisa de mercado'!E$11,5000))</f>
        <v>35000</v>
      </c>
      <c r="N19" s="215">
        <f t="shared" si="1"/>
        <v>295000</v>
      </c>
      <c r="P19" s="67" t="s">
        <v>158</v>
      </c>
      <c r="Q19" s="6">
        <f>IF(Q44&lt;$C$3,,MROUND('Pesquisa de mercado'!$I44*'Pesquisa de mercado'!B$11,5000))</f>
        <v>15000</v>
      </c>
      <c r="R19" s="6">
        <f>IF(R44&lt;$C$3,,MROUND('Pesquisa de mercado'!$I44*'Pesquisa de mercado'!C$11,5000))</f>
        <v>30000</v>
      </c>
      <c r="S19" s="6">
        <f>IF(S44&lt;$C$3,,MROUND('Pesquisa de mercado'!$O44*'Pesquisa de mercado'!D$11,5000))</f>
        <v>50000</v>
      </c>
      <c r="T19" s="6">
        <f>IF(T44&lt;$C$3,,MROUND('Pesquisa de mercado'!$U44*'Pesquisa de mercado'!E$11,5000))</f>
        <v>55000</v>
      </c>
      <c r="U19" s="215">
        <f t="shared" si="2"/>
        <v>150000</v>
      </c>
      <c r="W19" s="67" t="s">
        <v>158</v>
      </c>
      <c r="X19" s="6">
        <f>MROUND('Pesquisa de mercado'!$J44*'Pesquisa de mercado'!B$11,5000)</f>
        <v>10000</v>
      </c>
      <c r="Y19" s="6">
        <f>MROUND('Pesquisa de mercado'!$J44*'Pesquisa de mercado'!C$11,5000)</f>
        <v>20000</v>
      </c>
      <c r="Z19" s="6">
        <f>IF(Z44&lt;$B$3,,MROUND('Pesquisa de mercado'!$P44*'Pesquisa de mercado'!D$11,5000))</f>
        <v>20000</v>
      </c>
      <c r="AA19" s="6">
        <f>IF(AA44&lt;$B$3,,MROUND('Pesquisa de mercado'!$V44*'Pesquisa de mercado'!E$11,5000))</f>
        <v>10000</v>
      </c>
      <c r="AB19" s="215">
        <f t="shared" si="3"/>
        <v>60000</v>
      </c>
      <c r="AD19" s="67" t="s">
        <v>158</v>
      </c>
      <c r="AE19" s="6">
        <f>IF(AE44&lt;$C$3,,MROUND('Pesquisa de mercado'!$K44*'Pesquisa de mercado'!B$11-500,5000))</f>
        <v>5000</v>
      </c>
      <c r="AF19" s="6">
        <f>IF(AF44&lt;$C$3,,MROUND('Pesquisa de mercado'!$K44*'Pesquisa de mercado'!C$11-500,5000))</f>
        <v>10000</v>
      </c>
      <c r="AG19" s="6">
        <f>IF(AG44&lt;$C$3,,MROUND('Pesquisa de mercado'!$Q44*'Pesquisa de mercado'!D$11-500,5000))</f>
        <v>15000</v>
      </c>
      <c r="AH19" s="6">
        <f>IF(AH44&lt;$C$3,,MROUND('Pesquisa de mercado'!$W44*'Pesquisa de mercado'!E$11-500,5000))</f>
        <v>15000</v>
      </c>
      <c r="AI19" s="215">
        <f t="shared" si="4"/>
        <v>45000</v>
      </c>
    </row>
    <row r="20" spans="2:35" ht="16.5">
      <c r="B20" s="67" t="s">
        <v>159</v>
      </c>
      <c r="C20" s="6">
        <f>IF(C45&lt;$C$3,,MROUND('Pesquisa de mercado'!$G45*'Pesquisa de mercado'!B$11,5000))</f>
        <v>5000</v>
      </c>
      <c r="D20" s="6">
        <f>IF(D45&lt;$C$3,,MROUND('Pesquisa de mercado'!$G45*'Pesquisa de mercado'!C$11,5000))</f>
        <v>10000</v>
      </c>
      <c r="E20" s="6">
        <f>IF(E45&lt;$C$3,,MROUND('Pesquisa de mercado'!$M45*'Pesquisa de mercado'!D$11,5000))</f>
        <v>10000</v>
      </c>
      <c r="F20" s="6">
        <f>IF(F45&lt;$C$3,,MROUND('Pesquisa de mercado'!$S45*'Pesquisa de mercado'!E$11,5000))</f>
        <v>5000</v>
      </c>
      <c r="G20" s="215">
        <f t="shared" si="0"/>
        <v>30000</v>
      </c>
      <c r="I20" s="67" t="s">
        <v>159</v>
      </c>
      <c r="J20" s="6">
        <f>IF(J45&lt;$C$3,,MROUND('Pesquisa de mercado'!$H45*'Pesquisa de mercado'!B$11,5000))</f>
        <v>15000</v>
      </c>
      <c r="K20" s="6">
        <f>IF(K45&lt;$C$3,,MROUND('Pesquisa de mercado'!$H45*'Pesquisa de mercado'!C$11,5000))</f>
        <v>25000</v>
      </c>
      <c r="L20" s="6">
        <f>IF(L45&lt;$C$3,,MROUND('Pesquisa de mercado'!$N45*'Pesquisa de mercado'!D$11,5000))</f>
        <v>25000</v>
      </c>
      <c r="M20" s="6">
        <f>IF(M45&lt;$C$3,,MROUND('Pesquisa de mercado'!$T45*'Pesquisa de mercado'!E$11,5000))</f>
        <v>10000</v>
      </c>
      <c r="N20" s="215">
        <f t="shared" si="1"/>
        <v>75000</v>
      </c>
      <c r="P20" s="67" t="s">
        <v>159</v>
      </c>
      <c r="Q20" s="6">
        <f>IF(Q45&lt;$C$3,,MROUND('Pesquisa de mercado'!$I45*'Pesquisa de mercado'!B$11,5000))</f>
        <v>5000</v>
      </c>
      <c r="R20" s="6">
        <f>IF(R45&lt;$C$3,,MROUND('Pesquisa de mercado'!$I45*'Pesquisa de mercado'!C$11,5000))</f>
        <v>5000</v>
      </c>
      <c r="S20" s="6">
        <f>IF(S45&lt;$C$3,,MROUND('Pesquisa de mercado'!$O45*'Pesquisa de mercado'!D$11,5000))</f>
        <v>15000</v>
      </c>
      <c r="T20" s="6">
        <f>IF(T45&lt;$C$3,,MROUND('Pesquisa de mercado'!$U45*'Pesquisa de mercado'!E$11,5000))</f>
        <v>15000</v>
      </c>
      <c r="U20" s="215">
        <f t="shared" si="2"/>
        <v>40000</v>
      </c>
      <c r="W20" s="67" t="s">
        <v>159</v>
      </c>
      <c r="X20" s="6">
        <f>MROUND('Pesquisa de mercado'!$J45*'Pesquisa de mercado'!B$11,5000)</f>
        <v>5000</v>
      </c>
      <c r="Y20" s="6">
        <f>MROUND('Pesquisa de mercado'!$J45*'Pesquisa de mercado'!C$11,5000)</f>
        <v>5000</v>
      </c>
      <c r="Z20" s="6">
        <f>IF(Z45&lt;$B$3,,MROUND('Pesquisa de mercado'!$P45*'Pesquisa de mercado'!D$11,5000))</f>
        <v>5000</v>
      </c>
      <c r="AA20" s="6">
        <f>IF(AA45&lt;$B$3,,MROUND('Pesquisa de mercado'!$V45*'Pesquisa de mercado'!E$11,5000))</f>
        <v>0</v>
      </c>
      <c r="AB20" s="215">
        <f t="shared" si="3"/>
        <v>15000</v>
      </c>
      <c r="AD20" s="67" t="s">
        <v>159</v>
      </c>
      <c r="AE20" s="6">
        <f>IF(AE45&lt;$C$3,,MROUND('Pesquisa de mercado'!$K45*'Pesquisa de mercado'!B$11-500,5000))</f>
        <v>0</v>
      </c>
      <c r="AF20" s="6">
        <f>IF(AF45&lt;$C$3,,MROUND('Pesquisa de mercado'!$K45*'Pesquisa de mercado'!C$11-500,5000))</f>
        <v>0</v>
      </c>
      <c r="AG20" s="6">
        <f>IF(AG45&lt;$C$3,,MROUND('Pesquisa de mercado'!$Q45*'Pesquisa de mercado'!D$11-500,5000))</f>
        <v>5000</v>
      </c>
      <c r="AH20" s="6">
        <f>IF(AH45&lt;$C$3,,MROUND('Pesquisa de mercado'!$W45*'Pesquisa de mercado'!E$11-500,5000))</f>
        <v>5000</v>
      </c>
      <c r="AI20" s="215">
        <f t="shared" si="4"/>
        <v>10000</v>
      </c>
    </row>
    <row r="21" spans="2:35" ht="16.5">
      <c r="B21" s="67" t="s">
        <v>160</v>
      </c>
      <c r="C21" s="6">
        <f>IF(C46&lt;$C$3,,MROUND('Pesquisa de mercado'!$G46*'Pesquisa de mercado'!B$11,5000))</f>
        <v>20000</v>
      </c>
      <c r="D21" s="6">
        <f>IF(D46&lt;$C$3,,MROUND('Pesquisa de mercado'!$G46*'Pesquisa de mercado'!C$11,5000))</f>
        <v>40000</v>
      </c>
      <c r="E21" s="6">
        <f>IF(E46&lt;$C$3,,MROUND('Pesquisa de mercado'!$M46*'Pesquisa de mercado'!D$11,5000))</f>
        <v>40000</v>
      </c>
      <c r="F21" s="6">
        <f>IF(F46&lt;$C$3,,MROUND('Pesquisa de mercado'!$S46*'Pesquisa de mercado'!E$11,5000))</f>
        <v>15000</v>
      </c>
      <c r="G21" s="215">
        <f t="shared" si="0"/>
        <v>115000</v>
      </c>
      <c r="I21" s="67" t="s">
        <v>160</v>
      </c>
      <c r="J21" s="6">
        <f>IF(J46&lt;$C$3,,MROUND('Pesquisa de mercado'!$H46*'Pesquisa de mercado'!B$11,5000))</f>
        <v>65000</v>
      </c>
      <c r="K21" s="6">
        <f>IF(K46&lt;$C$3,,MROUND('Pesquisa de mercado'!$H46*'Pesquisa de mercado'!C$11,5000))</f>
        <v>125000</v>
      </c>
      <c r="L21" s="6">
        <f>IF(L46&lt;$C$3,,MROUND('Pesquisa de mercado'!$N46*'Pesquisa de mercado'!D$11,5000))</f>
        <v>110000</v>
      </c>
      <c r="M21" s="6">
        <f>IF(M46&lt;$C$3,,MROUND('Pesquisa de mercado'!$T46*'Pesquisa de mercado'!E$11,5000))</f>
        <v>40000</v>
      </c>
      <c r="N21" s="215">
        <f t="shared" si="1"/>
        <v>340000</v>
      </c>
      <c r="P21" s="67" t="s">
        <v>160</v>
      </c>
      <c r="Q21" s="6">
        <f>IF(Q46&lt;$C$3,,MROUND('Pesquisa de mercado'!$I46*'Pesquisa de mercado'!B$11,5000))</f>
        <v>15000</v>
      </c>
      <c r="R21" s="6">
        <f>IF(R46&lt;$C$3,,MROUND('Pesquisa de mercado'!$I46*'Pesquisa de mercado'!C$11,5000))</f>
        <v>35000</v>
      </c>
      <c r="S21" s="6">
        <f>IF(S46&lt;$C$3,,MROUND('Pesquisa de mercado'!$O46*'Pesquisa de mercado'!D$11,5000))</f>
        <v>60000</v>
      </c>
      <c r="T21" s="6">
        <f>IF(T46&lt;$C$3,,MROUND('Pesquisa de mercado'!$U46*'Pesquisa de mercado'!E$11,5000))</f>
        <v>65000</v>
      </c>
      <c r="U21" s="215">
        <f t="shared" si="2"/>
        <v>175000</v>
      </c>
      <c r="W21" s="67" t="s">
        <v>160</v>
      </c>
      <c r="X21" s="6">
        <f>MROUND('Pesquisa de mercado'!$J46*'Pesquisa de mercado'!B$11,5000)</f>
        <v>10000</v>
      </c>
      <c r="Y21" s="6">
        <f>MROUND('Pesquisa de mercado'!$J46*'Pesquisa de mercado'!C$11,5000)</f>
        <v>20000</v>
      </c>
      <c r="Z21" s="6">
        <f>IF(Z46&lt;$B$3,,MROUND('Pesquisa de mercado'!$P46*'Pesquisa de mercado'!D$11,5000))</f>
        <v>20000</v>
      </c>
      <c r="AA21" s="6">
        <f>IF(AA46&lt;$B$3,,MROUND('Pesquisa de mercado'!$V46*'Pesquisa de mercado'!E$11,5000))</f>
        <v>10000</v>
      </c>
      <c r="AB21" s="215">
        <f t="shared" si="3"/>
        <v>60000</v>
      </c>
      <c r="AD21" s="67" t="s">
        <v>160</v>
      </c>
      <c r="AE21" s="6">
        <f>IF(AE46&lt;$C$3,,MROUND('Pesquisa de mercado'!$K46*'Pesquisa de mercado'!B$11-500,5000))</f>
        <v>5000</v>
      </c>
      <c r="AF21" s="6">
        <f>IF(AF46&lt;$C$3,,MROUND('Pesquisa de mercado'!$K46*'Pesquisa de mercado'!C$11-500,5000))</f>
        <v>10000</v>
      </c>
      <c r="AG21" s="6">
        <f>IF(AG46&lt;$C$3,,MROUND('Pesquisa de mercado'!$Q46*'Pesquisa de mercado'!D$11-500,5000))</f>
        <v>20000</v>
      </c>
      <c r="AH21" s="6">
        <f>IF(AH46&lt;$C$3,,MROUND('Pesquisa de mercado'!$W46*'Pesquisa de mercado'!E$11-500,5000))</f>
        <v>20000</v>
      </c>
      <c r="AI21" s="215">
        <f t="shared" si="4"/>
        <v>55000</v>
      </c>
    </row>
    <row r="22" spans="2:35">
      <c r="B22" s="303" t="s">
        <v>178</v>
      </c>
      <c r="C22" s="6">
        <f>SUM(C10:C21)</f>
        <v>135000</v>
      </c>
      <c r="D22" s="6">
        <f t="shared" ref="D22:F22" si="5">SUM(D10:D21)</f>
        <v>250000</v>
      </c>
      <c r="E22" s="6">
        <f t="shared" si="5"/>
        <v>245000</v>
      </c>
      <c r="F22" s="6">
        <f t="shared" si="5"/>
        <v>100000</v>
      </c>
      <c r="G22" s="215">
        <f t="shared" si="0"/>
        <v>730000</v>
      </c>
      <c r="I22" s="303" t="s">
        <v>178</v>
      </c>
      <c r="J22" s="6">
        <f>SUM(J10:J21)</f>
        <v>410000</v>
      </c>
      <c r="K22" s="6">
        <f t="shared" ref="K22" si="6">SUM(K10:K21)</f>
        <v>770000</v>
      </c>
      <c r="L22" s="6">
        <f t="shared" ref="L22" si="7">SUM(L10:L21)</f>
        <v>685000</v>
      </c>
      <c r="M22" s="6">
        <f t="shared" ref="M22" si="8">SUM(M10:M21)</f>
        <v>250000</v>
      </c>
      <c r="N22" s="215">
        <f t="shared" si="1"/>
        <v>2115000</v>
      </c>
      <c r="P22" s="303" t="s">
        <v>178</v>
      </c>
      <c r="Q22" s="6">
        <f>SUM(Q10:Q21)</f>
        <v>110000</v>
      </c>
      <c r="R22" s="6">
        <f t="shared" ref="R22" si="9">SUM(R10:R21)</f>
        <v>205000</v>
      </c>
      <c r="S22" s="6">
        <f t="shared" ref="S22" si="10">SUM(S10:S21)</f>
        <v>365000</v>
      </c>
      <c r="T22" s="6">
        <f t="shared" ref="T22" si="11">SUM(T10:T21)</f>
        <v>410000</v>
      </c>
      <c r="U22" s="215">
        <f t="shared" si="2"/>
        <v>1090000</v>
      </c>
      <c r="W22" s="303" t="s">
        <v>178</v>
      </c>
      <c r="X22" s="6">
        <f>SUM(X10:X21)</f>
        <v>70000</v>
      </c>
      <c r="Y22" s="6">
        <f t="shared" ref="Y22" si="12">SUM(Y10:Y21)</f>
        <v>135000</v>
      </c>
      <c r="Z22" s="6">
        <f t="shared" ref="Z22" si="13">SUM(Z10:Z21)</f>
        <v>135000</v>
      </c>
      <c r="AA22" s="6">
        <f t="shared" ref="AA22" si="14">SUM(AA10:AA21)</f>
        <v>55000</v>
      </c>
      <c r="AB22" s="215">
        <f t="shared" si="3"/>
        <v>395000</v>
      </c>
      <c r="AD22" s="303" t="s">
        <v>178</v>
      </c>
      <c r="AE22" s="6">
        <f>SUM(AE10:AE21)</f>
        <v>30000</v>
      </c>
      <c r="AF22" s="6">
        <f t="shared" ref="AF22" si="15">SUM(AF10:AF21)</f>
        <v>65000</v>
      </c>
      <c r="AG22" s="6">
        <f t="shared" ref="AG22" si="16">SUM(AG10:AG21)</f>
        <v>115000</v>
      </c>
      <c r="AH22" s="6">
        <f t="shared" ref="AH22" si="17">SUM(AH10:AH21)</f>
        <v>115000</v>
      </c>
      <c r="AI22" s="215">
        <f t="shared" si="4"/>
        <v>325000</v>
      </c>
    </row>
    <row r="24" spans="2:35" ht="27.75">
      <c r="C24" s="48" t="s">
        <v>179</v>
      </c>
      <c r="D24" s="48" t="s">
        <v>180</v>
      </c>
      <c r="E24" s="6" t="s">
        <v>181</v>
      </c>
      <c r="J24" s="48" t="s">
        <v>179</v>
      </c>
      <c r="K24" s="48" t="s">
        <v>180</v>
      </c>
      <c r="L24" s="6" t="s">
        <v>181</v>
      </c>
      <c r="Q24" s="48" t="s">
        <v>179</v>
      </c>
      <c r="R24" s="48" t="s">
        <v>180</v>
      </c>
      <c r="S24" s="6" t="s">
        <v>181</v>
      </c>
      <c r="X24" s="48" t="s">
        <v>179</v>
      </c>
      <c r="Y24" s="48" t="s">
        <v>180</v>
      </c>
      <c r="Z24" s="6" t="s">
        <v>181</v>
      </c>
      <c r="AE24" s="48" t="s">
        <v>179</v>
      </c>
      <c r="AF24" s="48" t="s">
        <v>180</v>
      </c>
      <c r="AG24" s="6" t="s">
        <v>181</v>
      </c>
    </row>
    <row r="25" spans="2:35">
      <c r="C25" s="30">
        <f>SUM(C10:F21)</f>
        <v>730000</v>
      </c>
      <c r="D25" s="30">
        <f>SUM(C47:F47)</f>
        <v>733198</v>
      </c>
      <c r="E25" s="69">
        <f>C25-D25</f>
        <v>-3198</v>
      </c>
      <c r="J25" s="30">
        <f>SUM(J10:M21)</f>
        <v>2115000</v>
      </c>
      <c r="K25" s="30">
        <f>SUM(J47:M47)</f>
        <v>2111998</v>
      </c>
      <c r="L25" s="69">
        <f>J25-K25</f>
        <v>3002</v>
      </c>
      <c r="Q25" s="30">
        <f>SUM(Q10:T21)</f>
        <v>1090000</v>
      </c>
      <c r="R25" s="30">
        <f>SUM(Q47:T47)</f>
        <v>1083851</v>
      </c>
      <c r="S25" s="69">
        <f>Q25-R25</f>
        <v>6149</v>
      </c>
      <c r="X25" s="30">
        <f>SUM(X10:AA21)</f>
        <v>395000</v>
      </c>
      <c r="Y25" s="30">
        <f>SUM(X47:AA47)</f>
        <v>397511</v>
      </c>
      <c r="Z25" s="69">
        <f>X25-Y25</f>
        <v>-2511</v>
      </c>
      <c r="AE25" s="30">
        <f>SUM(AE10:AH21)</f>
        <v>325000</v>
      </c>
      <c r="AF25" s="30">
        <f>SUM(AE35:AH46)</f>
        <v>354102</v>
      </c>
      <c r="AG25" s="69">
        <f>AE25-AF25</f>
        <v>-29102</v>
      </c>
    </row>
    <row r="28" spans="2:35">
      <c r="K28" s="393" t="s">
        <v>226</v>
      </c>
      <c r="L28" s="394"/>
      <c r="M28" s="394"/>
      <c r="N28" s="394"/>
      <c r="O28" s="394"/>
      <c r="P28" s="394"/>
      <c r="Q28" s="394"/>
      <c r="R28" s="394"/>
      <c r="S28" s="394"/>
      <c r="T28" s="394"/>
      <c r="U28" s="394"/>
      <c r="V28" s="394"/>
      <c r="W28" s="394"/>
      <c r="X28" s="394"/>
    </row>
    <row r="29" spans="2:35">
      <c r="K29" s="394"/>
      <c r="L29" s="394"/>
      <c r="M29" s="394"/>
      <c r="N29" s="394"/>
      <c r="O29" s="394"/>
      <c r="P29" s="394"/>
      <c r="Q29" s="394"/>
      <c r="R29" s="394"/>
      <c r="S29" s="394"/>
      <c r="T29" s="394"/>
      <c r="U29" s="394"/>
      <c r="V29" s="394"/>
      <c r="W29" s="394"/>
      <c r="X29" s="394"/>
    </row>
    <row r="30" spans="2:35">
      <c r="K30" s="394"/>
      <c r="L30" s="394"/>
      <c r="M30" s="394"/>
      <c r="N30" s="394"/>
      <c r="O30" s="394"/>
      <c r="P30" s="394"/>
      <c r="Q30" s="394"/>
      <c r="R30" s="394"/>
      <c r="S30" s="394"/>
      <c r="T30" s="394"/>
      <c r="U30" s="394"/>
      <c r="V30" s="394"/>
      <c r="W30" s="394"/>
      <c r="X30" s="394"/>
    </row>
    <row r="31" spans="2:35"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</row>
    <row r="32" spans="2:35">
      <c r="K32" s="395" t="s">
        <v>227</v>
      </c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395"/>
    </row>
    <row r="34" spans="2:35" ht="90">
      <c r="B34" s="56" t="s">
        <v>173</v>
      </c>
      <c r="C34" s="57" t="s">
        <v>98</v>
      </c>
      <c r="D34" s="57" t="s">
        <v>99</v>
      </c>
      <c r="E34" s="57" t="s">
        <v>100</v>
      </c>
      <c r="F34" s="57" t="s">
        <v>101</v>
      </c>
      <c r="G34" s="207" t="s">
        <v>131</v>
      </c>
      <c r="I34" s="56" t="s">
        <v>174</v>
      </c>
      <c r="J34" s="57" t="s">
        <v>98</v>
      </c>
      <c r="K34" s="57" t="s">
        <v>99</v>
      </c>
      <c r="L34" s="57" t="s">
        <v>100</v>
      </c>
      <c r="M34" s="57" t="s">
        <v>101</v>
      </c>
      <c r="N34" s="207" t="s">
        <v>131</v>
      </c>
      <c r="P34" s="3" t="s">
        <v>146</v>
      </c>
      <c r="Q34" s="57" t="s">
        <v>98</v>
      </c>
      <c r="R34" s="57" t="s">
        <v>99</v>
      </c>
      <c r="S34" s="57" t="s">
        <v>100</v>
      </c>
      <c r="T34" s="57" t="s">
        <v>101</v>
      </c>
      <c r="U34" s="207" t="s">
        <v>131</v>
      </c>
      <c r="W34" s="3" t="s">
        <v>147</v>
      </c>
      <c r="X34" s="57" t="s">
        <v>98</v>
      </c>
      <c r="Y34" s="57" t="s">
        <v>99</v>
      </c>
      <c r="Z34" s="57" t="s">
        <v>100</v>
      </c>
      <c r="AA34" s="57" t="s">
        <v>101</v>
      </c>
      <c r="AB34" s="207" t="s">
        <v>131</v>
      </c>
      <c r="AD34" s="3" t="s">
        <v>148</v>
      </c>
      <c r="AE34" s="57" t="s">
        <v>98</v>
      </c>
      <c r="AF34" s="57" t="s">
        <v>99</v>
      </c>
      <c r="AG34" s="57" t="s">
        <v>100</v>
      </c>
      <c r="AH34" s="57" t="s">
        <v>101</v>
      </c>
      <c r="AI34" s="207" t="s">
        <v>131</v>
      </c>
    </row>
    <row r="35" spans="2:35" ht="16.5">
      <c r="B35" s="67" t="s">
        <v>149</v>
      </c>
      <c r="C35" s="6">
        <f>MROUND('Pesquisa de mercado'!$G35*'Pesquisa de mercado'!B$11,1)</f>
        <v>8172</v>
      </c>
      <c r="D35" s="6">
        <f>MROUND('Pesquisa de mercado'!$G35*'Pesquisa de mercado'!C$11,1)</f>
        <v>15761</v>
      </c>
      <c r="E35" s="6">
        <f>MROUND('Pesquisa de mercado'!$M35*'Pesquisa de mercado'!D$11,1)</f>
        <v>14537</v>
      </c>
      <c r="F35" s="6">
        <f>MROUND('Pesquisa de mercado'!$S35*'Pesquisa de mercado'!E$11,1)</f>
        <v>5815</v>
      </c>
      <c r="G35" s="215">
        <f>SUM(C35:F35)</f>
        <v>44285</v>
      </c>
      <c r="I35" s="67" t="s">
        <v>149</v>
      </c>
      <c r="J35" s="6">
        <f>MROUND('Pesquisa de mercado'!$H35*'Pesquisa de mercado'!B$11,1)</f>
        <v>24049</v>
      </c>
      <c r="K35" s="6">
        <f>MROUND('Pesquisa de mercado'!$H35*'Pesquisa de mercado'!C$11,1)</f>
        <v>46382</v>
      </c>
      <c r="L35" s="6">
        <f>MROUND('Pesquisa de mercado'!$N35*'Pesquisa de mercado'!D$11,1)</f>
        <v>41401</v>
      </c>
      <c r="M35" s="6">
        <f>MROUND('Pesquisa de mercado'!$T35*'Pesquisa de mercado'!E$11,1)</f>
        <v>15732</v>
      </c>
      <c r="N35" s="215">
        <f>SUM(J35:M35)</f>
        <v>127564</v>
      </c>
      <c r="P35" s="67" t="s">
        <v>149</v>
      </c>
      <c r="Q35" s="6">
        <f>MROUND('Pesquisa de mercado'!$I35*'Pesquisa de mercado'!B$11,1)</f>
        <v>6500</v>
      </c>
      <c r="R35" s="6">
        <f>MROUND('Pesquisa de mercado'!$I35*'Pesquisa de mercado'!C$11,1)</f>
        <v>12536</v>
      </c>
      <c r="S35" s="6">
        <f>MROUND('Pesquisa de mercado'!$O35*'Pesquisa de mercado'!D$11,1)</f>
        <v>21880</v>
      </c>
      <c r="T35" s="6">
        <f>MROUND('Pesquisa de mercado'!$U35*'Pesquisa de mercado'!E$11,1)</f>
        <v>24549</v>
      </c>
      <c r="U35" s="215">
        <f>SUM(Q35:T35)</f>
        <v>65465</v>
      </c>
      <c r="W35" s="67" t="s">
        <v>149</v>
      </c>
      <c r="X35" s="6">
        <f>MROUND('Pesquisa de mercado'!$J35*'Pesquisa de mercado'!B$11,1)</f>
        <v>4332</v>
      </c>
      <c r="Y35" s="6">
        <f>MROUND('Pesquisa de mercado'!$J35*'Pesquisa de mercado'!C$11,1)</f>
        <v>8356</v>
      </c>
      <c r="Z35" s="6">
        <f>MROUND('Pesquisa de mercado'!$P35*'Pesquisa de mercado'!D$11,1)</f>
        <v>7973</v>
      </c>
      <c r="AA35" s="6">
        <f>MROUND('Pesquisa de mercado'!$V35*'Pesquisa de mercado'!E$11,1)</f>
        <v>3349</v>
      </c>
      <c r="AB35" s="215">
        <f>SUM(X35:AA35)</f>
        <v>24010</v>
      </c>
      <c r="AD35" s="67" t="s">
        <v>149</v>
      </c>
      <c r="AE35" s="6">
        <f>MROUND('Pesquisa de mercado'!$K35*'Pesquisa de mercado'!B$11,1)</f>
        <v>2124</v>
      </c>
      <c r="AF35" s="6">
        <f>MROUND('Pesquisa de mercado'!$K35*'Pesquisa de mercado'!C$11,1)</f>
        <v>4096</v>
      </c>
      <c r="AG35" s="6">
        <f>MROUND('Pesquisa de mercado'!Q35*'Pesquisa de mercado'!D$11,1)</f>
        <v>7497</v>
      </c>
      <c r="AH35" s="6">
        <f>MROUND('Pesquisa de mercado'!W35*'Pesquisa de mercado'!E$11,1)</f>
        <v>7672</v>
      </c>
      <c r="AI35" s="215">
        <f>SUM(AE35:AH35)</f>
        <v>21389</v>
      </c>
    </row>
    <row r="36" spans="2:35" ht="16.5">
      <c r="B36" s="67" t="s">
        <v>150</v>
      </c>
      <c r="C36" s="6">
        <f>MROUND('Pesquisa de mercado'!$G36*'Pesquisa de mercado'!B$11,1)</f>
        <v>11284</v>
      </c>
      <c r="D36" s="6">
        <f>MROUND('Pesquisa de mercado'!$G36*'Pesquisa de mercado'!C$11,1)</f>
        <v>21762</v>
      </c>
      <c r="E36" s="6">
        <f>MROUND('Pesquisa de mercado'!$M36*'Pesquisa de mercado'!D$11,1)</f>
        <v>20073</v>
      </c>
      <c r="F36" s="6">
        <f>MROUND('Pesquisa de mercado'!$S36*'Pesquisa de mercado'!E$11,1)</f>
        <v>8029</v>
      </c>
      <c r="G36" s="215">
        <f t="shared" ref="G36:G47" si="18">SUM(C36:F36)</f>
        <v>61148</v>
      </c>
      <c r="I36" s="67" t="s">
        <v>150</v>
      </c>
      <c r="J36" s="6">
        <f>MROUND('Pesquisa de mercado'!$H36*'Pesquisa de mercado'!B$11,1)</f>
        <v>33207</v>
      </c>
      <c r="K36" s="6">
        <f>MROUND('Pesquisa de mercado'!$H36*'Pesquisa de mercado'!C$11,1)</f>
        <v>64043</v>
      </c>
      <c r="L36" s="6">
        <f>MROUND('Pesquisa de mercado'!$N36*'Pesquisa de mercado'!D$11,1)</f>
        <v>57167</v>
      </c>
      <c r="M36" s="6">
        <f>MROUND('Pesquisa de mercado'!$T36*'Pesquisa de mercado'!E$11,1)</f>
        <v>21723</v>
      </c>
      <c r="N36" s="215">
        <f t="shared" ref="N36:N47" si="19">SUM(J36:M36)</f>
        <v>176140</v>
      </c>
      <c r="P36" s="67" t="s">
        <v>150</v>
      </c>
      <c r="Q36" s="6">
        <f>MROUND('Pesquisa de mercado'!$I36*'Pesquisa de mercado'!B$11,1)</f>
        <v>8975</v>
      </c>
      <c r="R36" s="6">
        <f>MROUND('Pesquisa de mercado'!$I36*'Pesquisa de mercado'!C$11,1)</f>
        <v>17309</v>
      </c>
      <c r="S36" s="6">
        <f>MROUND('Pesquisa de mercado'!$O36*'Pesquisa de mercado'!D$11,1)</f>
        <v>30212</v>
      </c>
      <c r="T36" s="6">
        <f>MROUND('Pesquisa de mercado'!$U36*'Pesquisa de mercado'!E$11,1)</f>
        <v>33896</v>
      </c>
      <c r="U36" s="215">
        <f t="shared" ref="U36:U47" si="20">SUM(Q36:T36)</f>
        <v>90392</v>
      </c>
      <c r="W36" s="67" t="s">
        <v>150</v>
      </c>
      <c r="X36" s="6">
        <f>MROUND('Pesquisa de mercado'!$J36*'Pesquisa de mercado'!B$11,1)</f>
        <v>5982</v>
      </c>
      <c r="Y36" s="6">
        <f>MROUND('Pesquisa de mercado'!$J36*'Pesquisa de mercado'!C$11,1)</f>
        <v>11537</v>
      </c>
      <c r="Z36" s="6">
        <f>MROUND('Pesquisa de mercado'!$P36*'Pesquisa de mercado'!D$11,1)</f>
        <v>11009</v>
      </c>
      <c r="AA36" s="6">
        <f>MROUND('Pesquisa de mercado'!$V36*'Pesquisa de mercado'!E$11,1)</f>
        <v>4624</v>
      </c>
      <c r="AB36" s="215">
        <f t="shared" ref="AB36:AB47" si="21">SUM(X36:AA36)</f>
        <v>33152</v>
      </c>
      <c r="AD36" s="67" t="s">
        <v>150</v>
      </c>
      <c r="AE36" s="6">
        <f>MROUND('Pesquisa de mercado'!$K36*'Pesquisa de mercado'!B$11,1)</f>
        <v>2932</v>
      </c>
      <c r="AF36" s="6">
        <f>MROUND('Pesquisa de mercado'!$K36*'Pesquisa de mercado'!C$11,1)</f>
        <v>5655</v>
      </c>
      <c r="AG36" s="6">
        <f>MROUND('Pesquisa de mercado'!Q36*'Pesquisa de mercado'!D$11,1)</f>
        <v>10352</v>
      </c>
      <c r="AH36" s="6">
        <f>MROUND('Pesquisa de mercado'!W36*'Pesquisa de mercado'!E$11,1)</f>
        <v>10593</v>
      </c>
      <c r="AI36" s="215">
        <f t="shared" ref="AI36:AI47" si="22">SUM(AE36:AH36)</f>
        <v>29532</v>
      </c>
    </row>
    <row r="37" spans="2:35" ht="16.5">
      <c r="B37" s="67" t="s">
        <v>151</v>
      </c>
      <c r="C37" s="6">
        <f>MROUND('Pesquisa de mercado'!$G37*'Pesquisa de mercado'!B$11,1)</f>
        <v>1137</v>
      </c>
      <c r="D37" s="6">
        <f>MROUND('Pesquisa de mercado'!$G37*'Pesquisa de mercado'!C$11,1)</f>
        <v>2192</v>
      </c>
      <c r="E37" s="6">
        <f>MROUND('Pesquisa de mercado'!$M37*'Pesquisa de mercado'!D$11,1)</f>
        <v>2022</v>
      </c>
      <c r="F37" s="6">
        <f>MROUND('Pesquisa de mercado'!$S37*'Pesquisa de mercado'!E$11,1)</f>
        <v>809</v>
      </c>
      <c r="G37" s="215">
        <f t="shared" si="18"/>
        <v>6160</v>
      </c>
      <c r="I37" s="67" t="s">
        <v>151</v>
      </c>
      <c r="J37" s="6">
        <f>MROUND('Pesquisa de mercado'!$H37*'Pesquisa de mercado'!B$11,1)</f>
        <v>3345</v>
      </c>
      <c r="K37" s="6">
        <f>MROUND('Pesquisa de mercado'!$H37*'Pesquisa de mercado'!C$11,1)</f>
        <v>6450</v>
      </c>
      <c r="L37" s="6">
        <f>MROUND('Pesquisa de mercado'!$N37*'Pesquisa de mercado'!D$11,1)</f>
        <v>5758</v>
      </c>
      <c r="M37" s="6">
        <f>MROUND('Pesquisa de mercado'!$T37*'Pesquisa de mercado'!E$11,1)</f>
        <v>2188</v>
      </c>
      <c r="N37" s="215">
        <f t="shared" si="19"/>
        <v>17741</v>
      </c>
      <c r="P37" s="67" t="s">
        <v>151</v>
      </c>
      <c r="Q37" s="6">
        <f>MROUND('Pesquisa de mercado'!$I37*'Pesquisa de mercado'!B$11,1)</f>
        <v>904</v>
      </c>
      <c r="R37" s="6">
        <f>MROUND('Pesquisa de mercado'!$I37*'Pesquisa de mercado'!C$11,1)</f>
        <v>1743</v>
      </c>
      <c r="S37" s="6">
        <f>MROUND('Pesquisa de mercado'!$O37*'Pesquisa de mercado'!D$11,1)</f>
        <v>3043</v>
      </c>
      <c r="T37" s="6">
        <f>MROUND('Pesquisa de mercado'!$U37*'Pesquisa de mercado'!E$11,1)</f>
        <v>3414</v>
      </c>
      <c r="U37" s="215">
        <f t="shared" si="20"/>
        <v>9104</v>
      </c>
      <c r="W37" s="67" t="s">
        <v>151</v>
      </c>
      <c r="X37" s="6">
        <f>MROUND('Pesquisa de mercado'!$J37*'Pesquisa de mercado'!B$11,1)</f>
        <v>603</v>
      </c>
      <c r="Y37" s="6">
        <f>MROUND('Pesquisa de mercado'!$J37*'Pesquisa de mercado'!C$11,1)</f>
        <v>1162</v>
      </c>
      <c r="Z37" s="6">
        <f>MROUND('Pesquisa de mercado'!$P37*'Pesquisa de mercado'!D$11,1)</f>
        <v>1109</v>
      </c>
      <c r="AA37" s="6">
        <f>MROUND('Pesquisa de mercado'!$V37*'Pesquisa de mercado'!E$11,1)</f>
        <v>466</v>
      </c>
      <c r="AB37" s="215">
        <f t="shared" si="21"/>
        <v>3340</v>
      </c>
      <c r="AD37" s="67" t="s">
        <v>151</v>
      </c>
      <c r="AE37" s="6">
        <f>MROUND('Pesquisa de mercado'!$K37*'Pesquisa de mercado'!B$11,1)</f>
        <v>295</v>
      </c>
      <c r="AF37" s="6">
        <f>MROUND('Pesquisa de mercado'!$K37*'Pesquisa de mercado'!C$11,1)</f>
        <v>570</v>
      </c>
      <c r="AG37" s="6">
        <f>MROUND('Pesquisa de mercado'!Q37*'Pesquisa de mercado'!D$11,1)</f>
        <v>1043</v>
      </c>
      <c r="AH37" s="6">
        <f>MROUND('Pesquisa de mercado'!W37*'Pesquisa de mercado'!E$11,1)</f>
        <v>1067</v>
      </c>
      <c r="AI37" s="215">
        <f t="shared" si="22"/>
        <v>2975</v>
      </c>
    </row>
    <row r="38" spans="2:35" ht="16.5">
      <c r="B38" s="67" t="s">
        <v>152</v>
      </c>
      <c r="C38" s="6">
        <f>MROUND('Pesquisa de mercado'!$G38*'Pesquisa de mercado'!B$11,1)</f>
        <v>16425</v>
      </c>
      <c r="D38" s="6">
        <f>MROUND('Pesquisa de mercado'!$G38*'Pesquisa de mercado'!C$11,1)</f>
        <v>31678</v>
      </c>
      <c r="E38" s="6">
        <f>MROUND('Pesquisa de mercado'!$M38*'Pesquisa de mercado'!D$11,1)</f>
        <v>29219</v>
      </c>
      <c r="F38" s="6">
        <f>MROUND('Pesquisa de mercado'!$S38*'Pesquisa de mercado'!E$11,1)</f>
        <v>11688</v>
      </c>
      <c r="G38" s="215">
        <f t="shared" si="18"/>
        <v>89010</v>
      </c>
      <c r="I38" s="67" t="s">
        <v>152</v>
      </c>
      <c r="J38" s="6">
        <f>MROUND('Pesquisa de mercado'!$H38*'Pesquisa de mercado'!B$11,1)</f>
        <v>48337</v>
      </c>
      <c r="K38" s="6">
        <f>MROUND('Pesquisa de mercado'!$H38*'Pesquisa de mercado'!C$11,1)</f>
        <v>93224</v>
      </c>
      <c r="L38" s="6">
        <f>MROUND('Pesquisa de mercado'!$N38*'Pesquisa de mercado'!D$11,1)</f>
        <v>83214</v>
      </c>
      <c r="M38" s="6">
        <f>MROUND('Pesquisa de mercado'!$T38*'Pesquisa de mercado'!E$11,1)</f>
        <v>31621</v>
      </c>
      <c r="N38" s="215">
        <f t="shared" si="19"/>
        <v>256396</v>
      </c>
      <c r="P38" s="67" t="s">
        <v>152</v>
      </c>
      <c r="Q38" s="6">
        <f>MROUND('Pesquisa de mercado'!$I38*'Pesquisa de mercado'!B$11,1)</f>
        <v>13064</v>
      </c>
      <c r="R38" s="6">
        <f>MROUND('Pesquisa de mercado'!$I38*'Pesquisa de mercado'!C$11,1)</f>
        <v>25196</v>
      </c>
      <c r="S38" s="6">
        <f>MROUND('Pesquisa de mercado'!$O38*'Pesquisa de mercado'!D$11,1)</f>
        <v>43978</v>
      </c>
      <c r="T38" s="6">
        <f>MROUND('Pesquisa de mercado'!$U38*'Pesquisa de mercado'!E$11,1)</f>
        <v>49341</v>
      </c>
      <c r="U38" s="215">
        <f t="shared" si="20"/>
        <v>131579</v>
      </c>
      <c r="W38" s="67">
        <f>'previsão de vendas'!Q10*('Lotes de celulares'!Z6)</f>
        <v>10000</v>
      </c>
      <c r="X38" s="6">
        <f>MROUND('Pesquisa de mercado'!$J38*'Pesquisa de mercado'!B$11,1)</f>
        <v>8708</v>
      </c>
      <c r="Y38" s="6">
        <f>MROUND('Pesquisa de mercado'!$J38*'Pesquisa de mercado'!C$11,1)</f>
        <v>16794</v>
      </c>
      <c r="Z38" s="6">
        <f>MROUND('Pesquisa de mercado'!$P38*'Pesquisa de mercado'!D$11,1)</f>
        <v>16025</v>
      </c>
      <c r="AA38" s="6">
        <f>MROUND('Pesquisa de mercado'!$V38*'Pesquisa de mercado'!E$11,1)</f>
        <v>6730</v>
      </c>
      <c r="AB38" s="215">
        <f t="shared" si="21"/>
        <v>48257</v>
      </c>
      <c r="AD38" s="67" t="s">
        <v>152</v>
      </c>
      <c r="AE38" s="6">
        <f>MROUND('Pesquisa de mercado'!$K38*'Pesquisa de mercado'!B$11,1)</f>
        <v>4268</v>
      </c>
      <c r="AF38" s="6">
        <f>MROUND('Pesquisa de mercado'!$K38*'Pesquisa de mercado'!C$11,1)</f>
        <v>8232</v>
      </c>
      <c r="AG38" s="6">
        <f>MROUND('Pesquisa de mercado'!Q38*'Pesquisa de mercado'!D$11,1)</f>
        <v>15069</v>
      </c>
      <c r="AH38" s="6">
        <f>MROUND('Pesquisa de mercado'!W38*'Pesquisa de mercado'!E$11,1)</f>
        <v>15419</v>
      </c>
      <c r="AI38" s="215">
        <f t="shared" si="22"/>
        <v>42988</v>
      </c>
    </row>
    <row r="39" spans="2:35" ht="16.5">
      <c r="B39" s="67" t="s">
        <v>153</v>
      </c>
      <c r="C39" s="6">
        <f>MROUND('Pesquisa de mercado'!$G39*'Pesquisa de mercado'!B$11,1)</f>
        <v>7901</v>
      </c>
      <c r="D39" s="6">
        <f>MROUND('Pesquisa de mercado'!$G39*'Pesquisa de mercado'!C$11,1)</f>
        <v>15239</v>
      </c>
      <c r="E39" s="6">
        <f>MROUND('Pesquisa de mercado'!$M39*'Pesquisa de mercado'!D$11,1)</f>
        <v>14056</v>
      </c>
      <c r="F39" s="6">
        <f>MROUND('Pesquisa de mercado'!$S39*'Pesquisa de mercado'!E$11,1)</f>
        <v>5622</v>
      </c>
      <c r="G39" s="215">
        <f t="shared" si="18"/>
        <v>42818</v>
      </c>
      <c r="I39" s="67" t="s">
        <v>153</v>
      </c>
      <c r="J39" s="6">
        <f>MROUND('Pesquisa de mercado'!$H39*'Pesquisa de mercado'!B$11,1)</f>
        <v>23253</v>
      </c>
      <c r="K39" s="6">
        <f>MROUND('Pesquisa de mercado'!$H39*'Pesquisa de mercado'!C$11,1)</f>
        <v>44846</v>
      </c>
      <c r="L39" s="6">
        <f>MROUND('Pesquisa de mercado'!$N39*'Pesquisa de mercado'!D$11,1)</f>
        <v>40030</v>
      </c>
      <c r="M39" s="6">
        <f>MROUND('Pesquisa de mercado'!$T39*'Pesquisa de mercado'!E$11,1)</f>
        <v>15212</v>
      </c>
      <c r="N39" s="215">
        <f t="shared" si="19"/>
        <v>123341</v>
      </c>
      <c r="P39" s="67" t="s">
        <v>153</v>
      </c>
      <c r="Q39" s="6">
        <f>MROUND('Pesquisa de mercado'!$I39*'Pesquisa de mercado'!B$11,1)</f>
        <v>6285</v>
      </c>
      <c r="R39" s="6">
        <f>MROUND('Pesquisa de mercado'!$I39*'Pesquisa de mercado'!C$11,1)</f>
        <v>12121</v>
      </c>
      <c r="S39" s="6">
        <f>MROUND('Pesquisa de mercado'!$O39*'Pesquisa de mercado'!D$11,1)</f>
        <v>21156</v>
      </c>
      <c r="T39" s="6">
        <f>MROUND('Pesquisa de mercado'!$U39*'Pesquisa de mercado'!E$11,1)</f>
        <v>23736</v>
      </c>
      <c r="U39" s="215">
        <f t="shared" si="20"/>
        <v>63298</v>
      </c>
      <c r="W39" s="67" t="s">
        <v>153</v>
      </c>
      <c r="X39" s="6">
        <f>MROUND('Pesquisa de mercado'!$J39*'Pesquisa de mercado'!B$11,1)</f>
        <v>4189</v>
      </c>
      <c r="Y39" s="6">
        <f>MROUND('Pesquisa de mercado'!$J39*'Pesquisa de mercado'!C$11,1)</f>
        <v>8079</v>
      </c>
      <c r="Z39" s="6">
        <f>MROUND('Pesquisa de mercado'!$P39*'Pesquisa de mercado'!D$11,1)</f>
        <v>7709</v>
      </c>
      <c r="AA39" s="6">
        <f>MROUND('Pesquisa de mercado'!$V39*'Pesquisa de mercado'!E$11,1)</f>
        <v>3238</v>
      </c>
      <c r="AB39" s="215">
        <f t="shared" si="21"/>
        <v>23215</v>
      </c>
      <c r="AD39" s="67" t="s">
        <v>153</v>
      </c>
      <c r="AE39" s="6">
        <f>MROUND('Pesquisa de mercado'!$K39*'Pesquisa de mercado'!B$11,1)</f>
        <v>2053</v>
      </c>
      <c r="AF39" s="6">
        <f>MROUND('Pesquisa de mercado'!$K39*'Pesquisa de mercado'!C$11,1)</f>
        <v>3960</v>
      </c>
      <c r="AG39" s="6">
        <f>MROUND('Pesquisa de mercado'!Q39*'Pesquisa de mercado'!D$11,1)</f>
        <v>7249</v>
      </c>
      <c r="AH39" s="6">
        <f>MROUND('Pesquisa de mercado'!W39*'Pesquisa de mercado'!E$11,1)</f>
        <v>7417</v>
      </c>
      <c r="AI39" s="215">
        <f t="shared" si="22"/>
        <v>20679</v>
      </c>
    </row>
    <row r="40" spans="2:35" ht="16.5">
      <c r="B40" s="67" t="s">
        <v>154</v>
      </c>
      <c r="C40" s="6">
        <f>MROUND('Pesquisa de mercado'!$G40*'Pesquisa de mercado'!B$11,1)</f>
        <v>12908</v>
      </c>
      <c r="D40" s="6">
        <f>MROUND('Pesquisa de mercado'!$G40*'Pesquisa de mercado'!C$11,1)</f>
        <v>24894</v>
      </c>
      <c r="E40" s="6">
        <f>MROUND('Pesquisa de mercado'!$M40*'Pesquisa de mercado'!D$11,1)</f>
        <v>22961</v>
      </c>
      <c r="F40" s="6">
        <f>MROUND('Pesquisa de mercado'!$S40*'Pesquisa de mercado'!E$11,1)</f>
        <v>9184</v>
      </c>
      <c r="G40" s="215">
        <f t="shared" si="18"/>
        <v>69947</v>
      </c>
      <c r="I40" s="67" t="s">
        <v>154</v>
      </c>
      <c r="J40" s="6">
        <f>MROUND('Pesquisa de mercado'!$H40*'Pesquisa de mercado'!B$11,1)</f>
        <v>37985</v>
      </c>
      <c r="K40" s="6">
        <f>MROUND('Pesquisa de mercado'!$H40*'Pesquisa de mercado'!C$11,1)</f>
        <v>73258</v>
      </c>
      <c r="L40" s="6">
        <f>MROUND('Pesquisa de mercado'!$N40*'Pesquisa de mercado'!D$11,1)</f>
        <v>65392</v>
      </c>
      <c r="M40" s="6">
        <f>MROUND('Pesquisa de mercado'!$T40*'Pesquisa de mercado'!E$11,1)</f>
        <v>24849</v>
      </c>
      <c r="N40" s="215">
        <f t="shared" si="19"/>
        <v>201484</v>
      </c>
      <c r="P40" s="67" t="s">
        <v>154</v>
      </c>
      <c r="Q40" s="6">
        <f>MROUND('Pesquisa de mercado'!$I40*'Pesquisa de mercado'!B$11,1)</f>
        <v>10266</v>
      </c>
      <c r="R40" s="6">
        <f>MROUND('Pesquisa de mercado'!$I40*'Pesquisa de mercado'!C$11,1)</f>
        <v>19800</v>
      </c>
      <c r="S40" s="6">
        <f>MROUND('Pesquisa de mercado'!$O40*'Pesquisa de mercado'!D$11,1)</f>
        <v>34559</v>
      </c>
      <c r="T40" s="6">
        <f>MROUND('Pesquisa de mercado'!$U40*'Pesquisa de mercado'!E$11,1)</f>
        <v>38774</v>
      </c>
      <c r="U40" s="215">
        <f t="shared" si="20"/>
        <v>103399</v>
      </c>
      <c r="W40" s="67" t="s">
        <v>154</v>
      </c>
      <c r="X40" s="6">
        <f>MROUND('Pesquisa de mercado'!$J40*'Pesquisa de mercado'!B$11,1)</f>
        <v>6843</v>
      </c>
      <c r="Y40" s="6">
        <f>MROUND('Pesquisa de mercado'!$J40*'Pesquisa de mercado'!C$11,1)</f>
        <v>13197</v>
      </c>
      <c r="Z40" s="6">
        <f>MROUND('Pesquisa de mercado'!$P40*'Pesquisa de mercado'!D$11,1)</f>
        <v>12593</v>
      </c>
      <c r="AA40" s="6">
        <f>MROUND('Pesquisa de mercado'!$V40*'Pesquisa de mercado'!E$11,1)</f>
        <v>5289</v>
      </c>
      <c r="AB40" s="215">
        <f t="shared" si="21"/>
        <v>37922</v>
      </c>
      <c r="AD40" s="67" t="s">
        <v>154</v>
      </c>
      <c r="AE40" s="6">
        <f>MROUND('Pesquisa de mercado'!$K40*'Pesquisa de mercado'!B$11,1)</f>
        <v>3354</v>
      </c>
      <c r="AF40" s="6">
        <f>MROUND('Pesquisa de mercado'!$K40*'Pesquisa de mercado'!C$11,1)</f>
        <v>6469</v>
      </c>
      <c r="AG40" s="6">
        <f>MROUND('Pesquisa de mercado'!Q40*'Pesquisa de mercado'!D$11,1)</f>
        <v>11842</v>
      </c>
      <c r="AH40" s="6">
        <f>MROUND('Pesquisa de mercado'!W40*'Pesquisa de mercado'!E$11,1)</f>
        <v>12117</v>
      </c>
      <c r="AI40" s="215">
        <f t="shared" si="22"/>
        <v>33782</v>
      </c>
    </row>
    <row r="41" spans="2:35" ht="16.5">
      <c r="B41" s="67" t="s">
        <v>155</v>
      </c>
      <c r="C41" s="6">
        <f>MROUND('Pesquisa de mercado'!$G41*'Pesquisa de mercado'!B$11,1)</f>
        <v>16561</v>
      </c>
      <c r="D41" s="6">
        <f>MROUND('Pesquisa de mercado'!$G41*'Pesquisa de mercado'!C$11,1)</f>
        <v>31939</v>
      </c>
      <c r="E41" s="6">
        <f>MROUND('Pesquisa de mercado'!$M41*'Pesquisa de mercado'!D$11,1)</f>
        <v>29460</v>
      </c>
      <c r="F41" s="6">
        <f>MROUND('Pesquisa de mercado'!$S41*'Pesquisa de mercado'!E$11,1)</f>
        <v>11784</v>
      </c>
      <c r="G41" s="215">
        <f t="shared" si="18"/>
        <v>89744</v>
      </c>
      <c r="I41" s="67" t="s">
        <v>155</v>
      </c>
      <c r="J41" s="6">
        <f>MROUND('Pesquisa de mercado'!$H41*'Pesquisa de mercado'!B$11,1)</f>
        <v>48736</v>
      </c>
      <c r="K41" s="6">
        <f>MROUND('Pesquisa de mercado'!$H41*'Pesquisa de mercado'!C$11,1)</f>
        <v>93992</v>
      </c>
      <c r="L41" s="6">
        <f>MROUND('Pesquisa de mercado'!$N41*'Pesquisa de mercado'!D$11,1)</f>
        <v>83899</v>
      </c>
      <c r="M41" s="6">
        <f>MROUND('Pesquisa de mercado'!$T41*'Pesquisa de mercado'!E$11,1)</f>
        <v>31882</v>
      </c>
      <c r="N41" s="215">
        <f t="shared" si="19"/>
        <v>258509</v>
      </c>
      <c r="P41" s="67" t="s">
        <v>155</v>
      </c>
      <c r="Q41" s="6">
        <f>MROUND('Pesquisa de mercado'!$I41*'Pesquisa de mercado'!B$11,1)</f>
        <v>13172</v>
      </c>
      <c r="R41" s="6">
        <f>MROUND('Pesquisa de mercado'!$I41*'Pesquisa de mercado'!C$11,1)</f>
        <v>25404</v>
      </c>
      <c r="S41" s="6">
        <f>MROUND('Pesquisa de mercado'!$O41*'Pesquisa de mercado'!D$11,1)</f>
        <v>44340</v>
      </c>
      <c r="T41" s="6">
        <f>MROUND('Pesquisa de mercado'!$U41*'Pesquisa de mercado'!E$11,1)</f>
        <v>49747</v>
      </c>
      <c r="U41" s="215">
        <f t="shared" si="20"/>
        <v>132663</v>
      </c>
      <c r="W41" s="67" t="s">
        <v>155</v>
      </c>
      <c r="X41" s="6">
        <f>MROUND('Pesquisa de mercado'!$J41*'Pesquisa de mercado'!B$11,1)</f>
        <v>8780</v>
      </c>
      <c r="Y41" s="6">
        <f>MROUND('Pesquisa de mercado'!$J41*'Pesquisa de mercado'!C$11,1)</f>
        <v>16933</v>
      </c>
      <c r="Z41" s="6">
        <f>MROUND('Pesquisa de mercado'!$P41*'Pesquisa de mercado'!D$11,1)</f>
        <v>16157</v>
      </c>
      <c r="AA41" s="6">
        <f>MROUND('Pesquisa de mercado'!$V41*'Pesquisa de mercado'!E$11,1)</f>
        <v>6786</v>
      </c>
      <c r="AB41" s="215">
        <f t="shared" si="21"/>
        <v>48656</v>
      </c>
      <c r="AD41" s="67" t="s">
        <v>155</v>
      </c>
      <c r="AE41" s="6">
        <f>MROUND('Pesquisa de mercado'!$K41*'Pesquisa de mercado'!B$11,1)</f>
        <v>4303</v>
      </c>
      <c r="AF41" s="6">
        <f>MROUND('Pesquisa de mercado'!$K41*'Pesquisa de mercado'!C$11,1)</f>
        <v>8300</v>
      </c>
      <c r="AG41" s="6">
        <f>MROUND('Pesquisa de mercado'!Q41*'Pesquisa de mercado'!D$11,1)</f>
        <v>15193</v>
      </c>
      <c r="AH41" s="6">
        <f>MROUND('Pesquisa de mercado'!W41*'Pesquisa de mercado'!E$11,1)</f>
        <v>15546</v>
      </c>
      <c r="AI41" s="215">
        <f t="shared" si="22"/>
        <v>43342</v>
      </c>
    </row>
    <row r="42" spans="2:35" ht="16.5">
      <c r="B42" s="67" t="s">
        <v>156</v>
      </c>
      <c r="C42" s="6">
        <f>MROUND('Pesquisa de mercado'!$G42*'Pesquisa de mercado'!B$11,1)</f>
        <v>11690</v>
      </c>
      <c r="D42" s="6">
        <f>MROUND('Pesquisa de mercado'!$G42*'Pesquisa de mercado'!C$11,1)</f>
        <v>22545</v>
      </c>
      <c r="E42" s="6">
        <f>MROUND('Pesquisa de mercado'!$M42*'Pesquisa de mercado'!D$11,1)</f>
        <v>20795</v>
      </c>
      <c r="F42" s="6">
        <f>MROUND('Pesquisa de mercado'!$S42*'Pesquisa de mercado'!E$11,1)</f>
        <v>8318</v>
      </c>
      <c r="G42" s="215">
        <f t="shared" si="18"/>
        <v>63348</v>
      </c>
      <c r="I42" s="67" t="s">
        <v>156</v>
      </c>
      <c r="J42" s="6">
        <f>MROUND('Pesquisa de mercado'!$H42*'Pesquisa de mercado'!B$11,1)</f>
        <v>34402</v>
      </c>
      <c r="K42" s="6">
        <f>MROUND('Pesquisa de mercado'!$H42*'Pesquisa de mercado'!C$11,1)</f>
        <v>66347</v>
      </c>
      <c r="L42" s="6">
        <f>MROUND('Pesquisa de mercado'!$N42*'Pesquisa de mercado'!D$11,1)</f>
        <v>59223</v>
      </c>
      <c r="M42" s="6">
        <f>MROUND('Pesquisa de mercado'!$T42*'Pesquisa de mercado'!E$11,1)</f>
        <v>22505</v>
      </c>
      <c r="N42" s="215">
        <f t="shared" si="19"/>
        <v>182477</v>
      </c>
      <c r="P42" s="67" t="s">
        <v>156</v>
      </c>
      <c r="Q42" s="6">
        <f>MROUND('Pesquisa de mercado'!$I42*'Pesquisa de mercado'!B$11,1)</f>
        <v>9298</v>
      </c>
      <c r="R42" s="6">
        <f>MROUND('Pesquisa de mercado'!$I42*'Pesquisa de mercado'!C$11,1)</f>
        <v>17932</v>
      </c>
      <c r="S42" s="6">
        <f>MROUND('Pesquisa de mercado'!$O42*'Pesquisa de mercado'!D$11,1)</f>
        <v>31299</v>
      </c>
      <c r="T42" s="6">
        <f>MROUND('Pesquisa de mercado'!$U42*'Pesquisa de mercado'!E$11,1)</f>
        <v>35116</v>
      </c>
      <c r="U42" s="215">
        <f t="shared" si="20"/>
        <v>93645</v>
      </c>
      <c r="W42" s="67" t="s">
        <v>156</v>
      </c>
      <c r="X42" s="6">
        <f>MROUND('Pesquisa de mercado'!$J42*'Pesquisa de mercado'!B$11,1)</f>
        <v>6197</v>
      </c>
      <c r="Y42" s="6">
        <f>MROUND('Pesquisa de mercado'!$J42*'Pesquisa de mercado'!C$11,1)</f>
        <v>11952</v>
      </c>
      <c r="Z42" s="6">
        <f>MROUND('Pesquisa de mercado'!$P42*'Pesquisa de mercado'!D$11,1)</f>
        <v>11405</v>
      </c>
      <c r="AA42" s="6">
        <f>MROUND('Pesquisa de mercado'!$V42*'Pesquisa de mercado'!E$11,1)</f>
        <v>4790</v>
      </c>
      <c r="AB42" s="215">
        <f t="shared" si="21"/>
        <v>34344</v>
      </c>
      <c r="AD42" s="67" t="s">
        <v>156</v>
      </c>
      <c r="AE42" s="6">
        <f>MROUND('Pesquisa de mercado'!$K42*'Pesquisa de mercado'!B$11,1)</f>
        <v>3038</v>
      </c>
      <c r="AF42" s="6">
        <f>MROUND('Pesquisa de mercado'!$K42*'Pesquisa de mercado'!C$11,1)</f>
        <v>5859</v>
      </c>
      <c r="AG42" s="6">
        <f>MROUND('Pesquisa de mercado'!Q42*'Pesquisa de mercado'!D$11,1)</f>
        <v>10724</v>
      </c>
      <c r="AH42" s="6">
        <f>MROUND('Pesquisa de mercado'!W42*'Pesquisa de mercado'!E$11,1)</f>
        <v>10974</v>
      </c>
      <c r="AI42" s="215">
        <f t="shared" si="22"/>
        <v>30595</v>
      </c>
    </row>
    <row r="43" spans="2:35" ht="16.5">
      <c r="B43" s="68" t="s">
        <v>157</v>
      </c>
      <c r="C43" s="6">
        <f>MROUND('Pesquisa de mercado'!$G43*'Pesquisa de mercado'!B$11,1)</f>
        <v>3572</v>
      </c>
      <c r="D43" s="6">
        <f>MROUND('Pesquisa de mercado'!$G43*'Pesquisa de mercado'!C$11,1)</f>
        <v>6889</v>
      </c>
      <c r="E43" s="6">
        <f>MROUND('Pesquisa de mercado'!$M43*'Pesquisa de mercado'!D$11,1)</f>
        <v>6354</v>
      </c>
      <c r="F43" s="6">
        <f>MROUND('Pesquisa de mercado'!$S43*'Pesquisa de mercado'!E$11,1)</f>
        <v>2542</v>
      </c>
      <c r="G43" s="215">
        <f t="shared" si="18"/>
        <v>19357</v>
      </c>
      <c r="I43" s="68" t="s">
        <v>157</v>
      </c>
      <c r="J43" s="6">
        <f>MROUND('Pesquisa de mercado'!$H43*'Pesquisa de mercado'!B$11,1)</f>
        <v>10512</v>
      </c>
      <c r="K43" s="6">
        <f>MROUND('Pesquisa de mercado'!$H43*'Pesquisa de mercado'!C$11,1)</f>
        <v>20273</v>
      </c>
      <c r="L43" s="6">
        <f>MROUND('Pesquisa de mercado'!$N43*'Pesquisa de mercado'!D$11,1)</f>
        <v>18096</v>
      </c>
      <c r="M43" s="6">
        <f>MROUND('Pesquisa de mercado'!$T43*'Pesquisa de mercado'!E$11,1)</f>
        <v>6876</v>
      </c>
      <c r="N43" s="215">
        <f t="shared" si="19"/>
        <v>55757</v>
      </c>
      <c r="P43" s="68" t="s">
        <v>157</v>
      </c>
      <c r="Q43" s="6">
        <f>MROUND('Pesquisa de mercado'!$I43*'Pesquisa de mercado'!B$11,1)</f>
        <v>2841</v>
      </c>
      <c r="R43" s="6">
        <f>MROUND('Pesquisa de mercado'!$I43*'Pesquisa de mercado'!C$11,1)</f>
        <v>5479</v>
      </c>
      <c r="S43" s="6">
        <f>MROUND('Pesquisa de mercado'!$O43*'Pesquisa de mercado'!D$11,1)</f>
        <v>9564</v>
      </c>
      <c r="T43" s="6">
        <f>MROUND('Pesquisa de mercado'!$U43*'Pesquisa de mercado'!E$11,1)</f>
        <v>10730</v>
      </c>
      <c r="U43" s="215">
        <f t="shared" si="20"/>
        <v>28614</v>
      </c>
      <c r="W43" s="68" t="s">
        <v>157</v>
      </c>
      <c r="X43" s="6">
        <f>MROUND('Pesquisa de mercado'!$J43*'Pesquisa de mercado'!B$11,1)</f>
        <v>1894</v>
      </c>
      <c r="Y43" s="6">
        <f>MROUND('Pesquisa de mercado'!$J43*'Pesquisa de mercado'!C$11,1)</f>
        <v>3652</v>
      </c>
      <c r="Z43" s="6">
        <f>MROUND('Pesquisa de mercado'!$P43*'Pesquisa de mercado'!D$11,1)</f>
        <v>3485</v>
      </c>
      <c r="AA43" s="6">
        <f>MROUND('Pesquisa de mercado'!$V43*'Pesquisa de mercado'!E$11,1)</f>
        <v>1464</v>
      </c>
      <c r="AB43" s="215">
        <f t="shared" si="21"/>
        <v>10495</v>
      </c>
      <c r="AD43" s="68" t="s">
        <v>157</v>
      </c>
      <c r="AE43" s="6">
        <f>MROUND('Pesquisa de mercado'!$K43*'Pesquisa de mercado'!B$11,1)</f>
        <v>928</v>
      </c>
      <c r="AF43" s="6">
        <f>MROUND('Pesquisa de mercado'!$K43*'Pesquisa de mercado'!C$11,1)</f>
        <v>1790</v>
      </c>
      <c r="AG43" s="6">
        <f>MROUND('Pesquisa de mercado'!Q43*'Pesquisa de mercado'!D$11,1)</f>
        <v>3277</v>
      </c>
      <c r="AH43" s="6">
        <f>MROUND('Pesquisa de mercado'!W43*'Pesquisa de mercado'!E$11,1)</f>
        <v>3353</v>
      </c>
      <c r="AI43" s="215">
        <f t="shared" si="22"/>
        <v>9348</v>
      </c>
    </row>
    <row r="44" spans="2:35" ht="16.5">
      <c r="B44" s="67" t="s">
        <v>158</v>
      </c>
      <c r="C44" s="6">
        <f>MROUND('Pesquisa de mercado'!$G44*'Pesquisa de mercado'!B$11,1)</f>
        <v>19131</v>
      </c>
      <c r="D44" s="6">
        <f>MROUND('Pesquisa de mercado'!$G44*'Pesquisa de mercado'!C$11,1)</f>
        <v>36897</v>
      </c>
      <c r="E44" s="6">
        <f>MROUND('Pesquisa de mercado'!$M44*'Pesquisa de mercado'!D$11,1)</f>
        <v>34033</v>
      </c>
      <c r="F44" s="6">
        <f>MROUND('Pesquisa de mercado'!$S44*'Pesquisa de mercado'!E$11,1)</f>
        <v>13613</v>
      </c>
      <c r="G44" s="215">
        <f t="shared" si="18"/>
        <v>103674</v>
      </c>
      <c r="I44" s="67" t="s">
        <v>158</v>
      </c>
      <c r="J44" s="6">
        <f>MROUND('Pesquisa de mercado'!$H44*'Pesquisa de mercado'!B$11,1)</f>
        <v>56301</v>
      </c>
      <c r="K44" s="6">
        <f>MROUND('Pesquisa de mercado'!$H44*'Pesquisa de mercado'!C$11,1)</f>
        <v>108582</v>
      </c>
      <c r="L44" s="6">
        <f>MROUND('Pesquisa de mercado'!$N44*'Pesquisa de mercado'!D$11,1)</f>
        <v>96923</v>
      </c>
      <c r="M44" s="6">
        <f>MROUND('Pesquisa de mercado'!$T44*'Pesquisa de mercado'!E$11,1)</f>
        <v>36831</v>
      </c>
      <c r="N44" s="215">
        <f t="shared" si="19"/>
        <v>298637</v>
      </c>
      <c r="P44" s="67" t="s">
        <v>158</v>
      </c>
      <c r="Q44" s="6">
        <f>MROUND('Pesquisa de mercado'!$I44*'Pesquisa de mercado'!B$11,1)</f>
        <v>15217</v>
      </c>
      <c r="R44" s="6">
        <f>MROUND('Pesquisa de mercado'!$I44*'Pesquisa de mercado'!C$11,1)</f>
        <v>29347</v>
      </c>
      <c r="S44" s="6">
        <f>MROUND('Pesquisa de mercado'!$O44*'Pesquisa de mercado'!D$11,1)</f>
        <v>51223</v>
      </c>
      <c r="T44" s="6">
        <f>MROUND('Pesquisa de mercado'!$U44*'Pesquisa de mercado'!E$11,1)</f>
        <v>57470</v>
      </c>
      <c r="U44" s="215">
        <f t="shared" si="20"/>
        <v>153257</v>
      </c>
      <c r="W44" s="67" t="s">
        <v>158</v>
      </c>
      <c r="X44" s="6">
        <f>MROUND('Pesquisa de mercado'!$J44*'Pesquisa de mercado'!B$11,1)</f>
        <v>10143</v>
      </c>
      <c r="Y44" s="6">
        <f>MROUND('Pesquisa de mercado'!$J44*'Pesquisa de mercado'!C$11,1)</f>
        <v>19561</v>
      </c>
      <c r="Z44" s="6">
        <f>MROUND('Pesquisa de mercado'!$P44*'Pesquisa de mercado'!D$11,1)</f>
        <v>18665</v>
      </c>
      <c r="AA44" s="6">
        <f>MROUND('Pesquisa de mercado'!$V44*'Pesquisa de mercado'!E$11,1)</f>
        <v>7839</v>
      </c>
      <c r="AB44" s="215">
        <f t="shared" si="21"/>
        <v>56208</v>
      </c>
      <c r="AD44" s="67" t="s">
        <v>158</v>
      </c>
      <c r="AE44" s="6">
        <f>MROUND('Pesquisa de mercado'!$K44*'Pesquisa de mercado'!B$11,1)</f>
        <v>4971</v>
      </c>
      <c r="AF44" s="6">
        <f>MROUND('Pesquisa de mercado'!$K44*'Pesquisa de mercado'!C$11,1)</f>
        <v>9588</v>
      </c>
      <c r="AG44" s="6">
        <f>MROUND('Pesquisa de mercado'!Q44*'Pesquisa de mercado'!D$11,1)</f>
        <v>17551</v>
      </c>
      <c r="AH44" s="6">
        <f>MROUND('Pesquisa de mercado'!W44*'Pesquisa de mercado'!E$11,1)</f>
        <v>17959</v>
      </c>
      <c r="AI44" s="215">
        <f t="shared" si="22"/>
        <v>50069</v>
      </c>
    </row>
    <row r="45" spans="2:35" ht="16.5">
      <c r="B45" s="67" t="s">
        <v>159</v>
      </c>
      <c r="C45" s="6">
        <f>MROUND('Pesquisa de mercado'!$G45*'Pesquisa de mercado'!B$11,1)</f>
        <v>4790</v>
      </c>
      <c r="D45" s="6">
        <f>MROUND('Pesquisa de mercado'!$G45*'Pesquisa de mercado'!C$11,1)</f>
        <v>9237</v>
      </c>
      <c r="E45" s="6">
        <f>MROUND('Pesquisa de mercado'!$M45*'Pesquisa de mercado'!D$11,1)</f>
        <v>8520</v>
      </c>
      <c r="F45" s="6">
        <f>MROUND('Pesquisa de mercado'!$S45*'Pesquisa de mercado'!E$11,1)</f>
        <v>3408</v>
      </c>
      <c r="G45" s="215">
        <f t="shared" si="18"/>
        <v>25955</v>
      </c>
      <c r="I45" s="67" t="s">
        <v>159</v>
      </c>
      <c r="J45" s="6">
        <f>MROUND('Pesquisa de mercado'!$H45*'Pesquisa de mercado'!B$11,1)</f>
        <v>14095</v>
      </c>
      <c r="K45" s="6">
        <f>MROUND('Pesquisa de mercado'!$H45*'Pesquisa de mercado'!C$11,1)</f>
        <v>27184</v>
      </c>
      <c r="L45" s="6">
        <f>MROUND('Pesquisa de mercado'!$N45*'Pesquisa de mercado'!D$11,1)</f>
        <v>24265</v>
      </c>
      <c r="M45" s="6">
        <f>MROUND('Pesquisa de mercado'!$T45*'Pesquisa de mercado'!E$11,1)</f>
        <v>9221</v>
      </c>
      <c r="N45" s="215">
        <f t="shared" si="19"/>
        <v>74765</v>
      </c>
      <c r="P45" s="67" t="s">
        <v>159</v>
      </c>
      <c r="Q45" s="6">
        <f>MROUND('Pesquisa de mercado'!$I45*'Pesquisa de mercado'!B$11,1)</f>
        <v>3810</v>
      </c>
      <c r="R45" s="6">
        <f>MROUND('Pesquisa de mercado'!$I45*'Pesquisa de mercado'!C$11,1)</f>
        <v>7347</v>
      </c>
      <c r="S45" s="6">
        <f>MROUND('Pesquisa de mercado'!$O45*'Pesquisa de mercado'!D$11,1)</f>
        <v>12824</v>
      </c>
      <c r="T45" s="6">
        <f>MROUND('Pesquisa de mercado'!$U45*'Pesquisa de mercado'!E$11,1)</f>
        <v>14388</v>
      </c>
      <c r="U45" s="215">
        <f t="shared" si="20"/>
        <v>38369</v>
      </c>
      <c r="W45" s="67" t="s">
        <v>159</v>
      </c>
      <c r="X45" s="6">
        <f>MROUND('Pesquisa de mercado'!$J45*'Pesquisa de mercado'!B$11,1)</f>
        <v>2539</v>
      </c>
      <c r="Y45" s="6">
        <f>MROUND('Pesquisa de mercado'!$J45*'Pesquisa de mercado'!C$11,1)</f>
        <v>4897</v>
      </c>
      <c r="Z45" s="6">
        <f>MROUND('Pesquisa de mercado'!$P45*'Pesquisa de mercado'!D$11,1)</f>
        <v>4673</v>
      </c>
      <c r="AA45" s="6">
        <f>MROUND('Pesquisa de mercado'!$V45*'Pesquisa de mercado'!E$11,1)</f>
        <v>1963</v>
      </c>
      <c r="AB45" s="215">
        <f t="shared" si="21"/>
        <v>14072</v>
      </c>
      <c r="AD45" s="67" t="s">
        <v>159</v>
      </c>
      <c r="AE45" s="6">
        <f>MROUND('Pesquisa de mercado'!$K45*'Pesquisa de mercado'!B$11,1)</f>
        <v>1245</v>
      </c>
      <c r="AF45" s="6">
        <f>MROUND('Pesquisa de mercado'!$K45*'Pesquisa de mercado'!C$11,1)</f>
        <v>2400</v>
      </c>
      <c r="AG45" s="6">
        <f>MROUND('Pesquisa de mercado'!Q45*'Pesquisa de mercado'!D$11,1)</f>
        <v>4394</v>
      </c>
      <c r="AH45" s="6">
        <f>MROUND('Pesquisa de mercado'!W45*'Pesquisa de mercado'!E$11,1)</f>
        <v>4496</v>
      </c>
      <c r="AI45" s="215">
        <f t="shared" si="22"/>
        <v>12535</v>
      </c>
    </row>
    <row r="46" spans="2:35" ht="16.5">
      <c r="B46" s="67" t="s">
        <v>160</v>
      </c>
      <c r="C46" s="6">
        <f>MROUND('Pesquisa de mercado'!$G46*'Pesquisa de mercado'!B$11,1)</f>
        <v>21729</v>
      </c>
      <c r="D46" s="6">
        <f>MROUND('Pesquisa de mercado'!$G46*'Pesquisa de mercado'!C$11,1)</f>
        <v>41907</v>
      </c>
      <c r="E46" s="6">
        <f>MROUND('Pesquisa de mercado'!$M46*'Pesquisa de mercado'!D$11,1)</f>
        <v>38654</v>
      </c>
      <c r="F46" s="6">
        <f>MROUND('Pesquisa de mercado'!$S46*'Pesquisa de mercado'!E$11,1)</f>
        <v>15462</v>
      </c>
      <c r="G46" s="215">
        <f t="shared" si="18"/>
        <v>117752</v>
      </c>
      <c r="I46" s="67" t="s">
        <v>160</v>
      </c>
      <c r="J46" s="6">
        <f>MROUND('Pesquisa de mercado'!$H46*'Pesquisa de mercado'!B$11,1)</f>
        <v>63946</v>
      </c>
      <c r="K46" s="6">
        <f>MROUND('Pesquisa de mercado'!$H46*'Pesquisa de mercado'!C$11,1)</f>
        <v>123326</v>
      </c>
      <c r="L46" s="6">
        <f>MROUND('Pesquisa de mercado'!$N46*'Pesquisa de mercado'!D$11,1)</f>
        <v>110083</v>
      </c>
      <c r="M46" s="6">
        <f>MROUND('Pesquisa de mercado'!$T46*'Pesquisa de mercado'!E$11,1)</f>
        <v>41832</v>
      </c>
      <c r="N46" s="215">
        <f t="shared" si="19"/>
        <v>339187</v>
      </c>
      <c r="P46" s="67" t="s">
        <v>160</v>
      </c>
      <c r="Q46" s="6">
        <f>MROUND('Pesquisa de mercado'!$I46*'Pesquisa de mercado'!B$11,1)</f>
        <v>17283</v>
      </c>
      <c r="R46" s="6">
        <f>MROUND('Pesquisa de mercado'!$I46*'Pesquisa de mercado'!C$11,1)</f>
        <v>33332</v>
      </c>
      <c r="S46" s="6">
        <f>MROUND('Pesquisa de mercado'!$O46*'Pesquisa de mercado'!D$11,1)</f>
        <v>58178</v>
      </c>
      <c r="T46" s="6">
        <f>MROUND('Pesquisa de mercado'!$U46*'Pesquisa de mercado'!E$11,1)</f>
        <v>65273</v>
      </c>
      <c r="U46" s="215">
        <f t="shared" si="20"/>
        <v>174066</v>
      </c>
      <c r="W46" s="67" t="s">
        <v>160</v>
      </c>
      <c r="X46" s="6">
        <f>MROUND('Pesquisa de mercado'!$J46*'Pesquisa de mercado'!B$11,1)</f>
        <v>11520</v>
      </c>
      <c r="Y46" s="6">
        <f>MROUND('Pesquisa de mercado'!$J46*'Pesquisa de mercado'!C$11,1)</f>
        <v>22217</v>
      </c>
      <c r="Z46" s="6">
        <f>MROUND('Pesquisa de mercado'!$P46*'Pesquisa de mercado'!D$11,1)</f>
        <v>21199</v>
      </c>
      <c r="AA46" s="6">
        <f>MROUND('Pesquisa de mercado'!$V46*'Pesquisa de mercado'!E$11,1)</f>
        <v>8904</v>
      </c>
      <c r="AB46" s="215">
        <f t="shared" si="21"/>
        <v>63840</v>
      </c>
      <c r="AD46" s="67" t="s">
        <v>160</v>
      </c>
      <c r="AE46" s="6">
        <f>MROUND('Pesquisa de mercado'!$K46*'Pesquisa de mercado'!B$11,1)</f>
        <v>5646</v>
      </c>
      <c r="AF46" s="6">
        <f>MROUND('Pesquisa de mercado'!$K46*'Pesquisa de mercado'!C$11,1)</f>
        <v>10890</v>
      </c>
      <c r="AG46" s="6">
        <f>MROUND('Pesquisa de mercado'!Q46*'Pesquisa de mercado'!D$11,1)</f>
        <v>19934</v>
      </c>
      <c r="AH46" s="6">
        <f>MROUND('Pesquisa de mercado'!W46*'Pesquisa de mercado'!E$11,1)</f>
        <v>20398</v>
      </c>
      <c r="AI46" s="215">
        <f t="shared" si="22"/>
        <v>56868</v>
      </c>
    </row>
    <row r="47" spans="2:35">
      <c r="B47" s="303" t="s">
        <v>178</v>
      </c>
      <c r="C47" s="6">
        <f>SUM(C35:C46)</f>
        <v>135300</v>
      </c>
      <c r="D47" s="6">
        <f t="shared" ref="D47" si="23">SUM(D35:D46)</f>
        <v>260940</v>
      </c>
      <c r="E47" s="6">
        <f t="shared" ref="E47" si="24">SUM(E35:E46)</f>
        <v>240684</v>
      </c>
      <c r="F47" s="6">
        <f t="shared" ref="F47" si="25">SUM(F35:F46)</f>
        <v>96274</v>
      </c>
      <c r="G47" s="215">
        <f t="shared" si="18"/>
        <v>733198</v>
      </c>
      <c r="I47" s="303" t="s">
        <v>178</v>
      </c>
      <c r="J47" s="6">
        <f>SUM(J35:J46)</f>
        <v>398168</v>
      </c>
      <c r="K47" s="6">
        <f t="shared" ref="K47" si="26">SUM(K35:K46)</f>
        <v>767907</v>
      </c>
      <c r="L47" s="6">
        <f t="shared" ref="L47" si="27">SUM(L35:L46)</f>
        <v>685451</v>
      </c>
      <c r="M47" s="6">
        <f t="shared" ref="M47" si="28">SUM(M35:M46)</f>
        <v>260472</v>
      </c>
      <c r="N47" s="215">
        <f t="shared" si="19"/>
        <v>2111998</v>
      </c>
      <c r="P47" s="303" t="s">
        <v>178</v>
      </c>
      <c r="Q47" s="6">
        <f>SUM(Q35:Q46)</f>
        <v>107615</v>
      </c>
      <c r="R47" s="6">
        <f t="shared" ref="R47" si="29">SUM(R35:R46)</f>
        <v>207546</v>
      </c>
      <c r="S47" s="6">
        <f t="shared" ref="S47" si="30">SUM(S35:S46)</f>
        <v>362256</v>
      </c>
      <c r="T47" s="6">
        <f t="shared" ref="T47" si="31">SUM(T35:T46)</f>
        <v>406434</v>
      </c>
      <c r="U47" s="215">
        <f t="shared" si="20"/>
        <v>1083851</v>
      </c>
      <c r="W47" s="303" t="s">
        <v>178</v>
      </c>
      <c r="X47" s="6">
        <f>SUM(X35:X46)</f>
        <v>71730</v>
      </c>
      <c r="Y47" s="6">
        <f t="shared" ref="Y47" si="32">SUM(Y35:Y46)</f>
        <v>138337</v>
      </c>
      <c r="Z47" s="6">
        <f t="shared" ref="Z47" si="33">SUM(Z35:Z46)</f>
        <v>132002</v>
      </c>
      <c r="AA47" s="6">
        <f t="shared" ref="AA47" si="34">SUM(AA35:AA46)</f>
        <v>55442</v>
      </c>
      <c r="AB47" s="215">
        <f t="shared" si="21"/>
        <v>397511</v>
      </c>
      <c r="AD47" s="303" t="s">
        <v>178</v>
      </c>
      <c r="AE47" s="6">
        <f>SUM(AE35:AE46)</f>
        <v>35157</v>
      </c>
      <c r="AF47" s="6">
        <f t="shared" ref="AF47" si="35">SUM(AF35:AF46)</f>
        <v>67809</v>
      </c>
      <c r="AG47" s="6">
        <f t="shared" ref="AG47" si="36">SUM(AG35:AG46)</f>
        <v>124125</v>
      </c>
      <c r="AH47" s="6">
        <f t="shared" ref="AH47" si="37">SUM(AH35:AH46)</f>
        <v>127011</v>
      </c>
      <c r="AI47" s="215">
        <f t="shared" si="22"/>
        <v>354102</v>
      </c>
    </row>
  </sheetData>
  <mergeCells count="9">
    <mergeCell ref="D2:H2"/>
    <mergeCell ref="K28:X31"/>
    <mergeCell ref="K32:X32"/>
    <mergeCell ref="AL9:AM9"/>
    <mergeCell ref="C3:C4"/>
    <mergeCell ref="B3:B4"/>
    <mergeCell ref="D3:H5"/>
    <mergeCell ref="K3:X6"/>
    <mergeCell ref="K7:X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B098-DE9B-49FD-9DD1-9ED37C19026D}">
  <dimension ref="A1:AB62"/>
  <sheetViews>
    <sheetView tabSelected="1" workbookViewId="0">
      <pane xSplit="3" topLeftCell="F1" activePane="topRight" state="frozen"/>
      <selection pane="topRight" activeCell="U65" sqref="U65"/>
    </sheetView>
  </sheetViews>
  <sheetFormatPr defaultRowHeight="15"/>
  <cols>
    <col min="1" max="1" width="0" style="289" hidden="1" customWidth="1"/>
    <col min="2" max="2" width="12.85546875" style="347" customWidth="1"/>
    <col min="3" max="3" width="25.42578125" style="348" customWidth="1"/>
    <col min="4" max="4" width="17.140625" style="333" bestFit="1" customWidth="1"/>
    <col min="5" max="5" width="15" style="333" bestFit="1" customWidth="1"/>
    <col min="6" max="6" width="29.42578125" style="333" bestFit="1" customWidth="1"/>
    <col min="7" max="7" width="26" style="333" customWidth="1"/>
    <col min="8" max="8" width="21.5703125" style="333" customWidth="1"/>
    <col min="9" max="9" width="18.140625" style="333" customWidth="1"/>
    <col min="10" max="10" width="27.140625" style="333" customWidth="1"/>
    <col min="11" max="11" width="27" style="333" hidden="1" customWidth="1"/>
    <col min="12" max="12" width="19.42578125" style="333" hidden="1" customWidth="1"/>
    <col min="13" max="13" width="21.42578125" style="333" hidden="1" customWidth="1"/>
    <col min="14" max="14" width="19.140625" style="333" hidden="1" customWidth="1"/>
    <col min="15" max="15" width="17.5703125" style="333" hidden="1" customWidth="1"/>
    <col min="16" max="16" width="20.85546875" style="333" hidden="1" customWidth="1"/>
    <col min="17" max="17" width="23.7109375" style="333" hidden="1" customWidth="1"/>
    <col min="18" max="18" width="21.42578125" style="333" hidden="1" customWidth="1"/>
    <col min="19" max="19" width="22.7109375" style="333" hidden="1" customWidth="1"/>
    <col min="20" max="20" width="15" style="333" hidden="1" customWidth="1"/>
    <col min="21" max="21" width="36.5703125" style="333" bestFit="1" customWidth="1"/>
    <col min="22" max="22" width="17.140625" style="333" bestFit="1" customWidth="1"/>
    <col min="23" max="23" width="29.7109375" style="333" customWidth="1"/>
    <col min="24" max="24" width="24.85546875" style="333" customWidth="1"/>
    <col min="25" max="25" width="24.42578125" style="333" bestFit="1" customWidth="1"/>
    <col min="26" max="26" width="36.28515625" style="343" customWidth="1"/>
    <col min="27" max="28" width="24.42578125" style="343" bestFit="1" customWidth="1"/>
    <col min="29" max="16384" width="9.140625" style="343"/>
  </cols>
  <sheetData>
    <row r="1" spans="1:28" s="341" customFormat="1" ht="29.25">
      <c r="A1" s="334" t="s">
        <v>228</v>
      </c>
      <c r="B1" s="335" t="s">
        <v>140</v>
      </c>
      <c r="C1" s="336" t="s">
        <v>229</v>
      </c>
      <c r="D1" s="336" t="s">
        <v>230</v>
      </c>
      <c r="E1" s="336" t="s">
        <v>184</v>
      </c>
      <c r="F1" s="337" t="s">
        <v>29</v>
      </c>
      <c r="G1" s="338" t="s">
        <v>54</v>
      </c>
      <c r="H1" s="339" t="s">
        <v>231</v>
      </c>
      <c r="I1" s="339" t="s">
        <v>232</v>
      </c>
      <c r="J1" s="339" t="s">
        <v>233</v>
      </c>
      <c r="K1" s="339" t="s">
        <v>234</v>
      </c>
      <c r="L1" s="336" t="s">
        <v>235</v>
      </c>
      <c r="M1" s="336" t="s">
        <v>236</v>
      </c>
      <c r="N1" s="336" t="s">
        <v>237</v>
      </c>
      <c r="O1" s="336" t="s">
        <v>238</v>
      </c>
      <c r="P1" s="336" t="s">
        <v>239</v>
      </c>
      <c r="Q1" s="336" t="s">
        <v>240</v>
      </c>
      <c r="R1" s="336" t="s">
        <v>241</v>
      </c>
      <c r="S1" s="336" t="s">
        <v>242</v>
      </c>
      <c r="T1" s="336" t="s">
        <v>243</v>
      </c>
      <c r="U1" s="339" t="s">
        <v>244</v>
      </c>
      <c r="V1" s="339" t="s">
        <v>245</v>
      </c>
      <c r="W1" s="339" t="s">
        <v>246</v>
      </c>
      <c r="X1" s="339" t="s">
        <v>247</v>
      </c>
      <c r="Y1" s="340" t="s">
        <v>248</v>
      </c>
      <c r="Z1" s="340" t="s">
        <v>249</v>
      </c>
      <c r="AA1" s="340" t="s">
        <v>250</v>
      </c>
      <c r="AB1" s="340" t="s">
        <v>251</v>
      </c>
    </row>
    <row r="2" spans="1:28" ht="15.75">
      <c r="A2" s="289">
        <v>1</v>
      </c>
      <c r="B2" s="342" t="s">
        <v>149</v>
      </c>
      <c r="C2" s="288" t="str">
        <f>'Custo de equipe'!$B$30</f>
        <v>Sul</v>
      </c>
      <c r="D2" s="288">
        <f>150000/2</f>
        <v>75000</v>
      </c>
      <c r="E2" s="288">
        <f>armazem!K6</f>
        <v>539437</v>
      </c>
      <c r="F2" s="288">
        <f>'Custo de infraestrutura'!C5</f>
        <v>450000</v>
      </c>
      <c r="G2" s="349">
        <f>'Custo de infraestrutura'!D5</f>
        <v>35168000</v>
      </c>
      <c r="H2" s="288">
        <f>'Lotes de celulares'!C6*'Compra dos telefones'!$C$6</f>
        <v>88310600</v>
      </c>
      <c r="I2" s="288">
        <f>'Lotes de celulares'!D6*'Compra dos telefones'!$D$6</f>
        <v>44720520</v>
      </c>
      <c r="J2" s="288">
        <f>'Lotes de celulares'!E6*'Compra dos telefones'!$E$6</f>
        <v>11546640</v>
      </c>
      <c r="K2" s="288">
        <f>'Lotes de celulares'!F6*'Compra dos telefones'!F$6</f>
        <v>1340950</v>
      </c>
      <c r="L2" s="288" cm="1">
        <f t="array" ref="L2:N13">'Custo de equipe'!C31:E42</f>
        <v>80000</v>
      </c>
      <c r="M2" s="288">
        <v>180000</v>
      </c>
      <c r="N2" s="288">
        <v>600000</v>
      </c>
      <c r="O2" s="288" cm="1">
        <f t="array" ref="O2:Q13">'Custo de equipe'!C31:E42</f>
        <v>80000</v>
      </c>
      <c r="P2" s="288">
        <v>180000</v>
      </c>
      <c r="Q2" s="288">
        <v>600000</v>
      </c>
      <c r="R2" s="288" cm="1">
        <f t="array" ref="R2:T13">'Custo de equipe'!C48:E59</f>
        <v>68500</v>
      </c>
      <c r="S2" s="288">
        <v>157000</v>
      </c>
      <c r="T2" s="288">
        <v>495000</v>
      </c>
      <c r="U2" s="288">
        <f>'previsão de vendas'!C10*'Venda dos celulares'!$C$7</f>
        <v>133230240.00000001</v>
      </c>
      <c r="V2" s="288">
        <f>'previsão de vendas'!D10*'Venda dos celulares'!$D$7</f>
        <v>69765840</v>
      </c>
      <c r="W2" s="288">
        <f>'previsão de vendas'!E10*'Venda dos celulares'!$E$7</f>
        <v>19794240</v>
      </c>
      <c r="X2" s="288">
        <f>'previsão de vendas'!F10*'Venda dos celulares'!$F$7</f>
        <v>3063900</v>
      </c>
      <c r="Y2" s="288">
        <f>'base de dados'!$D$30*('previsão de vendas'!C10)</f>
        <v>2199000</v>
      </c>
      <c r="Z2" s="288">
        <f>'base de dados'!$D$31*('previsão de vendas'!D10)</f>
        <v>2248500</v>
      </c>
      <c r="AA2" s="288">
        <f>'base de dados'!$D$32*('previsão de vendas'!E10)</f>
        <v>1498500</v>
      </c>
      <c r="AB2" s="288">
        <f>'base de dados'!$D$33*('previsão de vendas'!F10)</f>
        <v>299500</v>
      </c>
    </row>
    <row r="3" spans="1:28" ht="15.75">
      <c r="A3" s="289">
        <v>2</v>
      </c>
      <c r="B3" s="342" t="s">
        <v>150</v>
      </c>
      <c r="C3" s="288" t="str">
        <f>'Custo de equipe'!$B$30</f>
        <v>Sul</v>
      </c>
      <c r="D3" s="288">
        <v>0</v>
      </c>
      <c r="E3" s="288">
        <f>armazem!K7</f>
        <v>539437</v>
      </c>
      <c r="F3" s="288">
        <f>'Custo de infraestrutura'!C6</f>
        <v>600000</v>
      </c>
      <c r="G3" s="288">
        <f>'Custo de infraestrutura'!D6</f>
        <v>91688000</v>
      </c>
      <c r="H3" s="288">
        <f>'Lotes de celulares'!C7*'Compra dos telefones'!$C$6</f>
        <v>88310600</v>
      </c>
      <c r="I3" s="288">
        <f>'Lotes de celulares'!D7*'Compra dos telefones'!$D$6</f>
        <v>59627360</v>
      </c>
      <c r="J3" s="288">
        <f>'Lotes de celulares'!E7*'Compra dos telefones'!$E$6</f>
        <v>15395520</v>
      </c>
      <c r="K3" s="288">
        <f>'Lotes de celulares'!F7*'Compra dos telefones'!F$6</f>
        <v>2681900</v>
      </c>
      <c r="L3" s="288">
        <v>80000</v>
      </c>
      <c r="M3" s="288">
        <v>90000</v>
      </c>
      <c r="N3" s="288">
        <v>900000</v>
      </c>
      <c r="O3" s="288">
        <v>80000</v>
      </c>
      <c r="P3" s="288">
        <v>90000</v>
      </c>
      <c r="Q3" s="288">
        <v>900000</v>
      </c>
      <c r="R3" s="288">
        <v>137000</v>
      </c>
      <c r="S3" s="288">
        <v>235500</v>
      </c>
      <c r="T3" s="288">
        <v>1237500</v>
      </c>
      <c r="U3" s="288">
        <f>'previsão de vendas'!C11*'Venda dos celulares'!$C$7</f>
        <v>133230240.00000001</v>
      </c>
      <c r="V3" s="288">
        <f>'previsão de vendas'!D11*'Venda dos celulares'!$D$7</f>
        <v>93021120.000000015</v>
      </c>
      <c r="W3" s="288">
        <f>'previsão de vendas'!E11*'Venda dos celulares'!$E$7</f>
        <v>26392320</v>
      </c>
      <c r="X3" s="288">
        <f>'previsão de vendas'!F11*'Venda dos celulares'!$F$7</f>
        <v>6127800</v>
      </c>
      <c r="Y3" s="288">
        <f>'base de dados'!$D$30*('previsão de vendas'!C11)</f>
        <v>2199000</v>
      </c>
      <c r="Z3" s="288">
        <f>'base de dados'!$D$31*('previsão de vendas'!D11)</f>
        <v>2998000</v>
      </c>
      <c r="AA3" s="288">
        <f>'base de dados'!$D$32*('previsão de vendas'!E11)</f>
        <v>1998000</v>
      </c>
      <c r="AB3" s="288">
        <f>'base de dados'!$D$33*('previsão de vendas'!F11)</f>
        <v>599000</v>
      </c>
    </row>
    <row r="4" spans="1:28" ht="15.75">
      <c r="A4" s="289">
        <v>3</v>
      </c>
      <c r="B4" s="342" t="s">
        <v>151</v>
      </c>
      <c r="C4" s="288" t="str">
        <f>'Custo de equipe'!$B$30</f>
        <v>Sul</v>
      </c>
      <c r="D4" s="288">
        <v>0</v>
      </c>
      <c r="E4" s="288">
        <f>armazem!K8</f>
        <v>0</v>
      </c>
      <c r="F4" s="288">
        <f>'Custo de infraestrutura'!C7</f>
        <v>150000</v>
      </c>
      <c r="G4" s="288">
        <f>'Custo de infraestrutura'!D7</f>
        <v>0</v>
      </c>
      <c r="H4" s="288">
        <f>'Lotes de celulares'!C8*'Compra dos telefones'!$C$6</f>
        <v>0</v>
      </c>
      <c r="I4" s="288">
        <f>'Lotes de celulares'!D8*'Compra dos telefones'!$D$6</f>
        <v>0</v>
      </c>
      <c r="J4" s="288">
        <f>'Lotes de celulares'!E8*'Compra dos telefones'!$E$6</f>
        <v>0</v>
      </c>
      <c r="K4" s="288">
        <f>'Lotes de celulares'!F8*'Compra dos telefones'!F$6</f>
        <v>0</v>
      </c>
      <c r="L4" s="288">
        <v>0</v>
      </c>
      <c r="M4" s="288">
        <v>0</v>
      </c>
      <c r="N4" s="288">
        <v>0</v>
      </c>
      <c r="O4" s="288">
        <v>0</v>
      </c>
      <c r="P4" s="288">
        <v>0</v>
      </c>
      <c r="Q4" s="288">
        <v>0</v>
      </c>
      <c r="R4" s="288">
        <v>68500</v>
      </c>
      <c r="S4" s="288">
        <v>78500</v>
      </c>
      <c r="T4" s="288">
        <v>0</v>
      </c>
      <c r="U4" s="288">
        <f>'previsão de vendas'!C12*'Venda dos celulares'!$C$7</f>
        <v>0</v>
      </c>
      <c r="V4" s="288">
        <f>'previsão de vendas'!D12*'Venda dos celulares'!$D$7</f>
        <v>0</v>
      </c>
      <c r="W4" s="288">
        <f>'previsão de vendas'!E12*'Venda dos celulares'!$E$7</f>
        <v>0</v>
      </c>
      <c r="X4" s="288">
        <f>'previsão de vendas'!F12*'Venda dos celulares'!$F$7</f>
        <v>0</v>
      </c>
      <c r="Y4" s="288">
        <f>'base de dados'!$D$30*('previsão de vendas'!C12)</f>
        <v>0</v>
      </c>
      <c r="Z4" s="288">
        <f>'base de dados'!$D$31*('previsão de vendas'!D12)</f>
        <v>0</v>
      </c>
      <c r="AA4" s="288">
        <f>'base de dados'!$D$32*('previsão de vendas'!E12)</f>
        <v>0</v>
      </c>
      <c r="AB4" s="288">
        <f>'base de dados'!$D$33*('previsão de vendas'!F12)</f>
        <v>0</v>
      </c>
    </row>
    <row r="5" spans="1:28" ht="15.75">
      <c r="A5" s="289">
        <v>4</v>
      </c>
      <c r="B5" s="342" t="s">
        <v>152</v>
      </c>
      <c r="C5" s="288" t="str">
        <f>'Custo de equipe'!$B$30</f>
        <v>Sul</v>
      </c>
      <c r="D5" s="288">
        <v>0</v>
      </c>
      <c r="E5" s="288">
        <f>armazem!K9</f>
        <v>539437</v>
      </c>
      <c r="F5" s="288">
        <f>'Custo de infraestrutura'!C8</f>
        <v>900000</v>
      </c>
      <c r="G5" s="288">
        <f>'Custo de infraestrutura'!D8</f>
        <v>130624000</v>
      </c>
      <c r="H5" s="288">
        <f>'Lotes de celulares'!C9*'Compra dos telefones'!$C$6</f>
        <v>132465900</v>
      </c>
      <c r="I5" s="288">
        <f>'Lotes de celulares'!D9*'Compra dos telefones'!$D$6</f>
        <v>89441040</v>
      </c>
      <c r="J5" s="288">
        <f>'Lotes de celulares'!E9*'Compra dos telefones'!$E$6</f>
        <v>23093280</v>
      </c>
      <c r="K5" s="288">
        <f>'Lotes de celulares'!F9*'Compra dos telefones'!F$6</f>
        <v>2681900</v>
      </c>
      <c r="L5" s="288">
        <v>80000</v>
      </c>
      <c r="M5" s="288">
        <v>270000</v>
      </c>
      <c r="N5" s="288">
        <v>2100000</v>
      </c>
      <c r="O5" s="288">
        <v>80000</v>
      </c>
      <c r="P5" s="288">
        <v>270000</v>
      </c>
      <c r="Q5" s="288">
        <v>2100000</v>
      </c>
      <c r="R5" s="288">
        <v>137000</v>
      </c>
      <c r="S5" s="288">
        <v>314000</v>
      </c>
      <c r="T5" s="288">
        <v>1732500</v>
      </c>
      <c r="U5" s="288">
        <f>'previsão de vendas'!C13*'Venda dos celulares'!$C$7</f>
        <v>199845360.00000003</v>
      </c>
      <c r="V5" s="288">
        <f>'previsão de vendas'!D13*'Venda dos celulares'!$D$7</f>
        <v>139531680</v>
      </c>
      <c r="W5" s="288">
        <f>'previsão de vendas'!E13*'Venda dos celulares'!$E$7</f>
        <v>39588480</v>
      </c>
      <c r="X5" s="288">
        <f>'previsão de vendas'!F13*'Venda dos celulares'!$F$7</f>
        <v>6127800</v>
      </c>
      <c r="Y5" s="288">
        <f>'base de dados'!$D$30*('previsão de vendas'!C13)</f>
        <v>3298500</v>
      </c>
      <c r="Z5" s="288">
        <f>'base de dados'!$D$31*('previsão de vendas'!D13)</f>
        <v>4497000</v>
      </c>
      <c r="AA5" s="288">
        <f>'base de dados'!$D$32*('previsão de vendas'!E13)</f>
        <v>2997000</v>
      </c>
      <c r="AB5" s="288">
        <f>'base de dados'!$D$33*('previsão de vendas'!F13)</f>
        <v>599000</v>
      </c>
    </row>
    <row r="6" spans="1:28" ht="15.75">
      <c r="A6" s="289">
        <v>5</v>
      </c>
      <c r="B6" s="342" t="s">
        <v>153</v>
      </c>
      <c r="C6" s="288" t="str">
        <f>'Custo de equipe'!$B$30</f>
        <v>Sul</v>
      </c>
      <c r="D6" s="288">
        <v>0</v>
      </c>
      <c r="E6" s="288">
        <f>armazem!K10</f>
        <v>539437</v>
      </c>
      <c r="F6" s="288">
        <f>'Custo de infraestrutura'!C9</f>
        <v>450000</v>
      </c>
      <c r="G6" s="288">
        <f>'Custo de infraestrutura'!D9</f>
        <v>69080000</v>
      </c>
      <c r="H6" s="288">
        <f>'Lotes de celulares'!C10*'Compra dos telefones'!$C$6</f>
        <v>88310600</v>
      </c>
      <c r="I6" s="288">
        <f>'Lotes de celulares'!D10*'Compra dos telefones'!$D$6</f>
        <v>44720520</v>
      </c>
      <c r="J6" s="288">
        <f>'Lotes de celulares'!E10*'Compra dos telefones'!$E$6</f>
        <v>11546640</v>
      </c>
      <c r="K6" s="288">
        <f>'Lotes de celulares'!F10*'Compra dos telefones'!F$6</f>
        <v>1340950</v>
      </c>
      <c r="L6" s="288">
        <v>0</v>
      </c>
      <c r="M6" s="288">
        <v>0</v>
      </c>
      <c r="N6" s="288">
        <v>0</v>
      </c>
      <c r="O6" s="288">
        <v>0</v>
      </c>
      <c r="P6" s="288">
        <v>0</v>
      </c>
      <c r="Q6" s="288">
        <v>0</v>
      </c>
      <c r="R6" s="288">
        <v>68500</v>
      </c>
      <c r="S6" s="288">
        <v>157000</v>
      </c>
      <c r="T6" s="288">
        <v>907500</v>
      </c>
      <c r="U6" s="288">
        <f>'previsão de vendas'!C14*'Venda dos celulares'!$C$7</f>
        <v>133230240.00000001</v>
      </c>
      <c r="V6" s="288">
        <f>'previsão de vendas'!D14*'Venda dos celulares'!$D$7</f>
        <v>69765840</v>
      </c>
      <c r="W6" s="288">
        <f>'previsão de vendas'!E14*'Venda dos celulares'!$E$7</f>
        <v>19794240</v>
      </c>
      <c r="X6" s="288">
        <f>'previsão de vendas'!F14*'Venda dos celulares'!$F$7</f>
        <v>3063900</v>
      </c>
      <c r="Y6" s="288">
        <f>'base de dados'!$D$30*('previsão de vendas'!C14)</f>
        <v>2199000</v>
      </c>
      <c r="Z6" s="288">
        <f>'base de dados'!$D$31*('previsão de vendas'!D14)</f>
        <v>2248500</v>
      </c>
      <c r="AA6" s="288">
        <f>'base de dados'!$D$32*('previsão de vendas'!E14)</f>
        <v>1498500</v>
      </c>
      <c r="AB6" s="288">
        <f>'base de dados'!$D$33*('previsão de vendas'!F14)</f>
        <v>299500</v>
      </c>
    </row>
    <row r="7" spans="1:28" ht="15.75">
      <c r="A7" s="289">
        <v>6</v>
      </c>
      <c r="B7" s="342" t="s">
        <v>154</v>
      </c>
      <c r="C7" s="288" t="str">
        <f>'Custo de equipe'!$B$30</f>
        <v>Sul</v>
      </c>
      <c r="D7" s="288">
        <v>0</v>
      </c>
      <c r="E7" s="288">
        <f>armazem!K11</f>
        <v>539437</v>
      </c>
      <c r="F7" s="288">
        <f>'Custo de infraestrutura'!C10</f>
        <v>750000</v>
      </c>
      <c r="G7" s="288">
        <f>'Custo de infraestrutura'!D10</f>
        <v>115552000</v>
      </c>
      <c r="H7" s="288">
        <f>'Lotes de celulares'!C11*'Compra dos telefones'!$C$6</f>
        <v>132465900</v>
      </c>
      <c r="I7" s="288">
        <f>'Lotes de celulares'!D11*'Compra dos telefones'!$D$6</f>
        <v>74534200</v>
      </c>
      <c r="J7" s="288">
        <f>'Lotes de celulares'!E11*'Compra dos telefones'!$E$6</f>
        <v>19244400</v>
      </c>
      <c r="K7" s="288">
        <f>'Lotes de celulares'!F11*'Compra dos telefones'!F$6</f>
        <v>2681900</v>
      </c>
      <c r="L7" s="288">
        <v>80000</v>
      </c>
      <c r="M7" s="288">
        <v>90000</v>
      </c>
      <c r="N7" s="288">
        <v>700000</v>
      </c>
      <c r="O7" s="288">
        <v>80000</v>
      </c>
      <c r="P7" s="288">
        <v>90000</v>
      </c>
      <c r="Q7" s="288">
        <v>700000</v>
      </c>
      <c r="R7" s="288">
        <v>137000</v>
      </c>
      <c r="S7" s="288">
        <v>235500</v>
      </c>
      <c r="T7" s="288">
        <v>1485000</v>
      </c>
      <c r="U7" s="288">
        <f>'previsão de vendas'!C15*'Venda dos celulares'!$C$7</f>
        <v>199845360.00000003</v>
      </c>
      <c r="V7" s="288">
        <f>'previsão de vendas'!D15*'Venda dos celulares'!$D$7</f>
        <v>116276400.00000001</v>
      </c>
      <c r="W7" s="288">
        <f>'previsão de vendas'!E15*'Venda dos celulares'!$E$7</f>
        <v>32990400</v>
      </c>
      <c r="X7" s="288">
        <f>'previsão de vendas'!F15*'Venda dos celulares'!$F$7</f>
        <v>6127800</v>
      </c>
      <c r="Y7" s="288">
        <f>'base de dados'!$D$30*('previsão de vendas'!C15)</f>
        <v>3298500</v>
      </c>
      <c r="Z7" s="288">
        <f>'base de dados'!$D$31*('previsão de vendas'!D15)</f>
        <v>3747500</v>
      </c>
      <c r="AA7" s="288">
        <f>'base de dados'!$D$32*('previsão de vendas'!E15)</f>
        <v>2497500</v>
      </c>
      <c r="AB7" s="288">
        <f>'base de dados'!$D$33*('previsão de vendas'!F15)</f>
        <v>599000</v>
      </c>
    </row>
    <row r="8" spans="1:28" ht="15.75">
      <c r="A8" s="289">
        <v>7</v>
      </c>
      <c r="B8" s="342" t="s">
        <v>155</v>
      </c>
      <c r="C8" s="288" t="str">
        <f>'Custo de equipe'!$B$30</f>
        <v>Sul</v>
      </c>
      <c r="D8" s="288">
        <v>0</v>
      </c>
      <c r="E8" s="288">
        <f>armazem!K12</f>
        <v>539437</v>
      </c>
      <c r="F8" s="288">
        <f>'Custo de infraestrutura'!C11</f>
        <v>900000</v>
      </c>
      <c r="G8" s="288">
        <f>'Custo de infraestrutura'!D11</f>
        <v>130624000</v>
      </c>
      <c r="H8" s="288">
        <f>'Lotes de celulares'!C12*'Compra dos telefones'!$C$6</f>
        <v>132465900</v>
      </c>
      <c r="I8" s="288">
        <f>'Lotes de celulares'!D12*'Compra dos telefones'!$D$6</f>
        <v>89441040</v>
      </c>
      <c r="J8" s="288">
        <f>'Lotes de celulares'!E12*'Compra dos telefones'!$E$6</f>
        <v>23093280</v>
      </c>
      <c r="K8" s="288">
        <f>'Lotes de celulares'!F12*'Compra dos telefones'!F$6</f>
        <v>2681900</v>
      </c>
      <c r="L8" s="288">
        <v>0</v>
      </c>
      <c r="M8" s="288">
        <v>90000</v>
      </c>
      <c r="N8" s="288">
        <v>300000</v>
      </c>
      <c r="O8" s="288">
        <v>0</v>
      </c>
      <c r="P8" s="288">
        <v>90000</v>
      </c>
      <c r="Q8" s="288">
        <v>300000</v>
      </c>
      <c r="R8" s="288">
        <v>137000</v>
      </c>
      <c r="S8" s="288">
        <v>314000</v>
      </c>
      <c r="T8" s="288">
        <v>1732500</v>
      </c>
      <c r="U8" s="288">
        <f>'previsão de vendas'!C16*'Venda dos celulares'!$C$7</f>
        <v>199845360.00000003</v>
      </c>
      <c r="V8" s="288">
        <f>'previsão de vendas'!D16*'Venda dos celulares'!$D$7</f>
        <v>139531680</v>
      </c>
      <c r="W8" s="288">
        <f>'previsão de vendas'!E16*'Venda dos celulares'!$E$7</f>
        <v>39588480</v>
      </c>
      <c r="X8" s="288">
        <f>'previsão de vendas'!F16*'Venda dos celulares'!$F$7</f>
        <v>6127800</v>
      </c>
      <c r="Y8" s="288">
        <f>'base de dados'!$D$30*('previsão de vendas'!C16)</f>
        <v>3298500</v>
      </c>
      <c r="Z8" s="288">
        <f>'base de dados'!$D$31*('previsão de vendas'!D16)</f>
        <v>4497000</v>
      </c>
      <c r="AA8" s="288">
        <f>'base de dados'!$D$32*('previsão de vendas'!E16)</f>
        <v>2997000</v>
      </c>
      <c r="AB8" s="288">
        <f>'base de dados'!$D$33*('previsão de vendas'!F16)</f>
        <v>599000</v>
      </c>
    </row>
    <row r="9" spans="1:28" ht="15.75">
      <c r="A9" s="289">
        <v>8</v>
      </c>
      <c r="B9" s="342" t="s">
        <v>156</v>
      </c>
      <c r="C9" s="288" t="str">
        <f>'Custo de equipe'!$B$30</f>
        <v>Sul</v>
      </c>
      <c r="D9" s="288">
        <v>0</v>
      </c>
      <c r="E9" s="288">
        <f>armazem!K13</f>
        <v>539437</v>
      </c>
      <c r="F9" s="288">
        <f>'Custo de infraestrutura'!C12</f>
        <v>600000</v>
      </c>
      <c r="G9" s="288">
        <f>'Custo de infraestrutura'!D12</f>
        <v>100480000</v>
      </c>
      <c r="H9" s="288">
        <f>'Lotes de celulares'!C13*'Compra dos telefones'!$C$6</f>
        <v>88310600</v>
      </c>
      <c r="I9" s="288">
        <f>'Lotes de celulares'!D13*'Compra dos telefones'!$D$6</f>
        <v>74534200</v>
      </c>
      <c r="J9" s="288">
        <f>'Lotes de celulares'!E13*'Compra dos telefones'!$E$6</f>
        <v>15395520</v>
      </c>
      <c r="K9" s="288">
        <f>'Lotes de celulares'!F13*'Compra dos telefones'!F$6</f>
        <v>2681900</v>
      </c>
      <c r="L9" s="288">
        <v>0</v>
      </c>
      <c r="M9" s="288">
        <v>0</v>
      </c>
      <c r="N9" s="288">
        <v>0</v>
      </c>
      <c r="O9" s="288">
        <v>0</v>
      </c>
      <c r="P9" s="288">
        <v>0</v>
      </c>
      <c r="Q9" s="288">
        <v>0</v>
      </c>
      <c r="R9" s="288">
        <v>137000</v>
      </c>
      <c r="S9" s="288">
        <v>235500</v>
      </c>
      <c r="T9" s="288">
        <v>1320000</v>
      </c>
      <c r="U9" s="288">
        <f>'previsão de vendas'!C17*'Venda dos celulares'!$C$7</f>
        <v>133230240.00000001</v>
      </c>
      <c r="V9" s="288">
        <f>'previsão de vendas'!D17*'Venda dos celulares'!$D$7</f>
        <v>116276400.00000001</v>
      </c>
      <c r="W9" s="288">
        <f>'previsão de vendas'!E17*'Venda dos celulares'!$E$7</f>
        <v>26392320</v>
      </c>
      <c r="X9" s="288">
        <f>'previsão de vendas'!F17*'Venda dos celulares'!$F$7</f>
        <v>6127800</v>
      </c>
      <c r="Y9" s="288">
        <f>'base de dados'!$D$30*('previsão de vendas'!C17)</f>
        <v>2199000</v>
      </c>
      <c r="Z9" s="288">
        <f>'base de dados'!$D$31*('previsão de vendas'!D17)</f>
        <v>3747500</v>
      </c>
      <c r="AA9" s="288">
        <f>'base de dados'!$D$32*('previsão de vendas'!E17)</f>
        <v>1998000</v>
      </c>
      <c r="AB9" s="288">
        <f>'base de dados'!$D$33*('previsão de vendas'!F17)</f>
        <v>599000</v>
      </c>
    </row>
    <row r="10" spans="1:28" ht="15.75">
      <c r="A10" s="289">
        <v>9</v>
      </c>
      <c r="B10" s="342" t="s">
        <v>157</v>
      </c>
      <c r="C10" s="288" t="str">
        <f>'Custo de equipe'!$B$30</f>
        <v>Sul</v>
      </c>
      <c r="D10" s="288">
        <v>0</v>
      </c>
      <c r="E10" s="288">
        <f>armazem!K14</f>
        <v>539437</v>
      </c>
      <c r="F10" s="288">
        <f>'Custo de infraestrutura'!C13</f>
        <v>300000</v>
      </c>
      <c r="G10" s="288">
        <f>'Custo de infraestrutura'!D13</f>
        <v>30144000</v>
      </c>
      <c r="H10" s="288">
        <f>'Lotes de celulares'!C14*'Compra dos telefones'!$C$6</f>
        <v>44155300</v>
      </c>
      <c r="I10" s="288">
        <f>'Lotes de celulares'!D14*'Compra dos telefones'!$D$6</f>
        <v>14906840</v>
      </c>
      <c r="J10" s="288">
        <f>'Lotes de celulares'!E14*'Compra dos telefones'!$E$6</f>
        <v>3848880</v>
      </c>
      <c r="K10" s="288">
        <f>'Lotes de celulares'!F14*'Compra dos telefones'!F$6</f>
        <v>1340950</v>
      </c>
      <c r="L10" s="288">
        <v>0</v>
      </c>
      <c r="M10" s="288">
        <v>0</v>
      </c>
      <c r="N10" s="288">
        <v>0</v>
      </c>
      <c r="O10" s="288">
        <v>0</v>
      </c>
      <c r="P10" s="288">
        <v>0</v>
      </c>
      <c r="Q10" s="288">
        <v>0</v>
      </c>
      <c r="R10" s="288">
        <v>68500</v>
      </c>
      <c r="S10" s="288">
        <v>78500</v>
      </c>
      <c r="T10" s="288">
        <v>412500</v>
      </c>
      <c r="U10" s="288">
        <f>'previsão de vendas'!C18*'Venda dos celulares'!$C$7</f>
        <v>66615120.000000007</v>
      </c>
      <c r="V10" s="288">
        <f>'previsão de vendas'!D18*'Venda dos celulares'!$D$7</f>
        <v>23255280.000000004</v>
      </c>
      <c r="W10" s="288">
        <f>'previsão de vendas'!E18*'Venda dos celulares'!$E$7</f>
        <v>6598080</v>
      </c>
      <c r="X10" s="288">
        <f>'previsão de vendas'!F18*'Venda dos celulares'!$F$7</f>
        <v>3063900</v>
      </c>
      <c r="Y10" s="288">
        <f>'base de dados'!$D$30*('previsão de vendas'!C18)</f>
        <v>1099500</v>
      </c>
      <c r="Z10" s="288">
        <f>'base de dados'!$D$31*('previsão de vendas'!D18)</f>
        <v>749500</v>
      </c>
      <c r="AA10" s="288">
        <f>'base de dados'!$D$32*('previsão de vendas'!E18)</f>
        <v>499500</v>
      </c>
      <c r="AB10" s="288">
        <f>'base de dados'!$D$33*('previsão de vendas'!F18)</f>
        <v>299500</v>
      </c>
    </row>
    <row r="11" spans="1:28" ht="15.75">
      <c r="A11" s="289">
        <v>10</v>
      </c>
      <c r="B11" s="342" t="s">
        <v>158</v>
      </c>
      <c r="C11" s="288" t="str">
        <f>'Custo de equipe'!$B$30</f>
        <v>Sul</v>
      </c>
      <c r="D11" s="288">
        <v>0</v>
      </c>
      <c r="E11" s="288">
        <f>armazem!K15</f>
        <v>539437</v>
      </c>
      <c r="F11" s="288">
        <f>'Custo de infraestrutura'!C14</f>
        <v>1050000</v>
      </c>
      <c r="G11" s="288">
        <f>'Custo de infraestrutura'!D14</f>
        <v>162024000</v>
      </c>
      <c r="H11" s="288">
        <f>'Lotes de celulares'!C15*'Compra dos telefones'!$C$6</f>
        <v>176621200</v>
      </c>
      <c r="I11" s="288">
        <f>'Lotes de celulares'!D15*'Compra dos telefones'!$D$6</f>
        <v>104347880</v>
      </c>
      <c r="J11" s="288">
        <f>'Lotes de celulares'!E15*'Compra dos telefones'!$E$6</f>
        <v>26942160</v>
      </c>
      <c r="K11" s="288">
        <f>'Lotes de celulares'!F15*'Compra dos telefones'!F$6</f>
        <v>4022850</v>
      </c>
      <c r="L11" s="288">
        <v>160000</v>
      </c>
      <c r="M11" s="288">
        <v>360000</v>
      </c>
      <c r="N11" s="288">
        <v>2100000</v>
      </c>
      <c r="O11" s="288">
        <v>160000</v>
      </c>
      <c r="P11" s="288">
        <v>360000</v>
      </c>
      <c r="Q11" s="288">
        <v>2100000</v>
      </c>
      <c r="R11" s="288">
        <v>205500</v>
      </c>
      <c r="S11" s="288">
        <v>392500</v>
      </c>
      <c r="T11" s="288">
        <v>2145000</v>
      </c>
      <c r="U11" s="288">
        <f>'previsão de vendas'!C19*'Venda dos celulares'!$C$7</f>
        <v>266460480.00000003</v>
      </c>
      <c r="V11" s="288">
        <f>'previsão de vendas'!D19*'Venda dos celulares'!$D$7</f>
        <v>162786960.00000003</v>
      </c>
      <c r="W11" s="288">
        <f>'previsão de vendas'!E19*'Venda dos celulares'!$E$7</f>
        <v>46186560</v>
      </c>
      <c r="X11" s="288">
        <f>'previsão de vendas'!F19*'Venda dos celulares'!$F$7</f>
        <v>9191700</v>
      </c>
      <c r="Y11" s="288">
        <f>'base de dados'!$D$30*('previsão de vendas'!C19)</f>
        <v>4398000</v>
      </c>
      <c r="Z11" s="288">
        <f>'base de dados'!$D$31*('previsão de vendas'!D19)</f>
        <v>5246500</v>
      </c>
      <c r="AA11" s="288">
        <f>'base de dados'!$D$32*('previsão de vendas'!E19)</f>
        <v>3496500</v>
      </c>
      <c r="AB11" s="288">
        <f>'base de dados'!$D$33*('previsão de vendas'!F19)</f>
        <v>898500</v>
      </c>
    </row>
    <row r="12" spans="1:28" ht="15.75">
      <c r="A12" s="289">
        <v>11</v>
      </c>
      <c r="B12" s="342" t="s">
        <v>159</v>
      </c>
      <c r="C12" s="288" t="str">
        <f>'Custo de equipe'!$B$30</f>
        <v>Sul</v>
      </c>
      <c r="D12" s="288">
        <v>0</v>
      </c>
      <c r="E12" s="288">
        <f>armazem!K16</f>
        <v>539437</v>
      </c>
      <c r="F12" s="288">
        <f>'Custo de infraestrutura'!C15</f>
        <v>300000</v>
      </c>
      <c r="G12" s="288">
        <f>'Custo de infraestrutura'!D15</f>
        <v>46472000</v>
      </c>
      <c r="H12" s="288">
        <f>'Lotes de celulares'!C16*'Compra dos telefones'!$C$6</f>
        <v>44155300</v>
      </c>
      <c r="I12" s="288">
        <f>'Lotes de celulares'!D16*'Compra dos telefones'!$D$6</f>
        <v>29813680</v>
      </c>
      <c r="J12" s="288">
        <f>'Lotes de celulares'!E16*'Compra dos telefones'!$E$6</f>
        <v>7697760</v>
      </c>
      <c r="K12" s="288">
        <f>'Lotes de celulares'!F16*'Compra dos telefones'!F$6</f>
        <v>1340950</v>
      </c>
      <c r="L12" s="288">
        <v>0</v>
      </c>
      <c r="M12" s="288">
        <v>0</v>
      </c>
      <c r="N12" s="288">
        <v>0</v>
      </c>
      <c r="O12" s="288">
        <v>0</v>
      </c>
      <c r="P12" s="288">
        <v>0</v>
      </c>
      <c r="Q12" s="288">
        <v>0</v>
      </c>
      <c r="R12" s="288">
        <v>68500</v>
      </c>
      <c r="S12" s="288">
        <v>157000</v>
      </c>
      <c r="T12" s="288">
        <v>577500</v>
      </c>
      <c r="U12" s="288">
        <f>'previsão de vendas'!C20*'Venda dos celulares'!$C$7</f>
        <v>66615120.000000007</v>
      </c>
      <c r="V12" s="288">
        <f>'previsão de vendas'!D20*'Venda dos celulares'!$D$7</f>
        <v>46510560.000000007</v>
      </c>
      <c r="W12" s="288">
        <f>'previsão de vendas'!E20*'Venda dos celulares'!$E$7</f>
        <v>13196160</v>
      </c>
      <c r="X12" s="288">
        <f>'previsão de vendas'!F20*'Venda dos celulares'!$F$7</f>
        <v>3063900</v>
      </c>
      <c r="Y12" s="288">
        <f>'base de dados'!$D$30*('previsão de vendas'!C20)</f>
        <v>1099500</v>
      </c>
      <c r="Z12" s="288">
        <f>'base de dados'!$D$31*('previsão de vendas'!D20)</f>
        <v>1499000</v>
      </c>
      <c r="AA12" s="288">
        <f>'base de dados'!$D$32*('previsão de vendas'!E20)</f>
        <v>999000</v>
      </c>
      <c r="AB12" s="288">
        <f>'base de dados'!$D$33*('previsão de vendas'!F20)</f>
        <v>299500</v>
      </c>
    </row>
    <row r="13" spans="1:28" ht="15.75">
      <c r="A13" s="289">
        <v>12</v>
      </c>
      <c r="B13" s="342" t="s">
        <v>160</v>
      </c>
      <c r="C13" s="288" t="str">
        <f>'Custo de equipe'!$B$30</f>
        <v>Sul</v>
      </c>
      <c r="D13" s="288">
        <v>0</v>
      </c>
      <c r="E13" s="288">
        <f>armazem!K17</f>
        <v>539437</v>
      </c>
      <c r="F13" s="288">
        <f>'Custo de infraestrutura'!C16</f>
        <v>1200000</v>
      </c>
      <c r="G13" s="288">
        <f>'Custo de infraestrutura'!D16</f>
        <v>177096000</v>
      </c>
      <c r="H13" s="288">
        <f>'Lotes de celulares'!C17*'Compra dos telefones'!$C$6</f>
        <v>176621200</v>
      </c>
      <c r="I13" s="288">
        <f>'Lotes de celulares'!D17*'Compra dos telefones'!$D$6</f>
        <v>119254720</v>
      </c>
      <c r="J13" s="288">
        <f>'Lotes de celulares'!E17*'Compra dos telefones'!$E$6</f>
        <v>30791040</v>
      </c>
      <c r="K13" s="288">
        <f>'Lotes de celulares'!F17*'Compra dos telefones'!F$6</f>
        <v>4022850</v>
      </c>
      <c r="L13" s="288">
        <v>160000</v>
      </c>
      <c r="M13" s="288">
        <v>270000</v>
      </c>
      <c r="N13" s="288">
        <v>2100000</v>
      </c>
      <c r="O13" s="288">
        <v>160000</v>
      </c>
      <c r="P13" s="288">
        <v>270000</v>
      </c>
      <c r="Q13" s="288">
        <v>2100000</v>
      </c>
      <c r="R13" s="288">
        <v>205500</v>
      </c>
      <c r="S13" s="288">
        <v>392500</v>
      </c>
      <c r="T13" s="288">
        <v>2310000</v>
      </c>
      <c r="U13" s="288">
        <f>'previsão de vendas'!C21*'Venda dos celulares'!$C$7</f>
        <v>266460480.00000003</v>
      </c>
      <c r="V13" s="288">
        <f>'previsão de vendas'!D21*'Venda dos celulares'!$D$7</f>
        <v>186042240.00000003</v>
      </c>
      <c r="W13" s="288">
        <f>'previsão de vendas'!E21*'Venda dos celulares'!$E$7</f>
        <v>52784640</v>
      </c>
      <c r="X13" s="288">
        <f>'previsão de vendas'!F21*'Venda dos celulares'!$F$7</f>
        <v>9191700</v>
      </c>
      <c r="Y13" s="288">
        <f>'base de dados'!$D$30*('previsão de vendas'!C21)</f>
        <v>4398000</v>
      </c>
      <c r="Z13" s="288">
        <f>'base de dados'!$D$31*('previsão de vendas'!D21)</f>
        <v>5996000</v>
      </c>
      <c r="AA13" s="288">
        <f>'base de dados'!$D$32*('previsão de vendas'!E21)</f>
        <v>3996000</v>
      </c>
      <c r="AB13" s="288">
        <f>'base de dados'!$D$33*('previsão de vendas'!F21)</f>
        <v>898500</v>
      </c>
    </row>
    <row r="14" spans="1:28" ht="15.75">
      <c r="A14" s="289">
        <v>1</v>
      </c>
      <c r="B14" s="342" t="s">
        <v>149</v>
      </c>
      <c r="C14" s="288" t="s">
        <v>174</v>
      </c>
      <c r="D14" s="288">
        <f>150000/2</f>
        <v>75000</v>
      </c>
      <c r="E14" s="288">
        <f>armazem!V6</f>
        <v>539437</v>
      </c>
      <c r="F14" s="288">
        <f>'Custo de infraestrutura'!H5</f>
        <v>1200000</v>
      </c>
      <c r="G14" s="288">
        <f>'Custo de infraestrutura'!I5</f>
        <v>97968000</v>
      </c>
      <c r="H14" s="288">
        <f>'Lotes de celulares'!J6*'Compra dos telefones'!$C$6</f>
        <v>220776500</v>
      </c>
      <c r="I14" s="288">
        <f>'Lotes de celulares'!K6*'Compra dos telefones'!$D$6</f>
        <v>134161560</v>
      </c>
      <c r="J14" s="288">
        <f>'Lotes de celulares'!L6*'Compra dos telefones'!$E$6</f>
        <v>30791040</v>
      </c>
      <c r="K14" s="288">
        <f>'Lotes de celulares'!M6*'Compra dos telefones'!$F$6</f>
        <v>4022850</v>
      </c>
      <c r="L14" s="288" cm="1">
        <f t="array" ref="L14:N25">'Custo de equipe'!H13:J24</f>
        <v>45000</v>
      </c>
      <c r="M14" s="288">
        <v>80000</v>
      </c>
      <c r="N14" s="288">
        <v>304000</v>
      </c>
      <c r="O14" s="288" cm="1">
        <f t="array" ref="O14:Q25">'Custo de equipe'!H31:J42</f>
        <v>240000</v>
      </c>
      <c r="P14" s="288">
        <v>450000</v>
      </c>
      <c r="Q14" s="288">
        <v>1600000</v>
      </c>
      <c r="R14" s="288" cm="1">
        <f t="array" ref="R14:T25">'Custo de equipe'!H48:J59</f>
        <v>205500</v>
      </c>
      <c r="S14" s="288">
        <v>392500</v>
      </c>
      <c r="T14" s="288">
        <v>1320000</v>
      </c>
      <c r="U14" s="288">
        <f>'previsão de vendas'!J10*'Venda dos celulares'!$C$7</f>
        <v>333075600.00000006</v>
      </c>
      <c r="V14" s="288">
        <f>'previsão de vendas'!K10*'Venda dos celulares'!$D$7</f>
        <v>209297520.00000003</v>
      </c>
      <c r="W14" s="288">
        <f>'previsão de vendas'!L10*'Venda dos celulares'!$E$7</f>
        <v>52784640</v>
      </c>
      <c r="X14" s="288">
        <f>'previsão de vendas'!M10*'Venda dos celulares'!$F$7</f>
        <v>9191700</v>
      </c>
      <c r="Y14" s="288">
        <f>'base de dados'!$D$30*('previsão de vendas'!J10)</f>
        <v>5497500</v>
      </c>
      <c r="Z14" s="288">
        <f>'base de dados'!$D$31*('previsão de vendas'!K10)</f>
        <v>6745500</v>
      </c>
      <c r="AA14" s="288">
        <f>'base de dados'!$D$32*('previsão de vendas'!L10)</f>
        <v>3996000</v>
      </c>
      <c r="AB14" s="288">
        <f>'base de dados'!$D$33*('previsão de vendas'!M10)</f>
        <v>898500</v>
      </c>
    </row>
    <row r="15" spans="1:28" ht="15.75">
      <c r="A15" s="289">
        <v>2</v>
      </c>
      <c r="B15" s="342" t="s">
        <v>150</v>
      </c>
      <c r="C15" s="288" t="s">
        <v>174</v>
      </c>
      <c r="D15" s="288">
        <v>0</v>
      </c>
      <c r="E15" s="288">
        <f>armazem!V7</f>
        <v>1086540</v>
      </c>
      <c r="F15" s="288">
        <f>'Custo de infraestrutura'!H6</f>
        <v>1650000</v>
      </c>
      <c r="G15" s="288">
        <f>'Custo de infraestrutura'!I6</f>
        <v>271296000</v>
      </c>
      <c r="H15" s="288">
        <f>'Lotes de celulares'!J7*'Compra dos telefones'!$C$6</f>
        <v>309087100</v>
      </c>
      <c r="I15" s="288">
        <f>'Lotes de celulares'!K7*'Compra dos telefones'!$D$6</f>
        <v>193788920</v>
      </c>
      <c r="J15" s="288">
        <f>'Lotes de celulares'!L7*'Compra dos telefones'!$E$6</f>
        <v>42337680</v>
      </c>
      <c r="K15" s="288">
        <f>'Lotes de celulares'!M7*'Compra dos telefones'!$F$6</f>
        <v>5363800</v>
      </c>
      <c r="L15" s="288">
        <v>15000</v>
      </c>
      <c r="M15" s="288">
        <v>32000</v>
      </c>
      <c r="N15" s="288">
        <v>513000</v>
      </c>
      <c r="O15" s="288">
        <v>80000</v>
      </c>
      <c r="P15" s="288">
        <v>180000</v>
      </c>
      <c r="Q15" s="288">
        <v>2700000</v>
      </c>
      <c r="R15" s="288">
        <v>274000</v>
      </c>
      <c r="S15" s="288">
        <v>549500</v>
      </c>
      <c r="T15" s="288">
        <v>3547500</v>
      </c>
      <c r="U15" s="288">
        <f>'previsão de vendas'!J11*'Venda dos celulares'!$C$7</f>
        <v>466305840.00000006</v>
      </c>
      <c r="V15" s="288">
        <f>'previsão de vendas'!K11*'Venda dos celulares'!$D$7</f>
        <v>302318640.00000006</v>
      </c>
      <c r="W15" s="288">
        <f>'previsão de vendas'!L11*'Venda dos celulares'!$E$7</f>
        <v>72578880</v>
      </c>
      <c r="X15" s="288">
        <f>'previsão de vendas'!M11*'Venda dos celulares'!$F$7</f>
        <v>12255600</v>
      </c>
      <c r="Y15" s="288">
        <f>'base de dados'!$D$30*('previsão de vendas'!J11)</f>
        <v>7696500</v>
      </c>
      <c r="Z15" s="288">
        <f>'base de dados'!$D$31*('previsão de vendas'!K11)</f>
        <v>9743500</v>
      </c>
      <c r="AA15" s="288">
        <f>'base de dados'!$D$32*('previsão de vendas'!L11)</f>
        <v>5494500</v>
      </c>
      <c r="AB15" s="288">
        <f>'base de dados'!$D$33*('previsão de vendas'!M11)</f>
        <v>1198000</v>
      </c>
    </row>
    <row r="16" spans="1:28" ht="15.75">
      <c r="A16" s="289">
        <v>3</v>
      </c>
      <c r="B16" s="342" t="s">
        <v>151</v>
      </c>
      <c r="C16" s="288" t="s">
        <v>174</v>
      </c>
      <c r="D16" s="288">
        <v>0</v>
      </c>
      <c r="E16" s="288">
        <f>armazem!V8</f>
        <v>539437</v>
      </c>
      <c r="F16" s="288">
        <f>'Custo de infraestrutura'!H7</f>
        <v>300000</v>
      </c>
      <c r="G16" s="288">
        <f>'Custo de infraestrutura'!I7</f>
        <v>21352000</v>
      </c>
      <c r="H16" s="288">
        <f>'Lotes de celulares'!J8*'Compra dos telefones'!$C$6</f>
        <v>44155300</v>
      </c>
      <c r="I16" s="288">
        <f>'Lotes de celulares'!K8*'Compra dos telefones'!$D$6</f>
        <v>14906840</v>
      </c>
      <c r="J16" s="288">
        <f>'Lotes de celulares'!L8*'Compra dos telefones'!$E$6</f>
        <v>3848880</v>
      </c>
      <c r="K16" s="288">
        <f>'Lotes de celulares'!M8*'Compra dos telefones'!$F$6</f>
        <v>0</v>
      </c>
      <c r="L16" s="288">
        <v>0</v>
      </c>
      <c r="M16" s="288">
        <v>0</v>
      </c>
      <c r="N16" s="288">
        <v>0</v>
      </c>
      <c r="O16" s="288">
        <v>0</v>
      </c>
      <c r="P16" s="288">
        <v>0</v>
      </c>
      <c r="Q16" s="288">
        <v>0</v>
      </c>
      <c r="R16" s="288">
        <v>68500</v>
      </c>
      <c r="S16" s="288">
        <v>78500</v>
      </c>
      <c r="T16" s="288">
        <v>247500</v>
      </c>
      <c r="U16" s="288">
        <f>'previsão de vendas'!J12*'Venda dos celulares'!$C$7</f>
        <v>66615120.000000007</v>
      </c>
      <c r="V16" s="288">
        <f>'previsão de vendas'!K12*'Venda dos celulares'!$D$7</f>
        <v>23255280.000000004</v>
      </c>
      <c r="W16" s="288">
        <f>'previsão de vendas'!L12*'Venda dos celulares'!$E$7</f>
        <v>6598080</v>
      </c>
      <c r="X16" s="288">
        <f>'previsão de vendas'!M12*'Venda dos celulares'!$F$7</f>
        <v>0</v>
      </c>
      <c r="Y16" s="288">
        <f>'base de dados'!$D$30*('previsão de vendas'!J12)</f>
        <v>1099500</v>
      </c>
      <c r="Z16" s="288">
        <f>'base de dados'!$D$31*('previsão de vendas'!K12)</f>
        <v>749500</v>
      </c>
      <c r="AA16" s="288">
        <f>'base de dados'!$D$32*('previsão de vendas'!L12)</f>
        <v>499500</v>
      </c>
      <c r="AB16" s="288">
        <f>'base de dados'!$D$33*('previsão de vendas'!M12)</f>
        <v>0</v>
      </c>
    </row>
    <row r="17" spans="1:28" ht="15.75">
      <c r="A17" s="289">
        <v>4</v>
      </c>
      <c r="B17" s="342" t="s">
        <v>152</v>
      </c>
      <c r="C17" s="288" t="s">
        <v>174</v>
      </c>
      <c r="D17" s="288">
        <v>0</v>
      </c>
      <c r="E17" s="288">
        <f>armazem!V9</f>
        <v>1086540</v>
      </c>
      <c r="F17" s="288">
        <f>'Custo de infraestrutura'!H8</f>
        <v>2400000</v>
      </c>
      <c r="G17" s="288">
        <f>'Custo de infraestrutura'!I8</f>
        <v>395640000</v>
      </c>
      <c r="H17" s="288">
        <f>'Lotes de celulares'!J9*'Compra dos telefones'!$C$6</f>
        <v>441553000</v>
      </c>
      <c r="I17" s="288">
        <f>'Lotes de celulares'!K9*'Compra dos telefones'!$D$6</f>
        <v>283229960</v>
      </c>
      <c r="J17" s="288">
        <f>'Lotes de celulares'!L9*'Compra dos telefones'!$E$6</f>
        <v>65430960</v>
      </c>
      <c r="K17" s="288">
        <f>'Lotes de celulares'!M9*'Compra dos telefones'!$F$6</f>
        <v>8045700</v>
      </c>
      <c r="L17" s="288">
        <v>75000</v>
      </c>
      <c r="M17" s="288">
        <v>160000</v>
      </c>
      <c r="N17" s="288">
        <v>1140000</v>
      </c>
      <c r="O17" s="288">
        <v>400000</v>
      </c>
      <c r="P17" s="288">
        <v>900000</v>
      </c>
      <c r="Q17" s="288">
        <v>6000000</v>
      </c>
      <c r="R17" s="288">
        <v>411000</v>
      </c>
      <c r="S17" s="288">
        <v>863500</v>
      </c>
      <c r="T17" s="288">
        <v>5197500</v>
      </c>
      <c r="U17" s="288">
        <f>'previsão de vendas'!J13*'Venda dos celulares'!$C$7</f>
        <v>666151200.00000012</v>
      </c>
      <c r="V17" s="288">
        <f>'previsão de vendas'!K13*'Venda dos celulares'!$D$7</f>
        <v>441850320.00000006</v>
      </c>
      <c r="W17" s="288">
        <f>'previsão de vendas'!L13*'Venda dos celulares'!$E$7</f>
        <v>112167360</v>
      </c>
      <c r="X17" s="288">
        <f>'previsão de vendas'!M13*'Venda dos celulares'!$F$7</f>
        <v>18383400</v>
      </c>
      <c r="Y17" s="288">
        <f>'base de dados'!$D$30*('previsão de vendas'!J13)</f>
        <v>10995000</v>
      </c>
      <c r="Z17" s="288">
        <f>'base de dados'!$D$31*('previsão de vendas'!K13)</f>
        <v>14240500</v>
      </c>
      <c r="AA17" s="288">
        <f>'base de dados'!$D$32*('previsão de vendas'!L13)</f>
        <v>8491500</v>
      </c>
      <c r="AB17" s="288">
        <f>'base de dados'!$D$33*('previsão de vendas'!M13)</f>
        <v>1797000</v>
      </c>
    </row>
    <row r="18" spans="1:28" ht="15.75">
      <c r="A18" s="289">
        <v>5</v>
      </c>
      <c r="B18" s="342" t="s">
        <v>153</v>
      </c>
      <c r="C18" s="288" t="s">
        <v>174</v>
      </c>
      <c r="D18" s="288">
        <v>0</v>
      </c>
      <c r="E18" s="288">
        <f>armazem!V10</f>
        <v>539437</v>
      </c>
      <c r="F18" s="288">
        <f>'Custo de infraestrutura'!H9</f>
        <v>1200000</v>
      </c>
      <c r="G18" s="288">
        <f>'Custo de infraestrutura'!I9</f>
        <v>190912000</v>
      </c>
      <c r="H18" s="288">
        <f>'Lotes de celulares'!J10*'Compra dos telefones'!$C$6</f>
        <v>220776500</v>
      </c>
      <c r="I18" s="288">
        <f>'Lotes de celulares'!K10*'Compra dos telefones'!$D$6</f>
        <v>134161560</v>
      </c>
      <c r="J18" s="288">
        <f>'Lotes de celulares'!L10*'Compra dos telefones'!$E$6</f>
        <v>30791040</v>
      </c>
      <c r="K18" s="288">
        <f>'Lotes de celulares'!M10*'Compra dos telefones'!$F$6</f>
        <v>4022850</v>
      </c>
      <c r="L18" s="288">
        <v>0</v>
      </c>
      <c r="M18" s="288">
        <v>0</v>
      </c>
      <c r="N18" s="288">
        <v>0</v>
      </c>
      <c r="O18" s="288">
        <v>0</v>
      </c>
      <c r="P18" s="288">
        <v>0</v>
      </c>
      <c r="Q18" s="288">
        <v>0</v>
      </c>
      <c r="R18" s="288">
        <v>205500</v>
      </c>
      <c r="S18" s="288">
        <v>392500</v>
      </c>
      <c r="T18" s="288">
        <v>2475000</v>
      </c>
      <c r="U18" s="288">
        <f>'previsão de vendas'!J14*'Venda dos celulares'!$C$7</f>
        <v>333075600.00000006</v>
      </c>
      <c r="V18" s="288">
        <f>'previsão de vendas'!K14*'Venda dos celulares'!$D$7</f>
        <v>209297520.00000003</v>
      </c>
      <c r="W18" s="288">
        <f>'previsão de vendas'!L14*'Venda dos celulares'!$E$7</f>
        <v>52784640</v>
      </c>
      <c r="X18" s="288">
        <f>'previsão de vendas'!M14*'Venda dos celulares'!$F$7</f>
        <v>9191700</v>
      </c>
      <c r="Y18" s="288">
        <f>'base de dados'!$D$30*('previsão de vendas'!J14)</f>
        <v>5497500</v>
      </c>
      <c r="Z18" s="288">
        <f>'base de dados'!$D$31*('previsão de vendas'!K14)</f>
        <v>6745500</v>
      </c>
      <c r="AA18" s="288">
        <f>'base de dados'!$D$32*('previsão de vendas'!L14)</f>
        <v>3996000</v>
      </c>
      <c r="AB18" s="288">
        <f>'base de dados'!$D$33*('previsão de vendas'!M14)</f>
        <v>898500</v>
      </c>
    </row>
    <row r="19" spans="1:28" ht="15.75">
      <c r="A19" s="289">
        <v>6</v>
      </c>
      <c r="B19" s="342" t="s">
        <v>154</v>
      </c>
      <c r="C19" s="288" t="s">
        <v>174</v>
      </c>
      <c r="D19" s="288">
        <v>0</v>
      </c>
      <c r="E19" s="288">
        <f>armazem!V11</f>
        <v>1086540</v>
      </c>
      <c r="F19" s="288">
        <f>'Custo de infraestrutura'!H10</f>
        <v>1950000</v>
      </c>
      <c r="G19" s="288">
        <f>'Custo de infraestrutura'!I10</f>
        <v>310232000</v>
      </c>
      <c r="H19" s="288">
        <f>'Lotes de celulares'!J11*'Compra dos telefones'!$C$6</f>
        <v>353242400</v>
      </c>
      <c r="I19" s="288">
        <f>'Lotes de celulares'!K11*'Compra dos telefones'!$D$6</f>
        <v>223602600</v>
      </c>
      <c r="J19" s="288">
        <f>'Lotes de celulares'!L11*'Compra dos telefones'!$E$6</f>
        <v>50035440</v>
      </c>
      <c r="K19" s="288">
        <f>'Lotes de celulares'!M11*'Compra dos telefones'!$F$6</f>
        <v>6704750</v>
      </c>
      <c r="L19" s="288">
        <v>30000</v>
      </c>
      <c r="M19" s="288">
        <v>64000</v>
      </c>
      <c r="N19" s="288">
        <v>361000</v>
      </c>
      <c r="O19" s="288">
        <v>160000</v>
      </c>
      <c r="P19" s="288">
        <v>360000</v>
      </c>
      <c r="Q19" s="288">
        <v>1900000</v>
      </c>
      <c r="R19" s="288">
        <v>342500</v>
      </c>
      <c r="S19" s="288">
        <v>706500</v>
      </c>
      <c r="T19" s="288">
        <v>4042500</v>
      </c>
      <c r="U19" s="288">
        <f>'previsão de vendas'!J15*'Venda dos celulares'!$C$7</f>
        <v>532920960.00000006</v>
      </c>
      <c r="V19" s="288">
        <f>'previsão de vendas'!K15*'Venda dos celulares'!$D$7</f>
        <v>348829200.00000006</v>
      </c>
      <c r="W19" s="288">
        <f>'previsão de vendas'!L15*'Venda dos celulares'!$E$7</f>
        <v>85775040</v>
      </c>
      <c r="X19" s="288">
        <f>'previsão de vendas'!M15*'Venda dos celulares'!$F$7</f>
        <v>15319500</v>
      </c>
      <c r="Y19" s="288">
        <f>'base de dados'!$D$30*('previsão de vendas'!J15)</f>
        <v>8796000</v>
      </c>
      <c r="Z19" s="288">
        <f>'base de dados'!$D$31*('previsão de vendas'!K15)</f>
        <v>11242500</v>
      </c>
      <c r="AA19" s="288">
        <f>'base de dados'!$D$32*('previsão de vendas'!L15)</f>
        <v>6493500</v>
      </c>
      <c r="AB19" s="288">
        <f>'base de dados'!$D$33*('previsão de vendas'!M15)</f>
        <v>1497500</v>
      </c>
    </row>
    <row r="20" spans="1:28" ht="15.75">
      <c r="A20" s="289">
        <v>7</v>
      </c>
      <c r="B20" s="342" t="s">
        <v>155</v>
      </c>
      <c r="C20" s="288" t="s">
        <v>174</v>
      </c>
      <c r="D20" s="288">
        <v>0</v>
      </c>
      <c r="E20" s="288">
        <f>armazem!V12</f>
        <v>1086540</v>
      </c>
      <c r="F20" s="288">
        <f>'Custo de infraestrutura'!H11</f>
        <v>2400000</v>
      </c>
      <c r="G20" s="288">
        <f>'Custo de infraestrutura'!I11</f>
        <v>398152000</v>
      </c>
      <c r="H20" s="288">
        <f>'Lotes de celulares'!J12*'Compra dos telefones'!$C$6</f>
        <v>441553000</v>
      </c>
      <c r="I20" s="288">
        <f>'Lotes de celulares'!K12*'Compra dos telefones'!$D$6</f>
        <v>283229960</v>
      </c>
      <c r="J20" s="288">
        <f>'Lotes de celulares'!L12*'Compra dos telefones'!$E$6</f>
        <v>65430960</v>
      </c>
      <c r="K20" s="288">
        <f>'Lotes de celulares'!M12*'Compra dos telefones'!$F$6</f>
        <v>8045700</v>
      </c>
      <c r="L20" s="288">
        <v>15000</v>
      </c>
      <c r="M20" s="288">
        <v>32000</v>
      </c>
      <c r="N20" s="288">
        <v>266000</v>
      </c>
      <c r="O20" s="288">
        <v>80000</v>
      </c>
      <c r="P20" s="288">
        <v>180000</v>
      </c>
      <c r="Q20" s="288">
        <v>1400000</v>
      </c>
      <c r="R20" s="288">
        <v>411000</v>
      </c>
      <c r="S20" s="288">
        <v>863500</v>
      </c>
      <c r="T20" s="288">
        <v>5197500</v>
      </c>
      <c r="U20" s="288">
        <f>'previsão de vendas'!J16*'Venda dos celulares'!$C$7</f>
        <v>666151200.00000012</v>
      </c>
      <c r="V20" s="288">
        <f>'previsão de vendas'!K16*'Venda dos celulares'!$D$7</f>
        <v>441850320.00000006</v>
      </c>
      <c r="W20" s="288">
        <f>'previsão de vendas'!L16*'Venda dos celulares'!$E$7</f>
        <v>112167360</v>
      </c>
      <c r="X20" s="288">
        <f>'previsão de vendas'!M16*'Venda dos celulares'!$F$7</f>
        <v>18383400</v>
      </c>
      <c r="Y20" s="288">
        <f>'base de dados'!$D$30*('previsão de vendas'!J16)</f>
        <v>10995000</v>
      </c>
      <c r="Z20" s="288">
        <f>'base de dados'!$D$31*('previsão de vendas'!K16)</f>
        <v>14240500</v>
      </c>
      <c r="AA20" s="288">
        <f>'base de dados'!$D$32*('previsão de vendas'!L16)</f>
        <v>8491500</v>
      </c>
      <c r="AB20" s="288">
        <f>'base de dados'!$D$33*('previsão de vendas'!M16)</f>
        <v>1797000</v>
      </c>
    </row>
    <row r="21" spans="1:28" ht="15.75">
      <c r="A21" s="289">
        <v>8</v>
      </c>
      <c r="B21" s="342" t="s">
        <v>156</v>
      </c>
      <c r="C21" s="288" t="s">
        <v>174</v>
      </c>
      <c r="D21" s="288">
        <v>0</v>
      </c>
      <c r="E21" s="288">
        <f>armazem!V13</f>
        <v>1086540</v>
      </c>
      <c r="F21" s="288">
        <f>'Custo de infraestrutura'!H12</f>
        <v>1650000</v>
      </c>
      <c r="G21" s="288">
        <f>'Custo de infraestrutura'!I12</f>
        <v>281344000</v>
      </c>
      <c r="H21" s="288">
        <f>'Lotes de celulares'!J13*'Compra dos telefones'!$C$6</f>
        <v>309087100</v>
      </c>
      <c r="I21" s="288">
        <f>'Lotes de celulares'!K13*'Compra dos telefones'!$D$6</f>
        <v>193788920</v>
      </c>
      <c r="J21" s="288">
        <f>'Lotes de celulares'!L13*'Compra dos telefones'!$E$6</f>
        <v>46186560</v>
      </c>
      <c r="K21" s="288">
        <f>'Lotes de celulares'!M13*'Compra dos telefones'!$F$6</f>
        <v>6704750</v>
      </c>
      <c r="L21" s="288">
        <v>0</v>
      </c>
      <c r="M21" s="288">
        <v>0</v>
      </c>
      <c r="N21" s="288">
        <v>0</v>
      </c>
      <c r="O21" s="288">
        <v>0</v>
      </c>
      <c r="P21" s="288">
        <v>0</v>
      </c>
      <c r="Q21" s="288">
        <v>0</v>
      </c>
      <c r="R21" s="288">
        <v>274000</v>
      </c>
      <c r="S21" s="288">
        <v>628000</v>
      </c>
      <c r="T21" s="288">
        <v>3712500</v>
      </c>
      <c r="U21" s="288">
        <f>'previsão de vendas'!J17*'Venda dos celulares'!$C$7</f>
        <v>466305840.00000006</v>
      </c>
      <c r="V21" s="288">
        <f>'previsão de vendas'!K17*'Venda dos celulares'!$D$7</f>
        <v>302318640.00000006</v>
      </c>
      <c r="W21" s="288">
        <f>'previsão de vendas'!L17*'Venda dos celulares'!$E$7</f>
        <v>79176960</v>
      </c>
      <c r="X21" s="288">
        <f>'previsão de vendas'!M17*'Venda dos celulares'!$F$7</f>
        <v>15319500</v>
      </c>
      <c r="Y21" s="288">
        <f>'base de dados'!$D$30*('previsão de vendas'!J17)</f>
        <v>7696500</v>
      </c>
      <c r="Z21" s="288">
        <f>'base de dados'!$D$31*('previsão de vendas'!K17)</f>
        <v>9743500</v>
      </c>
      <c r="AA21" s="288">
        <f>'base de dados'!$D$32*('previsão de vendas'!L17)</f>
        <v>5994000</v>
      </c>
      <c r="AB21" s="288">
        <f>'base de dados'!$D$33*('previsão de vendas'!M17)</f>
        <v>1497500</v>
      </c>
    </row>
    <row r="22" spans="1:28" ht="15.75">
      <c r="A22" s="289">
        <v>9</v>
      </c>
      <c r="B22" s="342" t="s">
        <v>157</v>
      </c>
      <c r="C22" s="288" t="s">
        <v>174</v>
      </c>
      <c r="D22" s="288">
        <v>0</v>
      </c>
      <c r="E22" s="288">
        <f>armazem!V14</f>
        <v>539437</v>
      </c>
      <c r="F22" s="288">
        <f>'Custo de infraestrutura'!H13</f>
        <v>600000</v>
      </c>
      <c r="G22" s="288">
        <f>'Custo de infraestrutura'!I13</f>
        <v>86664000</v>
      </c>
      <c r="H22" s="288">
        <f>'Lotes de celulares'!J14*'Compra dos telefones'!$C$6</f>
        <v>88310600</v>
      </c>
      <c r="I22" s="288">
        <f>'Lotes de celulares'!K14*'Compra dos telefones'!$D$6</f>
        <v>59627360</v>
      </c>
      <c r="J22" s="288">
        <f>'Lotes de celulares'!L14*'Compra dos telefones'!$E$6</f>
        <v>15395520</v>
      </c>
      <c r="K22" s="288">
        <f>'Lotes de celulares'!M14*'Compra dos telefones'!$F$6</f>
        <v>1340950</v>
      </c>
      <c r="L22" s="288">
        <v>0</v>
      </c>
      <c r="M22" s="288">
        <v>0</v>
      </c>
      <c r="N22" s="288">
        <v>0</v>
      </c>
      <c r="O22" s="288">
        <v>0</v>
      </c>
      <c r="P22" s="288">
        <v>0</v>
      </c>
      <c r="Q22" s="288">
        <v>0</v>
      </c>
      <c r="R22" s="288">
        <v>137000</v>
      </c>
      <c r="S22" s="288">
        <v>235500</v>
      </c>
      <c r="T22" s="288">
        <v>1155000</v>
      </c>
      <c r="U22" s="288">
        <f>'previsão de vendas'!J18*'Venda dos celulares'!$C$7</f>
        <v>133230240.00000001</v>
      </c>
      <c r="V22" s="288">
        <f>'previsão de vendas'!K18*'Venda dos celulares'!$D$7</f>
        <v>93021120.000000015</v>
      </c>
      <c r="W22" s="288">
        <f>'previsão de vendas'!L18*'Venda dos celulares'!$E$7</f>
        <v>26392320</v>
      </c>
      <c r="X22" s="288">
        <f>'previsão de vendas'!M18*'Venda dos celulares'!$F$7</f>
        <v>3063900</v>
      </c>
      <c r="Y22" s="288">
        <f>'base de dados'!$D$30*('previsão de vendas'!J18)</f>
        <v>2199000</v>
      </c>
      <c r="Z22" s="288">
        <f>'base de dados'!$D$31*('previsão de vendas'!K18)</f>
        <v>2998000</v>
      </c>
      <c r="AA22" s="288">
        <f>'base de dados'!$D$32*('previsão de vendas'!L18)</f>
        <v>1998000</v>
      </c>
      <c r="AB22" s="288">
        <f>'base de dados'!$D$33*('previsão de vendas'!M18)</f>
        <v>299500</v>
      </c>
    </row>
    <row r="23" spans="1:28" ht="15.75">
      <c r="A23" s="289">
        <v>10</v>
      </c>
      <c r="B23" s="342" t="s">
        <v>158</v>
      </c>
      <c r="C23" s="288" t="s">
        <v>174</v>
      </c>
      <c r="D23" s="288">
        <v>0</v>
      </c>
      <c r="E23" s="288">
        <f>armazem!V15</f>
        <v>1086540</v>
      </c>
      <c r="F23" s="288">
        <f>'Custo de infraestrutura'!H14</f>
        <v>2700000</v>
      </c>
      <c r="G23" s="288">
        <f>'Custo de infraestrutura'!I14</f>
        <v>459696000</v>
      </c>
      <c r="H23" s="288">
        <f>'Lotes de celulares'!J15*'Compra dos telefones'!$C$6</f>
        <v>485708300</v>
      </c>
      <c r="I23" s="288">
        <f>'Lotes de celulares'!K15*'Compra dos telefones'!$D$6</f>
        <v>327950480</v>
      </c>
      <c r="J23" s="288">
        <f>'Lotes de celulares'!L15*'Compra dos telefones'!$E$6</f>
        <v>73128720</v>
      </c>
      <c r="K23" s="288">
        <f>'Lotes de celulares'!M15*'Compra dos telefones'!$F$6</f>
        <v>9386650</v>
      </c>
      <c r="L23" s="288">
        <v>60000</v>
      </c>
      <c r="M23" s="288">
        <v>144000</v>
      </c>
      <c r="N23" s="288">
        <v>1121000</v>
      </c>
      <c r="O23" s="288">
        <v>320000</v>
      </c>
      <c r="P23" s="288">
        <v>810000</v>
      </c>
      <c r="Q23" s="288">
        <v>5900000</v>
      </c>
      <c r="R23" s="288">
        <v>411000</v>
      </c>
      <c r="S23" s="288">
        <v>942000</v>
      </c>
      <c r="T23" s="288">
        <v>6022500</v>
      </c>
      <c r="U23" s="288">
        <f>'previsão de vendas'!J19*'Venda dos celulares'!$C$7</f>
        <v>732766320.00000012</v>
      </c>
      <c r="V23" s="288">
        <f>'previsão de vendas'!K19*'Venda dos celulares'!$D$7</f>
        <v>511616160.00000006</v>
      </c>
      <c r="W23" s="288">
        <f>'previsão de vendas'!L19*'Venda dos celulares'!$E$7</f>
        <v>125363520</v>
      </c>
      <c r="X23" s="288">
        <f>'previsão de vendas'!M19*'Venda dos celulares'!$F$7</f>
        <v>21447300</v>
      </c>
      <c r="Y23" s="288">
        <f>'base de dados'!$D$30*('previsão de vendas'!J19)</f>
        <v>12094500</v>
      </c>
      <c r="Z23" s="288">
        <f>'base de dados'!$D$31*('previsão de vendas'!K19)</f>
        <v>16489000</v>
      </c>
      <c r="AA23" s="288">
        <f>'base de dados'!$D$32*('previsão de vendas'!L19)</f>
        <v>9490500</v>
      </c>
      <c r="AB23" s="288">
        <f>'base de dados'!$D$33*('previsão de vendas'!M19)</f>
        <v>2096500</v>
      </c>
    </row>
    <row r="24" spans="1:28" ht="15.75">
      <c r="A24" s="289">
        <v>11</v>
      </c>
      <c r="B24" s="342" t="s">
        <v>159</v>
      </c>
      <c r="C24" s="288" t="s">
        <v>174</v>
      </c>
      <c r="D24" s="288">
        <v>0</v>
      </c>
      <c r="E24" s="288">
        <f>armazem!V16</f>
        <v>539437</v>
      </c>
      <c r="F24" s="288">
        <f>'Custo de infraestrutura'!H15</f>
        <v>750000</v>
      </c>
      <c r="G24" s="288">
        <f>'Custo de infraestrutura'!I15</f>
        <v>115552000</v>
      </c>
      <c r="H24" s="288">
        <f>'Lotes de celulares'!J16*'Compra dos telefones'!$C$6</f>
        <v>132465900</v>
      </c>
      <c r="I24" s="288">
        <f>'Lotes de celulares'!K16*'Compra dos telefones'!$D$6</f>
        <v>74534200</v>
      </c>
      <c r="J24" s="288">
        <f>'Lotes de celulares'!L16*'Compra dos telefones'!$E$6</f>
        <v>19244400</v>
      </c>
      <c r="K24" s="288">
        <f>'Lotes de celulares'!M16*'Compra dos telefones'!$F$6</f>
        <v>2681900</v>
      </c>
      <c r="L24" s="288">
        <v>0</v>
      </c>
      <c r="M24" s="288">
        <v>0</v>
      </c>
      <c r="N24" s="288">
        <v>0</v>
      </c>
      <c r="O24" s="288">
        <v>0</v>
      </c>
      <c r="P24" s="288">
        <v>0</v>
      </c>
      <c r="Q24" s="288">
        <v>0</v>
      </c>
      <c r="R24" s="288">
        <v>137000</v>
      </c>
      <c r="S24" s="288">
        <v>235500</v>
      </c>
      <c r="T24" s="288">
        <v>1485000</v>
      </c>
      <c r="U24" s="288">
        <f>'previsão de vendas'!J20*'Venda dos celulares'!$C$7</f>
        <v>199845360.00000003</v>
      </c>
      <c r="V24" s="288">
        <f>'previsão de vendas'!K20*'Venda dos celulares'!$D$7</f>
        <v>116276400.00000001</v>
      </c>
      <c r="W24" s="288">
        <f>'previsão de vendas'!L20*'Venda dos celulares'!$E$7</f>
        <v>32990400</v>
      </c>
      <c r="X24" s="288">
        <f>'previsão de vendas'!M20*'Venda dos celulares'!$F$7</f>
        <v>6127800</v>
      </c>
      <c r="Y24" s="288">
        <f>'base de dados'!$D$30*('previsão de vendas'!J20)</f>
        <v>3298500</v>
      </c>
      <c r="Z24" s="288">
        <f>'base de dados'!$D$31*('previsão de vendas'!K20)</f>
        <v>3747500</v>
      </c>
      <c r="AA24" s="288">
        <f>'base de dados'!$D$32*('previsão de vendas'!L20)</f>
        <v>2497500</v>
      </c>
      <c r="AB24" s="288">
        <f>'base de dados'!$D$33*('previsão de vendas'!M20)</f>
        <v>599000</v>
      </c>
    </row>
    <row r="25" spans="1:28" ht="15.75">
      <c r="A25" s="289">
        <v>12</v>
      </c>
      <c r="B25" s="342" t="s">
        <v>160</v>
      </c>
      <c r="C25" s="288" t="s">
        <v>174</v>
      </c>
      <c r="D25" s="288">
        <v>0</v>
      </c>
      <c r="E25" s="288">
        <f>armazem!V17</f>
        <v>1086540</v>
      </c>
      <c r="F25" s="288">
        <f>'Custo de infraestrutura'!H16</f>
        <v>3150000</v>
      </c>
      <c r="G25" s="288">
        <f>'Custo de infraestrutura'!I16</f>
        <v>522496000</v>
      </c>
      <c r="H25" s="288">
        <f>'Lotes de celulares'!J17*'Compra dos telefones'!$C$6</f>
        <v>574018900</v>
      </c>
      <c r="I25" s="288">
        <f>'Lotes de celulares'!K17*'Compra dos telefones'!$D$6</f>
        <v>372671000</v>
      </c>
      <c r="J25" s="288">
        <f>'Lotes de celulares'!L17*'Compra dos telefones'!$E$6</f>
        <v>84675360</v>
      </c>
      <c r="K25" s="288">
        <f>'Lotes de celulares'!M17*'Compra dos telefones'!$F$6</f>
        <v>10727600</v>
      </c>
      <c r="L25" s="288">
        <v>75000</v>
      </c>
      <c r="M25" s="288">
        <v>176000</v>
      </c>
      <c r="N25" s="288">
        <v>1235000</v>
      </c>
      <c r="O25" s="288">
        <v>400000</v>
      </c>
      <c r="P25" s="288">
        <v>990000</v>
      </c>
      <c r="Q25" s="288">
        <v>6500000</v>
      </c>
      <c r="R25" s="288">
        <v>479500</v>
      </c>
      <c r="S25" s="288">
        <v>1099000</v>
      </c>
      <c r="T25" s="288">
        <v>6847500</v>
      </c>
      <c r="U25" s="288">
        <f>'previsão de vendas'!J21*'Venda dos celulares'!$C$7</f>
        <v>865996560.00000012</v>
      </c>
      <c r="V25" s="288">
        <f>'previsão de vendas'!K21*'Venda dos celulares'!$D$7</f>
        <v>581382000.00000012</v>
      </c>
      <c r="W25" s="288">
        <f>'previsão de vendas'!L21*'Venda dos celulares'!$E$7</f>
        <v>145157760</v>
      </c>
      <c r="X25" s="288">
        <f>'previsão de vendas'!M21*'Venda dos celulares'!$F$7</f>
        <v>24511200</v>
      </c>
      <c r="Y25" s="288">
        <f>'base de dados'!$D$30*('previsão de vendas'!J21)</f>
        <v>14293500</v>
      </c>
      <c r="Z25" s="288">
        <f>'base de dados'!$D$31*('previsão de vendas'!K21)</f>
        <v>18737500</v>
      </c>
      <c r="AA25" s="288">
        <f>'base de dados'!$D$32*('previsão de vendas'!L21)</f>
        <v>10989000</v>
      </c>
      <c r="AB25" s="288">
        <f>'base de dados'!$D$33*('previsão de vendas'!M21)</f>
        <v>2396000</v>
      </c>
    </row>
    <row r="26" spans="1:28" ht="15.75">
      <c r="A26" s="289">
        <v>1</v>
      </c>
      <c r="B26" s="342" t="s">
        <v>149</v>
      </c>
      <c r="C26" s="288" t="s">
        <v>146</v>
      </c>
      <c r="D26" s="333">
        <v>100000000</v>
      </c>
      <c r="E26" s="288">
        <f>armazem!AG6</f>
        <v>539437</v>
      </c>
      <c r="F26" s="288">
        <f>'Custo de infraestrutura'!M5</f>
        <v>750000</v>
      </c>
      <c r="G26" s="288">
        <f>'Custo de infraestrutura'!N5</f>
        <v>38936000</v>
      </c>
      <c r="H26" s="288">
        <f>'Lotes de celulares'!Q6*'Compra dos telefones'!$C$6</f>
        <v>44155300</v>
      </c>
      <c r="I26" s="288">
        <f>'Lotes de celulares'!R6*'Compra dos telefones'!$D$6</f>
        <v>44720520</v>
      </c>
      <c r="J26" s="288">
        <f>'Lotes de celulares'!S6*'Compra dos telefones'!$E$6</f>
        <v>15395520</v>
      </c>
      <c r="K26" s="288">
        <f>'Lotes de celulares'!T6*'Compra dos telefones'!$F$6</f>
        <v>6704750</v>
      </c>
      <c r="L26" s="288" cm="1">
        <f t="array" ref="L26:N37">'Custo de equipe'!M13:O24</f>
        <v>30000</v>
      </c>
      <c r="M26" s="288">
        <v>48000</v>
      </c>
      <c r="N26" s="288">
        <v>114000</v>
      </c>
      <c r="O26" s="288" cm="1">
        <f t="array" ref="O26:Q37">'Custo de equipe'!M31:O42</f>
        <v>160000</v>
      </c>
      <c r="P26" s="288">
        <v>270000</v>
      </c>
      <c r="Q26" s="288">
        <v>600000</v>
      </c>
      <c r="R26" s="288" cm="1">
        <f t="array" ref="R26:T37">'Custo de equipe'!M48:O59</f>
        <v>137000</v>
      </c>
      <c r="S26" s="288">
        <v>235500</v>
      </c>
      <c r="T26" s="288">
        <v>495000</v>
      </c>
      <c r="U26" s="288">
        <f>'previsão de vendas'!Q10*'Venda dos celulares'!$C$7</f>
        <v>66615120.000000007</v>
      </c>
      <c r="V26" s="288">
        <f>'previsão de vendas'!R10*'Venda dos celulares'!$D$7</f>
        <v>69765840</v>
      </c>
      <c r="W26" s="288">
        <f>'previsão de vendas'!S10*'Venda dos celulares'!$E$7</f>
        <v>26392320</v>
      </c>
      <c r="X26" s="288">
        <f>'previsão de vendas'!T10*'Venda dos celulares'!$F$7</f>
        <v>15319500</v>
      </c>
      <c r="Y26" s="288">
        <f>'base de dados'!$D$30*('previsão de vendas'!Q10)</f>
        <v>1099500</v>
      </c>
      <c r="Z26" s="288">
        <f>'base de dados'!$D$31*('previsão de vendas'!R10)</f>
        <v>2248500</v>
      </c>
      <c r="AA26" s="288">
        <f>'base de dados'!$D$32*('previsão de vendas'!S10)</f>
        <v>1998000</v>
      </c>
      <c r="AB26" s="288">
        <f>'base de dados'!$D$33*('previsão de vendas'!T10)</f>
        <v>1497500</v>
      </c>
    </row>
    <row r="27" spans="1:28" ht="15.75">
      <c r="A27" s="289">
        <v>2</v>
      </c>
      <c r="B27" s="342" t="s">
        <v>150</v>
      </c>
      <c r="C27" s="288" t="s">
        <v>146</v>
      </c>
      <c r="D27" s="288">
        <v>0</v>
      </c>
      <c r="E27" s="288">
        <f>armazem!AG7</f>
        <v>539437</v>
      </c>
      <c r="F27" s="288">
        <f>'Custo de infraestrutura'!M6</f>
        <v>900000</v>
      </c>
      <c r="G27" s="288">
        <f>'Custo de infraestrutura'!N6</f>
        <v>79128000</v>
      </c>
      <c r="H27" s="288">
        <f>'Lotes de celulares'!Q7*'Compra dos telefones'!$C$6</f>
        <v>88310600</v>
      </c>
      <c r="I27" s="288">
        <f>'Lotes de celulares'!R7*'Compra dos telefones'!$D$6</f>
        <v>44720520</v>
      </c>
      <c r="J27" s="288">
        <f>'Lotes de celulares'!S7*'Compra dos telefones'!$E$6</f>
        <v>23093280</v>
      </c>
      <c r="K27" s="288">
        <f>'Lotes de celulares'!T7*'Compra dos telefones'!$F$6</f>
        <v>9386650</v>
      </c>
      <c r="L27" s="288">
        <v>0</v>
      </c>
      <c r="M27" s="288">
        <v>16000</v>
      </c>
      <c r="N27" s="288">
        <v>133000</v>
      </c>
      <c r="O27" s="288">
        <v>0</v>
      </c>
      <c r="P27" s="288">
        <v>90000</v>
      </c>
      <c r="Q27" s="288">
        <v>700000</v>
      </c>
      <c r="R27" s="288">
        <v>137000</v>
      </c>
      <c r="S27" s="288">
        <v>314000</v>
      </c>
      <c r="T27" s="288">
        <v>1072500</v>
      </c>
      <c r="U27" s="288">
        <f>'previsão de vendas'!Q11*'Venda dos celulares'!$C$7</f>
        <v>133230240.00000001</v>
      </c>
      <c r="V27" s="288">
        <f>'previsão de vendas'!R11*'Venda dos celulares'!$D$7</f>
        <v>69765840</v>
      </c>
      <c r="W27" s="288">
        <f>'previsão de vendas'!S11*'Venda dos celulares'!$E$7</f>
        <v>39588480</v>
      </c>
      <c r="X27" s="288">
        <f>'previsão de vendas'!T11*'Venda dos celulares'!$F$7</f>
        <v>21447300</v>
      </c>
      <c r="Y27" s="288">
        <f>'base de dados'!$D$30*('previsão de vendas'!Q11)</f>
        <v>2199000</v>
      </c>
      <c r="Z27" s="288">
        <f>'base de dados'!$D$31*('previsão de vendas'!R11)</f>
        <v>2248500</v>
      </c>
      <c r="AA27" s="288">
        <f>'base de dados'!$D$32*('previsão de vendas'!S11)</f>
        <v>2997000</v>
      </c>
      <c r="AB27" s="288">
        <f>'base de dados'!$D$33*('previsão de vendas'!T11)</f>
        <v>2096500</v>
      </c>
    </row>
    <row r="28" spans="1:28" ht="15.75">
      <c r="A28" s="289">
        <v>3</v>
      </c>
      <c r="B28" s="342" t="s">
        <v>151</v>
      </c>
      <c r="C28" s="288" t="s">
        <v>146</v>
      </c>
      <c r="D28" s="288">
        <v>0</v>
      </c>
      <c r="E28" s="288">
        <f>armazem!AG8</f>
        <v>539437</v>
      </c>
      <c r="F28" s="288">
        <f>'Custo de infraestrutura'!M7</f>
        <v>150000</v>
      </c>
      <c r="G28" s="288">
        <f>'Custo de infraestrutura'!N7</f>
        <v>6280000</v>
      </c>
      <c r="H28" s="288">
        <f>'Lotes de celulares'!Q8*'Compra dos telefones'!$C$6</f>
        <v>0</v>
      </c>
      <c r="I28" s="288">
        <f>'Lotes de celulares'!R8*'Compra dos telefones'!$D$6</f>
        <v>0</v>
      </c>
      <c r="J28" s="288">
        <f>'Lotes de celulares'!S8*'Compra dos telefones'!$E$6</f>
        <v>3848880</v>
      </c>
      <c r="K28" s="288">
        <f>'Lotes de celulares'!T8*'Compra dos telefones'!$F$6</f>
        <v>1340950</v>
      </c>
      <c r="L28" s="288">
        <v>0</v>
      </c>
      <c r="M28" s="288">
        <v>0</v>
      </c>
      <c r="N28" s="288">
        <v>0</v>
      </c>
      <c r="O28" s="288">
        <v>0</v>
      </c>
      <c r="P28" s="288">
        <v>0</v>
      </c>
      <c r="Q28" s="288">
        <v>0</v>
      </c>
      <c r="R28" s="288">
        <v>68500</v>
      </c>
      <c r="S28" s="288">
        <v>78500</v>
      </c>
      <c r="T28" s="288">
        <v>82500</v>
      </c>
      <c r="U28" s="288">
        <f>'previsão de vendas'!Q12*'Venda dos celulares'!$C$7</f>
        <v>0</v>
      </c>
      <c r="V28" s="288">
        <f>'previsão de vendas'!R12*'Venda dos celulares'!$D$7</f>
        <v>0</v>
      </c>
      <c r="W28" s="288">
        <f>'previsão de vendas'!S12*'Venda dos celulares'!$E$7</f>
        <v>6598080</v>
      </c>
      <c r="X28" s="288">
        <f>'previsão de vendas'!T12*'Venda dos celulares'!$F$7</f>
        <v>3063900</v>
      </c>
      <c r="Y28" s="288">
        <f>'base de dados'!$D$30*('previsão de vendas'!Q12)</f>
        <v>0</v>
      </c>
      <c r="Z28" s="288">
        <f>'base de dados'!$D$31*('previsão de vendas'!R12)</f>
        <v>0</v>
      </c>
      <c r="AA28" s="288">
        <f>'base de dados'!$D$32*('previsão de vendas'!S12)</f>
        <v>499500</v>
      </c>
      <c r="AB28" s="288">
        <f>'base de dados'!$D$33*('previsão de vendas'!T12)</f>
        <v>299500</v>
      </c>
    </row>
    <row r="29" spans="1:28" ht="15.75">
      <c r="A29" s="289">
        <v>4</v>
      </c>
      <c r="B29" s="342" t="s">
        <v>152</v>
      </c>
      <c r="C29" s="288" t="s">
        <v>146</v>
      </c>
      <c r="D29" s="288">
        <v>0</v>
      </c>
      <c r="E29" s="288">
        <f>armazem!AG9</f>
        <v>1086540</v>
      </c>
      <c r="F29" s="288">
        <f>'Custo de infraestrutura'!M8</f>
        <v>1200000</v>
      </c>
      <c r="G29" s="288">
        <f>'Custo de infraestrutura'!N8</f>
        <v>115552000</v>
      </c>
      <c r="H29" s="288">
        <f>'Lotes de celulares'!Q9*'Compra dos telefones'!$C$6</f>
        <v>132465900</v>
      </c>
      <c r="I29" s="288">
        <f>'Lotes de celulares'!R9*'Compra dos telefones'!$D$6</f>
        <v>74534200</v>
      </c>
      <c r="J29" s="288">
        <f>'Lotes de celulares'!S9*'Compra dos telefones'!$E$6</f>
        <v>34639920</v>
      </c>
      <c r="K29" s="288">
        <f>'Lotes de celulares'!T9*'Compra dos telefones'!$F$6</f>
        <v>13409500</v>
      </c>
      <c r="L29" s="288">
        <v>30000</v>
      </c>
      <c r="M29" s="288">
        <v>80000</v>
      </c>
      <c r="N29" s="288">
        <v>323000</v>
      </c>
      <c r="O29" s="288">
        <v>160000</v>
      </c>
      <c r="P29" s="288">
        <v>450000</v>
      </c>
      <c r="Q29" s="288">
        <v>1700000</v>
      </c>
      <c r="R29" s="288">
        <v>205500</v>
      </c>
      <c r="S29" s="288">
        <v>471000</v>
      </c>
      <c r="T29" s="288">
        <v>1485000</v>
      </c>
      <c r="U29" s="288">
        <f>'previsão de vendas'!Q13*'Venda dos celulares'!$C$7</f>
        <v>199845360.00000003</v>
      </c>
      <c r="V29" s="288">
        <f>'previsão de vendas'!R13*'Venda dos celulares'!$D$7</f>
        <v>116276400.00000001</v>
      </c>
      <c r="W29" s="288">
        <f>'previsão de vendas'!S13*'Venda dos celulares'!$E$7</f>
        <v>59382720</v>
      </c>
      <c r="X29" s="288">
        <f>'previsão de vendas'!T13*'Venda dos celulares'!$F$7</f>
        <v>30639000</v>
      </c>
      <c r="Y29" s="288">
        <f>'base de dados'!$D$30*('previsão de vendas'!Q13)</f>
        <v>3298500</v>
      </c>
      <c r="Z29" s="288">
        <f>'base de dados'!$D$31*('previsão de vendas'!R13)</f>
        <v>3747500</v>
      </c>
      <c r="AA29" s="288">
        <f>'base de dados'!$D$32*('previsão de vendas'!S13)</f>
        <v>4495500</v>
      </c>
      <c r="AB29" s="288">
        <f>'base de dados'!$D$33*('previsão de vendas'!T13)</f>
        <v>2995000</v>
      </c>
    </row>
    <row r="30" spans="1:28" ht="15.75">
      <c r="A30" s="289">
        <v>5</v>
      </c>
      <c r="B30" s="342" t="s">
        <v>153</v>
      </c>
      <c r="C30" s="288" t="s">
        <v>146</v>
      </c>
      <c r="D30" s="288">
        <v>0</v>
      </c>
      <c r="E30" s="288">
        <f>armazem!AG10</f>
        <v>539437</v>
      </c>
      <c r="F30" s="288">
        <f>'Custo de infraestrutura'!M9</f>
        <v>600000</v>
      </c>
      <c r="G30" s="288">
        <f>'Custo de infraestrutura'!N9</f>
        <v>55264000</v>
      </c>
      <c r="H30" s="288">
        <f>'Lotes de celulares'!Q10*'Compra dos telefones'!$C$6</f>
        <v>44155300</v>
      </c>
      <c r="I30" s="288">
        <f>'Lotes de celulares'!R10*'Compra dos telefones'!$D$6</f>
        <v>29813680</v>
      </c>
      <c r="J30" s="288">
        <f>'Lotes de celulares'!S10*'Compra dos telefones'!$E$6</f>
        <v>15395520</v>
      </c>
      <c r="K30" s="288">
        <f>'Lotes de celulares'!T10*'Compra dos telefones'!$F$6</f>
        <v>6704750</v>
      </c>
      <c r="L30" s="288">
        <v>0</v>
      </c>
      <c r="M30" s="288">
        <v>0</v>
      </c>
      <c r="N30" s="288">
        <v>0</v>
      </c>
      <c r="O30" s="288">
        <v>0</v>
      </c>
      <c r="P30" s="288">
        <v>0</v>
      </c>
      <c r="Q30" s="288">
        <v>0</v>
      </c>
      <c r="R30" s="288">
        <v>137000</v>
      </c>
      <c r="S30" s="288">
        <v>235500</v>
      </c>
      <c r="T30" s="288">
        <v>742500</v>
      </c>
      <c r="U30" s="288">
        <f>'previsão de vendas'!Q14*'Venda dos celulares'!$C$7</f>
        <v>66615120.000000007</v>
      </c>
      <c r="V30" s="288">
        <f>'previsão de vendas'!R14*'Venda dos celulares'!$D$7</f>
        <v>46510560.000000007</v>
      </c>
      <c r="W30" s="288">
        <f>'previsão de vendas'!S14*'Venda dos celulares'!$E$7</f>
        <v>26392320</v>
      </c>
      <c r="X30" s="288">
        <f>'previsão de vendas'!T14*'Venda dos celulares'!$F$7</f>
        <v>15319500</v>
      </c>
      <c r="Y30" s="288">
        <f>'base de dados'!$D$30*('previsão de vendas'!Q14)</f>
        <v>1099500</v>
      </c>
      <c r="Z30" s="288">
        <f>'base de dados'!$D$31*('previsão de vendas'!R14)</f>
        <v>1499000</v>
      </c>
      <c r="AA30" s="288">
        <f>'base de dados'!$D$32*('previsão de vendas'!S14)</f>
        <v>1998000</v>
      </c>
      <c r="AB30" s="288">
        <f>'base de dados'!$D$33*('previsão de vendas'!T14)</f>
        <v>1497500</v>
      </c>
    </row>
    <row r="31" spans="1:28" ht="15.75">
      <c r="A31" s="289">
        <v>6</v>
      </c>
      <c r="B31" s="342" t="s">
        <v>154</v>
      </c>
      <c r="C31" s="288" t="s">
        <v>146</v>
      </c>
      <c r="D31" s="288">
        <v>0</v>
      </c>
      <c r="E31" s="288">
        <f>armazem!AG11</f>
        <v>539437</v>
      </c>
      <c r="F31" s="288">
        <f>'Custo de infraestrutura'!M10</f>
        <v>1050000</v>
      </c>
      <c r="G31" s="288">
        <f>'Custo de infraestrutura'!N10</f>
        <v>90432000</v>
      </c>
      <c r="H31" s="288">
        <f>'Lotes de celulares'!Q11*'Compra dos telefones'!$C$6</f>
        <v>88310600</v>
      </c>
      <c r="I31" s="288">
        <f>'Lotes de celulares'!R11*'Compra dos telefones'!$D$6</f>
        <v>59627360</v>
      </c>
      <c r="J31" s="288">
        <f>'Lotes de celulares'!S11*'Compra dos telefones'!$E$6</f>
        <v>26942160</v>
      </c>
      <c r="K31" s="288">
        <f>'Lotes de celulares'!T11*'Compra dos telefones'!$F$6</f>
        <v>10727600</v>
      </c>
      <c r="L31" s="288">
        <v>15000</v>
      </c>
      <c r="M31" s="288">
        <v>32000</v>
      </c>
      <c r="N31" s="288">
        <v>95000</v>
      </c>
      <c r="O31" s="288">
        <v>80000</v>
      </c>
      <c r="P31" s="288">
        <v>180000</v>
      </c>
      <c r="Q31" s="288">
        <v>500000</v>
      </c>
      <c r="R31" s="288">
        <v>205500</v>
      </c>
      <c r="S31" s="288">
        <v>392500</v>
      </c>
      <c r="T31" s="288">
        <v>1155000</v>
      </c>
      <c r="U31" s="288">
        <f>'previsão de vendas'!Q15*'Venda dos celulares'!$C$7</f>
        <v>133230240.00000001</v>
      </c>
      <c r="V31" s="288">
        <f>'previsão de vendas'!R15*'Venda dos celulares'!$D$7</f>
        <v>93021120.000000015</v>
      </c>
      <c r="W31" s="288">
        <f>'previsão de vendas'!S15*'Venda dos celulares'!$E$7</f>
        <v>46186560</v>
      </c>
      <c r="X31" s="288">
        <f>'previsão de vendas'!T15*'Venda dos celulares'!$F$7</f>
        <v>24511200</v>
      </c>
      <c r="Y31" s="288">
        <f>'base de dados'!$D$30*('previsão de vendas'!Q15)</f>
        <v>2199000</v>
      </c>
      <c r="Z31" s="288">
        <f>'base de dados'!$D$31*('previsão de vendas'!R15)</f>
        <v>2998000</v>
      </c>
      <c r="AA31" s="288">
        <f>'base de dados'!$D$32*('previsão de vendas'!S15)</f>
        <v>3496500</v>
      </c>
      <c r="AB31" s="288">
        <f>'base de dados'!$D$33*('previsão de vendas'!T15)</f>
        <v>2396000</v>
      </c>
    </row>
    <row r="32" spans="1:28" ht="15.75">
      <c r="A32" s="289">
        <v>7</v>
      </c>
      <c r="B32" s="342" t="s">
        <v>155</v>
      </c>
      <c r="C32" s="288" t="s">
        <v>146</v>
      </c>
      <c r="D32" s="288">
        <v>0</v>
      </c>
      <c r="E32" s="288">
        <f>armazem!AG12</f>
        <v>1086540</v>
      </c>
      <c r="F32" s="288">
        <f>'Custo de infraestrutura'!M11</f>
        <v>1350000</v>
      </c>
      <c r="G32" s="288">
        <f>'Custo de infraestrutura'!N11</f>
        <v>116808000</v>
      </c>
      <c r="H32" s="288">
        <f>'Lotes de celulares'!Q12*'Compra dos telefones'!$C$6</f>
        <v>132465900</v>
      </c>
      <c r="I32" s="288">
        <f>'Lotes de celulares'!R12*'Compra dos telefones'!$D$6</f>
        <v>74534200</v>
      </c>
      <c r="J32" s="288">
        <f>'Lotes de celulares'!S12*'Compra dos telefones'!$E$6</f>
        <v>34639920</v>
      </c>
      <c r="K32" s="288">
        <f>'Lotes de celulares'!T12*'Compra dos telefones'!$F$6</f>
        <v>13409500</v>
      </c>
      <c r="L32" s="288">
        <v>0</v>
      </c>
      <c r="M32" s="288">
        <v>16000</v>
      </c>
      <c r="N32" s="288">
        <v>95000</v>
      </c>
      <c r="O32" s="288">
        <v>0</v>
      </c>
      <c r="P32" s="288">
        <v>90000</v>
      </c>
      <c r="Q32" s="288">
        <v>500000</v>
      </c>
      <c r="R32" s="288">
        <v>205500</v>
      </c>
      <c r="S32" s="288">
        <v>471000</v>
      </c>
      <c r="T32" s="288">
        <v>1567500</v>
      </c>
      <c r="U32" s="288">
        <f>'previsão de vendas'!Q16*'Venda dos celulares'!$C$7</f>
        <v>199845360.00000003</v>
      </c>
      <c r="V32" s="288">
        <f>'previsão de vendas'!R16*'Venda dos celulares'!$D$7</f>
        <v>116276400.00000001</v>
      </c>
      <c r="W32" s="288">
        <f>'previsão de vendas'!S16*'Venda dos celulares'!$E$7</f>
        <v>59382720</v>
      </c>
      <c r="X32" s="288">
        <f>'previsão de vendas'!T16*'Venda dos celulares'!$F$7</f>
        <v>30639000</v>
      </c>
      <c r="Y32" s="288">
        <f>'base de dados'!$D$30*('previsão de vendas'!Q16)</f>
        <v>3298500</v>
      </c>
      <c r="Z32" s="288">
        <f>'base de dados'!$D$31*('previsão de vendas'!R16)</f>
        <v>3747500</v>
      </c>
      <c r="AA32" s="288">
        <f>'base de dados'!$D$32*('previsão de vendas'!S16)</f>
        <v>4495500</v>
      </c>
      <c r="AB32" s="288">
        <f>'base de dados'!$D$33*('previsão de vendas'!T16)</f>
        <v>2995000</v>
      </c>
    </row>
    <row r="33" spans="1:28" ht="15.75">
      <c r="A33" s="289">
        <v>8</v>
      </c>
      <c r="B33" s="342" t="s">
        <v>156</v>
      </c>
      <c r="C33" s="288" t="s">
        <v>146</v>
      </c>
      <c r="D33" s="288">
        <v>0</v>
      </c>
      <c r="E33" s="288">
        <f>armazem!AG13</f>
        <v>539437</v>
      </c>
      <c r="F33" s="288">
        <f>'Custo de infraestrutura'!M12</f>
        <v>900000</v>
      </c>
      <c r="G33" s="288">
        <f>'Custo de infraestrutura'!N12</f>
        <v>82896000</v>
      </c>
      <c r="H33" s="288">
        <f>'Lotes de celulares'!Q13*'Compra dos telefones'!$C$6</f>
        <v>88310600</v>
      </c>
      <c r="I33" s="288">
        <f>'Lotes de celulares'!R13*'Compra dos telefones'!$D$6</f>
        <v>59627360</v>
      </c>
      <c r="J33" s="288">
        <f>'Lotes de celulares'!S13*'Compra dos telefones'!$E$6</f>
        <v>23093280</v>
      </c>
      <c r="K33" s="288">
        <f>'Lotes de celulares'!T13*'Compra dos telefones'!$F$6</f>
        <v>9386650</v>
      </c>
      <c r="L33" s="288">
        <v>0</v>
      </c>
      <c r="M33" s="288">
        <v>0</v>
      </c>
      <c r="N33" s="288">
        <v>0</v>
      </c>
      <c r="O33" s="288">
        <v>0</v>
      </c>
      <c r="P33" s="288">
        <v>0</v>
      </c>
      <c r="Q33" s="288">
        <v>0</v>
      </c>
      <c r="R33" s="288">
        <v>137000</v>
      </c>
      <c r="S33" s="288">
        <v>314000</v>
      </c>
      <c r="T33" s="288">
        <v>1072500</v>
      </c>
      <c r="U33" s="288">
        <f>'previsão de vendas'!Q17*'Venda dos celulares'!$C$7</f>
        <v>133230240.00000001</v>
      </c>
      <c r="V33" s="288">
        <f>'previsão de vendas'!R17*'Venda dos celulares'!$D$7</f>
        <v>93021120.000000015</v>
      </c>
      <c r="W33" s="288">
        <f>'previsão de vendas'!S17*'Venda dos celulares'!$E$7</f>
        <v>39588480</v>
      </c>
      <c r="X33" s="288">
        <f>'previsão de vendas'!T17*'Venda dos celulares'!$F$7</f>
        <v>21447300</v>
      </c>
      <c r="Y33" s="288">
        <f>'base de dados'!$D$30*('previsão de vendas'!Q17)</f>
        <v>2199000</v>
      </c>
      <c r="Z33" s="288">
        <f>'base de dados'!$D$31*('previsão de vendas'!R17)</f>
        <v>2998000</v>
      </c>
      <c r="AA33" s="288">
        <f>'base de dados'!$D$32*('previsão de vendas'!S17)</f>
        <v>2997000</v>
      </c>
      <c r="AB33" s="288">
        <f>'base de dados'!$D$33*('previsão de vendas'!T17)</f>
        <v>2096500</v>
      </c>
    </row>
    <row r="34" spans="1:28" ht="15.75">
      <c r="A34" s="289">
        <v>9</v>
      </c>
      <c r="B34" s="342" t="s">
        <v>157</v>
      </c>
      <c r="C34" s="288" t="s">
        <v>146</v>
      </c>
      <c r="D34" s="288">
        <v>0</v>
      </c>
      <c r="E34" s="288">
        <f>armazem!AG14</f>
        <v>539437</v>
      </c>
      <c r="F34" s="288">
        <f>'Custo de infraestrutura'!M13</f>
        <v>300000</v>
      </c>
      <c r="G34" s="288">
        <f>'Custo de infraestrutura'!N13</f>
        <v>25120000</v>
      </c>
      <c r="H34" s="288">
        <f>'Lotes de celulares'!Q14*'Compra dos telefones'!$C$6</f>
        <v>44155300</v>
      </c>
      <c r="I34" s="288">
        <f>'Lotes de celulares'!R14*'Compra dos telefones'!$D$6</f>
        <v>14906840</v>
      </c>
      <c r="J34" s="288">
        <f>'Lotes de celulares'!S14*'Compra dos telefones'!$E$6</f>
        <v>7697760</v>
      </c>
      <c r="K34" s="288">
        <f>'Lotes de celulares'!T14*'Compra dos telefones'!$F$6</f>
        <v>2681900</v>
      </c>
      <c r="L34" s="288">
        <v>0</v>
      </c>
      <c r="M34" s="288">
        <v>0</v>
      </c>
      <c r="N34" s="288">
        <v>0</v>
      </c>
      <c r="O34" s="288">
        <v>0</v>
      </c>
      <c r="P34" s="288">
        <v>0</v>
      </c>
      <c r="Q34" s="288">
        <v>0</v>
      </c>
      <c r="R34" s="288">
        <v>68500</v>
      </c>
      <c r="S34" s="288">
        <v>157000</v>
      </c>
      <c r="T34" s="288">
        <v>330000</v>
      </c>
      <c r="U34" s="288">
        <f>'previsão de vendas'!Q18*'Venda dos celulares'!$C$7</f>
        <v>66615120.000000007</v>
      </c>
      <c r="V34" s="288">
        <f>'previsão de vendas'!R18*'Venda dos celulares'!$D$7</f>
        <v>23255280.000000004</v>
      </c>
      <c r="W34" s="288">
        <f>'previsão de vendas'!S18*'Venda dos celulares'!$E$7</f>
        <v>13196160</v>
      </c>
      <c r="X34" s="288">
        <f>'previsão de vendas'!T18*'Venda dos celulares'!$F$7</f>
        <v>6127800</v>
      </c>
      <c r="Y34" s="288">
        <f>'base de dados'!$D$30*('previsão de vendas'!Q18)</f>
        <v>1099500</v>
      </c>
      <c r="Z34" s="288">
        <f>'base de dados'!$D$31*('previsão de vendas'!R18)</f>
        <v>749500</v>
      </c>
      <c r="AA34" s="288">
        <f>'base de dados'!$D$32*('previsão de vendas'!S18)</f>
        <v>999000</v>
      </c>
      <c r="AB34" s="288">
        <f>'base de dados'!$D$33*('previsão de vendas'!T18)</f>
        <v>599000</v>
      </c>
    </row>
    <row r="35" spans="1:28" ht="15.75">
      <c r="A35" s="289">
        <v>10</v>
      </c>
      <c r="B35" s="342" t="s">
        <v>158</v>
      </c>
      <c r="C35" s="288" t="s">
        <v>146</v>
      </c>
      <c r="D35" s="288">
        <v>0</v>
      </c>
      <c r="E35" s="288">
        <f>armazem!AG15</f>
        <v>1086540</v>
      </c>
      <c r="F35" s="288">
        <f>'Custo de infraestrutura'!M14</f>
        <v>1500000</v>
      </c>
      <c r="G35" s="288">
        <f>'Custo de infraestrutura'!N14</f>
        <v>134392000</v>
      </c>
      <c r="H35" s="288">
        <f>'Lotes de celulares'!Q15*'Compra dos telefones'!$C$6</f>
        <v>132465900</v>
      </c>
      <c r="I35" s="288">
        <f>'Lotes de celulares'!R15*'Compra dos telefones'!$D$6</f>
        <v>89441040</v>
      </c>
      <c r="J35" s="288">
        <f>'Lotes de celulares'!S15*'Compra dos telefones'!$E$6</f>
        <v>38488800</v>
      </c>
      <c r="K35" s="288">
        <f>'Lotes de celulares'!T15*'Compra dos telefones'!$F$6</f>
        <v>14750450</v>
      </c>
      <c r="L35" s="288">
        <v>30000</v>
      </c>
      <c r="M35" s="288">
        <v>64000</v>
      </c>
      <c r="N35" s="288">
        <v>323000</v>
      </c>
      <c r="O35" s="288">
        <v>160000</v>
      </c>
      <c r="P35" s="288">
        <v>360000</v>
      </c>
      <c r="Q35" s="288">
        <v>1700000</v>
      </c>
      <c r="R35" s="288">
        <v>205500</v>
      </c>
      <c r="S35" s="288">
        <v>471000</v>
      </c>
      <c r="T35" s="288">
        <v>1732500</v>
      </c>
      <c r="U35" s="288">
        <f>'previsão de vendas'!Q19*'Venda dos celulares'!$C$7</f>
        <v>199845360.00000003</v>
      </c>
      <c r="V35" s="288">
        <f>'previsão de vendas'!R19*'Venda dos celulares'!$D$7</f>
        <v>139531680</v>
      </c>
      <c r="W35" s="288">
        <f>'previsão de vendas'!S19*'Venda dos celulares'!$E$7</f>
        <v>65980800</v>
      </c>
      <c r="X35" s="288">
        <f>'previsão de vendas'!T19*'Venda dos celulares'!$F$7</f>
        <v>33702900</v>
      </c>
      <c r="Y35" s="288">
        <f>'base de dados'!$D$30*('previsão de vendas'!Q19)</f>
        <v>3298500</v>
      </c>
      <c r="Z35" s="288">
        <f>'base de dados'!$D$31*('previsão de vendas'!R19)</f>
        <v>4497000</v>
      </c>
      <c r="AA35" s="288">
        <f>'base de dados'!$D$32*('previsão de vendas'!S19)</f>
        <v>4995000</v>
      </c>
      <c r="AB35" s="288">
        <f>'base de dados'!$D$33*('previsão de vendas'!T19)</f>
        <v>3294500</v>
      </c>
    </row>
    <row r="36" spans="1:28" ht="15.75">
      <c r="A36" s="289">
        <v>11</v>
      </c>
      <c r="B36" s="342" t="s">
        <v>159</v>
      </c>
      <c r="C36" s="288" t="s">
        <v>146</v>
      </c>
      <c r="D36" s="288">
        <v>0</v>
      </c>
      <c r="E36" s="288">
        <f>armazem!AG16</f>
        <v>539437</v>
      </c>
      <c r="F36" s="288">
        <f>'Custo de infraestrutura'!M15</f>
        <v>450000</v>
      </c>
      <c r="G36" s="288">
        <f>'Custo de infraestrutura'!N15</f>
        <v>45216000</v>
      </c>
      <c r="H36" s="288">
        <f>'Lotes de celulares'!Q16*'Compra dos telefones'!$C$6</f>
        <v>44155300</v>
      </c>
      <c r="I36" s="288">
        <f>'Lotes de celulares'!R16*'Compra dos telefones'!$D$6</f>
        <v>14906840</v>
      </c>
      <c r="J36" s="288">
        <f>'Lotes de celulares'!S16*'Compra dos telefones'!$E$6</f>
        <v>11546640</v>
      </c>
      <c r="K36" s="288">
        <f>'Lotes de celulares'!T16*'Compra dos telefones'!$F$6</f>
        <v>4022850</v>
      </c>
      <c r="L36" s="288">
        <v>0</v>
      </c>
      <c r="M36" s="288">
        <v>0</v>
      </c>
      <c r="N36" s="288">
        <v>0</v>
      </c>
      <c r="O36" s="288">
        <v>0</v>
      </c>
      <c r="P36" s="288">
        <v>0</v>
      </c>
      <c r="Q36" s="288">
        <v>0</v>
      </c>
      <c r="R36" s="288">
        <v>68500</v>
      </c>
      <c r="S36" s="288">
        <v>157000</v>
      </c>
      <c r="T36" s="288">
        <v>577500</v>
      </c>
      <c r="U36" s="288">
        <f>'previsão de vendas'!Q20*'Venda dos celulares'!$C$7</f>
        <v>66615120.000000007</v>
      </c>
      <c r="V36" s="288">
        <f>'previsão de vendas'!R20*'Venda dos celulares'!$D$7</f>
        <v>23255280.000000004</v>
      </c>
      <c r="W36" s="288">
        <f>'previsão de vendas'!S20*'Venda dos celulares'!$E$7</f>
        <v>19794240</v>
      </c>
      <c r="X36" s="288">
        <f>'previsão de vendas'!T20*'Venda dos celulares'!$F$7</f>
        <v>9191700</v>
      </c>
      <c r="Y36" s="288">
        <f>'base de dados'!$D$30*('previsão de vendas'!Q20)</f>
        <v>1099500</v>
      </c>
      <c r="Z36" s="288">
        <f>'base de dados'!$D$31*('previsão de vendas'!R20)</f>
        <v>749500</v>
      </c>
      <c r="AA36" s="288">
        <f>'base de dados'!$D$32*('previsão de vendas'!S20)</f>
        <v>1498500</v>
      </c>
      <c r="AB36" s="288">
        <f>'base de dados'!$D$33*('previsão de vendas'!T20)</f>
        <v>898500</v>
      </c>
    </row>
    <row r="37" spans="1:28" ht="15.75">
      <c r="A37" s="289">
        <v>12</v>
      </c>
      <c r="B37" s="342" t="s">
        <v>160</v>
      </c>
      <c r="C37" s="288" t="s">
        <v>146</v>
      </c>
      <c r="D37" s="288">
        <v>0</v>
      </c>
      <c r="E37" s="288">
        <f>armazem!AG17</f>
        <v>1086540</v>
      </c>
      <c r="F37" s="288">
        <f>'Custo de infraestrutura'!M16</f>
        <v>1650000</v>
      </c>
      <c r="G37" s="288">
        <f>'Custo de infraestrutura'!N16</f>
        <v>151976000</v>
      </c>
      <c r="H37" s="288">
        <f>'Lotes de celulares'!Q17*'Compra dos telefones'!$C$6</f>
        <v>132465900</v>
      </c>
      <c r="I37" s="288">
        <f>'Lotes de celulares'!R17*'Compra dos telefones'!$D$6</f>
        <v>104347880</v>
      </c>
      <c r="J37" s="288">
        <f>'Lotes de celulares'!S17*'Compra dos telefones'!$E$6</f>
        <v>46186560</v>
      </c>
      <c r="K37" s="288">
        <f>'Lotes de celulares'!T17*'Compra dos telefones'!$F$6</f>
        <v>17432350</v>
      </c>
      <c r="L37" s="288">
        <v>45000</v>
      </c>
      <c r="M37" s="288">
        <v>80000</v>
      </c>
      <c r="N37" s="288">
        <v>323000</v>
      </c>
      <c r="O37" s="288">
        <v>240000</v>
      </c>
      <c r="P37" s="288">
        <v>450000</v>
      </c>
      <c r="Q37" s="288">
        <v>1700000</v>
      </c>
      <c r="R37" s="288">
        <v>274000</v>
      </c>
      <c r="S37" s="288">
        <v>549500</v>
      </c>
      <c r="T37" s="288">
        <v>1980000</v>
      </c>
      <c r="U37" s="288">
        <f>'previsão de vendas'!Q21*'Venda dos celulares'!$C$7</f>
        <v>199845360.00000003</v>
      </c>
      <c r="V37" s="288">
        <f>'previsão de vendas'!R21*'Venda dos celulares'!$D$7</f>
        <v>162786960.00000003</v>
      </c>
      <c r="W37" s="288">
        <f>'previsão de vendas'!S21*'Venda dos celulares'!$E$7</f>
        <v>79176960</v>
      </c>
      <c r="X37" s="288">
        <f>'previsão de vendas'!T21*'Venda dos celulares'!$F$7</f>
        <v>39830700</v>
      </c>
      <c r="Y37" s="288">
        <f>'base de dados'!$D$30*('previsão de vendas'!Q21)</f>
        <v>3298500</v>
      </c>
      <c r="Z37" s="288">
        <f>'base de dados'!$D$31*('previsão de vendas'!R21)</f>
        <v>5246500</v>
      </c>
      <c r="AA37" s="288">
        <f>'base de dados'!$D$32*('previsão de vendas'!S21)</f>
        <v>5994000</v>
      </c>
      <c r="AB37" s="288">
        <f>'base de dados'!$D$33*('previsão de vendas'!T21)</f>
        <v>3893500</v>
      </c>
    </row>
    <row r="38" spans="1:28" ht="15.75">
      <c r="A38" s="289">
        <v>1</v>
      </c>
      <c r="B38" s="342" t="s">
        <v>149</v>
      </c>
      <c r="C38" s="288" t="s">
        <v>188</v>
      </c>
      <c r="D38" s="288">
        <f>80000/2</f>
        <v>40000</v>
      </c>
      <c r="E38" s="288">
        <f>armazem!AR6</f>
        <v>539437</v>
      </c>
      <c r="F38" s="288">
        <f>'Custo de infraestrutura'!R5</f>
        <v>300000</v>
      </c>
      <c r="G38" s="288">
        <f>'Custo de infraestrutura'!S5</f>
        <v>11304000</v>
      </c>
      <c r="H38" s="288">
        <f>'Lotes de celulares'!X6*'Compra dos telefones'!$C$6</f>
        <v>44155300</v>
      </c>
      <c r="I38" s="288">
        <f>'Lotes de celulares'!Y6*'Compra dos telefones'!$D$6</f>
        <v>29813680</v>
      </c>
      <c r="J38" s="288">
        <f>'Lotes de celulares'!Z6*'Compra dos telefones'!$E$6</f>
        <v>7697760</v>
      </c>
      <c r="K38" s="288">
        <f>'Lotes de celulares'!AA6*'Compra dos telefones'!$F$6</f>
        <v>1340950</v>
      </c>
      <c r="L38" s="288" cm="1">
        <f t="array" ref="L38:N49">'Custo de equipe'!R13:T24</f>
        <v>15000</v>
      </c>
      <c r="M38" s="288">
        <v>32000</v>
      </c>
      <c r="N38" s="288">
        <v>38000</v>
      </c>
      <c r="O38" s="288" cm="1">
        <f t="array" ref="O38:Q49">'Custo de equipe'!R31:T42</f>
        <v>80000</v>
      </c>
      <c r="P38" s="288">
        <v>180000</v>
      </c>
      <c r="Q38" s="288">
        <v>200000</v>
      </c>
      <c r="R38" s="288" cm="1">
        <f t="array" ref="R38:T49">'Custo de equipe'!R48:T59</f>
        <v>68500</v>
      </c>
      <c r="S38" s="288">
        <v>157000</v>
      </c>
      <c r="T38" s="288">
        <v>165000</v>
      </c>
      <c r="U38" s="288">
        <f>'previsão de vendas'!X10*'Venda dos celulares'!$C$7</f>
        <v>66615120.000000007</v>
      </c>
      <c r="V38" s="288">
        <f>'previsão de vendas'!Y10*'Venda dos celulares'!$C$7</f>
        <v>133230240.00000001</v>
      </c>
      <c r="W38" s="288">
        <f>'previsão de vendas'!Z10*'Venda dos celulares'!$C$7</f>
        <v>133230240.00000001</v>
      </c>
      <c r="X38" s="288">
        <f>'previsão de vendas'!AA10*'Venda dos celulares'!$C$7</f>
        <v>66615120.000000007</v>
      </c>
      <c r="Y38" s="288">
        <f>'base de dados'!$D$30*('previsão de vendas'!X10)</f>
        <v>1099500</v>
      </c>
      <c r="Z38" s="288">
        <f>'base de dados'!$D$31*('previsão de vendas'!Y10)</f>
        <v>1499000</v>
      </c>
      <c r="AA38" s="288">
        <f>'base de dados'!$D$32*('previsão de vendas'!Z10)</f>
        <v>999000</v>
      </c>
      <c r="AB38" s="288">
        <f>'base de dados'!$D$33*('previsão de vendas'!AA10)</f>
        <v>299500</v>
      </c>
    </row>
    <row r="39" spans="1:28" ht="15.75">
      <c r="A39" s="289">
        <v>2</v>
      </c>
      <c r="B39" s="342" t="s">
        <v>150</v>
      </c>
      <c r="C39" s="288" t="s">
        <v>188</v>
      </c>
      <c r="D39" s="288">
        <v>0</v>
      </c>
      <c r="E39" s="288">
        <f>armazem!AR7</f>
        <v>539437</v>
      </c>
      <c r="F39" s="288">
        <f>'Custo de infraestrutura'!R6</f>
        <v>450000</v>
      </c>
      <c r="G39" s="288">
        <f>'Custo de infraestrutura'!S6</f>
        <v>28888000</v>
      </c>
      <c r="H39" s="288">
        <f>'Lotes de celulares'!X7*'Compra dos telefones'!$C$6</f>
        <v>44155300</v>
      </c>
      <c r="I39" s="288">
        <f>'Lotes de celulares'!Y7*'Compra dos telefones'!$D$6</f>
        <v>29813680</v>
      </c>
      <c r="J39" s="288">
        <f>'Lotes de celulares'!Z7*'Compra dos telefones'!$E$6</f>
        <v>7697760</v>
      </c>
      <c r="K39" s="288">
        <f>'Lotes de celulares'!AA7*'Compra dos telefones'!$F$6</f>
        <v>1340950</v>
      </c>
      <c r="L39" s="288">
        <v>0</v>
      </c>
      <c r="M39" s="288">
        <v>0</v>
      </c>
      <c r="N39" s="288">
        <v>57000</v>
      </c>
      <c r="O39" s="288">
        <v>0</v>
      </c>
      <c r="P39" s="288">
        <v>0</v>
      </c>
      <c r="Q39" s="288">
        <v>300000</v>
      </c>
      <c r="R39" s="288">
        <v>68500</v>
      </c>
      <c r="S39" s="288">
        <v>157000</v>
      </c>
      <c r="T39" s="288">
        <v>412500</v>
      </c>
      <c r="U39" s="288">
        <f>'previsão de vendas'!X11*'Venda dos celulares'!$C$7</f>
        <v>66615120.000000007</v>
      </c>
      <c r="V39" s="288">
        <f>'previsão de vendas'!Y11*'Venda dos celulares'!$C$7</f>
        <v>133230240.00000001</v>
      </c>
      <c r="W39" s="288">
        <f>'previsão de vendas'!Z11*'Venda dos celulares'!$C$7</f>
        <v>133230240.00000001</v>
      </c>
      <c r="X39" s="288">
        <f>'previsão de vendas'!AA11*'Venda dos celulares'!$C$7</f>
        <v>66615120.000000007</v>
      </c>
      <c r="Y39" s="288">
        <f>'base de dados'!$D$30*('previsão de vendas'!X11)</f>
        <v>1099500</v>
      </c>
      <c r="Z39" s="288">
        <f>'base de dados'!$D$31*('previsão de vendas'!Y11)</f>
        <v>1499000</v>
      </c>
      <c r="AA39" s="288">
        <f>'base de dados'!$D$32*('previsão de vendas'!Z11)</f>
        <v>999000</v>
      </c>
      <c r="AB39" s="288">
        <f>'base de dados'!$D$33*('previsão de vendas'!AA11)</f>
        <v>299500</v>
      </c>
    </row>
    <row r="40" spans="1:28" ht="15.75">
      <c r="A40" s="289">
        <v>3</v>
      </c>
      <c r="B40" s="342" t="s">
        <v>151</v>
      </c>
      <c r="C40" s="288" t="s">
        <v>188</v>
      </c>
      <c r="D40" s="288">
        <v>0</v>
      </c>
      <c r="E40" s="288">
        <f>armazem!AR8</f>
        <v>0</v>
      </c>
      <c r="F40" s="288">
        <f>'Custo de infraestrutura'!R7</f>
        <v>150000</v>
      </c>
      <c r="G40" s="288">
        <f>'Custo de infraestrutura'!S7</f>
        <v>2512000</v>
      </c>
      <c r="H40" s="288">
        <f>'Lotes de celulares'!X8*'Compra dos telefones'!$C$6</f>
        <v>0</v>
      </c>
      <c r="I40" s="288">
        <f>'Lotes de celulares'!Y8*'Compra dos telefones'!$D$6</f>
        <v>0</v>
      </c>
      <c r="J40" s="288">
        <f>'Lotes de celulares'!Z8*'Compra dos telefones'!$E$6</f>
        <v>0</v>
      </c>
      <c r="K40" s="288">
        <f>'Lotes de celulares'!AA8*'Compra dos telefones'!$F$6</f>
        <v>0</v>
      </c>
      <c r="L40" s="288">
        <v>0</v>
      </c>
      <c r="M40" s="288">
        <v>0</v>
      </c>
      <c r="N40" s="288">
        <v>0</v>
      </c>
      <c r="O40" s="288">
        <v>0</v>
      </c>
      <c r="P40" s="288">
        <v>0</v>
      </c>
      <c r="Q40" s="288">
        <v>0</v>
      </c>
      <c r="R40" s="288">
        <v>68500</v>
      </c>
      <c r="S40" s="288">
        <v>78500</v>
      </c>
      <c r="T40" s="288">
        <v>0</v>
      </c>
      <c r="U40" s="288">
        <f>'previsão de vendas'!X12*'Venda dos celulares'!$C$7</f>
        <v>0</v>
      </c>
      <c r="V40" s="288">
        <f>'previsão de vendas'!Y12*'Venda dos celulares'!$C$7</f>
        <v>0</v>
      </c>
      <c r="W40" s="288">
        <f>'previsão de vendas'!Z12*'Venda dos celulares'!$C$7</f>
        <v>0</v>
      </c>
      <c r="X40" s="288">
        <f>'previsão de vendas'!AA12*'Venda dos celulares'!$C$7</f>
        <v>0</v>
      </c>
      <c r="Y40" s="288">
        <f>'base de dados'!$D$30*('previsão de vendas'!X12)</f>
        <v>0</v>
      </c>
      <c r="Z40" s="288">
        <f>'base de dados'!$D$31*('previsão de vendas'!Y12)</f>
        <v>0</v>
      </c>
      <c r="AA40" s="288">
        <f>'base de dados'!$D$32*('previsão de vendas'!Z12)</f>
        <v>0</v>
      </c>
      <c r="AB40" s="288">
        <f>'base de dados'!$D$33*('previsão de vendas'!AA12)</f>
        <v>0</v>
      </c>
    </row>
    <row r="41" spans="1:28" ht="15.75">
      <c r="A41" s="289">
        <v>4</v>
      </c>
      <c r="B41" s="342" t="s">
        <v>152</v>
      </c>
      <c r="C41" s="288" t="s">
        <v>188</v>
      </c>
      <c r="D41" s="288">
        <v>0</v>
      </c>
      <c r="E41" s="288">
        <f>armazem!AR9</f>
        <v>539437</v>
      </c>
      <c r="F41" s="288">
        <f>'Custo de infraestrutura'!R8</f>
        <v>450000</v>
      </c>
      <c r="G41" s="288">
        <f>'Custo de infraestrutura'!S8</f>
        <v>42704000</v>
      </c>
      <c r="H41" s="288">
        <f>'Lotes de celulares'!X9*'Compra dos telefones'!$C$6</f>
        <v>88310600</v>
      </c>
      <c r="I41" s="288">
        <f>'Lotes de celulares'!Y9*'Compra dos telefones'!$D$6</f>
        <v>44720520</v>
      </c>
      <c r="J41" s="288">
        <f>'Lotes de celulares'!Z9*'Compra dos telefones'!$E$6</f>
        <v>11546640</v>
      </c>
      <c r="K41" s="288">
        <f>'Lotes de celulares'!AA9*'Compra dos telefones'!$F$6</f>
        <v>1340950</v>
      </c>
      <c r="L41" s="288">
        <v>0</v>
      </c>
      <c r="M41" s="288">
        <v>16000</v>
      </c>
      <c r="N41" s="288">
        <v>133000</v>
      </c>
      <c r="O41" s="288">
        <v>0</v>
      </c>
      <c r="P41" s="288">
        <v>90000</v>
      </c>
      <c r="Q41" s="288">
        <v>700000</v>
      </c>
      <c r="R41" s="288">
        <v>68500</v>
      </c>
      <c r="S41" s="288">
        <v>157000</v>
      </c>
      <c r="T41" s="288">
        <v>577500</v>
      </c>
      <c r="U41" s="288">
        <f>'previsão de vendas'!X13*'Venda dos celulares'!$C$7</f>
        <v>133230240.00000001</v>
      </c>
      <c r="V41" s="288">
        <f>'previsão de vendas'!Y13*'Venda dos celulares'!$C$7</f>
        <v>199845360.00000003</v>
      </c>
      <c r="W41" s="288">
        <f>'previsão de vendas'!Z13*'Venda dos celulares'!$C$7</f>
        <v>199845360.00000003</v>
      </c>
      <c r="X41" s="288">
        <f>'previsão de vendas'!AA13*'Venda dos celulares'!$C$7</f>
        <v>66615120.000000007</v>
      </c>
      <c r="Y41" s="288">
        <f>'base de dados'!$D$30*('previsão de vendas'!X13)</f>
        <v>2199000</v>
      </c>
      <c r="Z41" s="288">
        <f>'base de dados'!$D$31*('previsão de vendas'!Y13)</f>
        <v>2248500</v>
      </c>
      <c r="AA41" s="288">
        <f>'base de dados'!$D$32*('previsão de vendas'!Z13)</f>
        <v>1498500</v>
      </c>
      <c r="AB41" s="288">
        <f>'base de dados'!$D$33*('previsão de vendas'!AA13)</f>
        <v>299500</v>
      </c>
    </row>
    <row r="42" spans="1:28" ht="15.75">
      <c r="A42" s="289">
        <v>5</v>
      </c>
      <c r="B42" s="342" t="s">
        <v>153</v>
      </c>
      <c r="C42" s="288" t="s">
        <v>188</v>
      </c>
      <c r="D42" s="288">
        <v>0</v>
      </c>
      <c r="E42" s="288">
        <f>armazem!AR10</f>
        <v>539437</v>
      </c>
      <c r="F42" s="288">
        <f>'Custo de infraestrutura'!R9</f>
        <v>300000</v>
      </c>
      <c r="G42" s="288">
        <f>'Custo de infraestrutura'!S9</f>
        <v>20096000</v>
      </c>
      <c r="H42" s="288">
        <f>'Lotes de celulares'!X10*'Compra dos telefones'!$C$6</f>
        <v>44155300</v>
      </c>
      <c r="I42" s="288">
        <f>'Lotes de celulares'!Y10*'Compra dos telefones'!$D$6</f>
        <v>29813680</v>
      </c>
      <c r="J42" s="288">
        <f>'Lotes de celulares'!Z10*'Compra dos telefones'!$E$6</f>
        <v>7697760</v>
      </c>
      <c r="K42" s="288">
        <f>'Lotes de celulares'!AA10*'Compra dos telefones'!$F$6</f>
        <v>1340950</v>
      </c>
      <c r="L42" s="288">
        <v>0</v>
      </c>
      <c r="M42" s="288">
        <v>0</v>
      </c>
      <c r="N42" s="288">
        <v>0</v>
      </c>
      <c r="O42" s="288">
        <v>0</v>
      </c>
      <c r="P42" s="288">
        <v>0</v>
      </c>
      <c r="Q42" s="288">
        <v>0</v>
      </c>
      <c r="R42" s="288">
        <v>68500</v>
      </c>
      <c r="S42" s="288">
        <v>157000</v>
      </c>
      <c r="T42" s="288">
        <v>247500</v>
      </c>
      <c r="U42" s="288">
        <f>'previsão de vendas'!X14*'Venda dos celulares'!$C$7</f>
        <v>66615120.000000007</v>
      </c>
      <c r="V42" s="288">
        <f>'previsão de vendas'!Y14*'Venda dos celulares'!$C$7</f>
        <v>133230240.00000001</v>
      </c>
      <c r="W42" s="288">
        <f>'previsão de vendas'!Z14*'Venda dos celulares'!$C$7</f>
        <v>133230240.00000001</v>
      </c>
      <c r="X42" s="288">
        <f>'previsão de vendas'!AA14*'Venda dos celulares'!$C$7</f>
        <v>66615120.000000007</v>
      </c>
      <c r="Y42" s="288">
        <f>'base de dados'!$D$30*('previsão de vendas'!X14)</f>
        <v>1099500</v>
      </c>
      <c r="Z42" s="288">
        <f>'base de dados'!$D$31*('previsão de vendas'!Y14)</f>
        <v>1499000</v>
      </c>
      <c r="AA42" s="288">
        <f>'base de dados'!$D$32*('previsão de vendas'!Z14)</f>
        <v>999000</v>
      </c>
      <c r="AB42" s="288">
        <f>'base de dados'!$D$33*('previsão de vendas'!AA14)</f>
        <v>299500</v>
      </c>
    </row>
    <row r="43" spans="1:28" ht="15.75">
      <c r="A43" s="289">
        <v>6</v>
      </c>
      <c r="B43" s="342" t="s">
        <v>154</v>
      </c>
      <c r="C43" s="288" t="s">
        <v>188</v>
      </c>
      <c r="D43" s="288">
        <v>0</v>
      </c>
      <c r="E43" s="288">
        <f>armazem!AR11</f>
        <v>539437</v>
      </c>
      <c r="F43" s="288">
        <f>'Custo de infraestrutura'!R10</f>
        <v>450000</v>
      </c>
      <c r="G43" s="288">
        <f>'Custo de infraestrutura'!S10</f>
        <v>33912000</v>
      </c>
      <c r="H43" s="288">
        <f>'Lotes de celulares'!X11*'Compra dos telefones'!$C$6</f>
        <v>44155300</v>
      </c>
      <c r="I43" s="288">
        <f>'Lotes de celulares'!Y11*'Compra dos telefones'!$D$6</f>
        <v>44720520</v>
      </c>
      <c r="J43" s="288">
        <f>'Lotes de celulares'!Z11*'Compra dos telefones'!$E$6</f>
        <v>11546640</v>
      </c>
      <c r="K43" s="288">
        <f>'Lotes de celulares'!AA11*'Compra dos telefones'!$F$6</f>
        <v>1340950</v>
      </c>
      <c r="L43" s="288">
        <v>0</v>
      </c>
      <c r="M43" s="288">
        <v>0</v>
      </c>
      <c r="N43" s="288">
        <v>38000</v>
      </c>
      <c r="O43" s="288">
        <v>0</v>
      </c>
      <c r="P43" s="288">
        <v>0</v>
      </c>
      <c r="Q43" s="288">
        <v>200000</v>
      </c>
      <c r="R43" s="288">
        <v>68500</v>
      </c>
      <c r="S43" s="288">
        <v>157000</v>
      </c>
      <c r="T43" s="288">
        <v>412500</v>
      </c>
      <c r="U43" s="288">
        <f>'previsão de vendas'!X15*'Venda dos celulares'!$C$7</f>
        <v>66615120.000000007</v>
      </c>
      <c r="V43" s="288">
        <f>'previsão de vendas'!Y15*'Venda dos celulares'!$C$7</f>
        <v>199845360.00000003</v>
      </c>
      <c r="W43" s="288">
        <f>'previsão de vendas'!Z15*'Venda dos celulares'!$C$7</f>
        <v>199845360.00000003</v>
      </c>
      <c r="X43" s="288">
        <f>'previsão de vendas'!AA15*'Venda dos celulares'!$C$7</f>
        <v>66615120.000000007</v>
      </c>
      <c r="Y43" s="288">
        <f>'base de dados'!$D$30*('previsão de vendas'!X15)</f>
        <v>1099500</v>
      </c>
      <c r="Z43" s="288">
        <f>'base de dados'!$D$31*('previsão de vendas'!Y15)</f>
        <v>2248500</v>
      </c>
      <c r="AA43" s="288">
        <f>'base de dados'!$D$32*('previsão de vendas'!Z15)</f>
        <v>1498500</v>
      </c>
      <c r="AB43" s="288">
        <f>'base de dados'!$D$33*('previsão de vendas'!AA15)</f>
        <v>299500</v>
      </c>
    </row>
    <row r="44" spans="1:28" ht="15.75">
      <c r="A44" s="289">
        <v>7</v>
      </c>
      <c r="B44" s="342" t="s">
        <v>155</v>
      </c>
      <c r="C44" s="288" t="s">
        <v>188</v>
      </c>
      <c r="D44" s="288">
        <v>0</v>
      </c>
      <c r="E44" s="288">
        <f>armazem!AR12</f>
        <v>539437</v>
      </c>
      <c r="F44" s="288">
        <f>'Custo de infraestrutura'!R11</f>
        <v>600000</v>
      </c>
      <c r="G44" s="288">
        <f>'Custo de infraestrutura'!S11</f>
        <v>42704000</v>
      </c>
      <c r="H44" s="288">
        <f>'Lotes de celulares'!X12*'Compra dos telefones'!$C$6</f>
        <v>88310600</v>
      </c>
      <c r="I44" s="288">
        <f>'Lotes de celulares'!Y12*'Compra dos telefones'!$D$6</f>
        <v>44720520</v>
      </c>
      <c r="J44" s="288">
        <f>'Lotes de celulares'!Z12*'Compra dos telefones'!$E$6</f>
        <v>11546640</v>
      </c>
      <c r="K44" s="288">
        <f>'Lotes de celulares'!AA12*'Compra dos telefones'!$F$6</f>
        <v>1340950</v>
      </c>
      <c r="L44" s="288">
        <v>0</v>
      </c>
      <c r="M44" s="288">
        <v>0</v>
      </c>
      <c r="N44" s="288">
        <v>38000</v>
      </c>
      <c r="O44" s="288">
        <v>0</v>
      </c>
      <c r="P44" s="288">
        <v>0</v>
      </c>
      <c r="Q44" s="288">
        <v>200000</v>
      </c>
      <c r="R44" s="288">
        <v>68500</v>
      </c>
      <c r="S44" s="288">
        <v>157000</v>
      </c>
      <c r="T44" s="288">
        <v>577500</v>
      </c>
      <c r="U44" s="288">
        <f>'previsão de vendas'!X16*'Venda dos celulares'!$C$7</f>
        <v>133230240.00000001</v>
      </c>
      <c r="V44" s="288">
        <f>'previsão de vendas'!Y16*'Venda dos celulares'!$C$7</f>
        <v>199845360.00000003</v>
      </c>
      <c r="W44" s="288">
        <f>'previsão de vendas'!Z16*'Venda dos celulares'!$C$7</f>
        <v>199845360.00000003</v>
      </c>
      <c r="X44" s="288">
        <f>'previsão de vendas'!AA16*'Venda dos celulares'!$C$7</f>
        <v>66615120.000000007</v>
      </c>
      <c r="Y44" s="288">
        <f>'base de dados'!$D$30*('previsão de vendas'!X16)</f>
        <v>2199000</v>
      </c>
      <c r="Z44" s="288">
        <f>'base de dados'!$D$31*('previsão de vendas'!Y16)</f>
        <v>2248500</v>
      </c>
      <c r="AA44" s="288">
        <f>'base de dados'!$D$32*('previsão de vendas'!Z16)</f>
        <v>1498500</v>
      </c>
      <c r="AB44" s="288">
        <f>'base de dados'!$D$33*('previsão de vendas'!AA16)</f>
        <v>299500</v>
      </c>
    </row>
    <row r="45" spans="1:28" ht="15.75">
      <c r="A45" s="289">
        <v>8</v>
      </c>
      <c r="B45" s="342" t="s">
        <v>156</v>
      </c>
      <c r="C45" s="288" t="s">
        <v>188</v>
      </c>
      <c r="D45" s="288">
        <v>0</v>
      </c>
      <c r="E45" s="288">
        <f>armazem!AR13</f>
        <v>539437</v>
      </c>
      <c r="F45" s="288">
        <f>'Custo de infraestrutura'!R12</f>
        <v>450000</v>
      </c>
      <c r="G45" s="288">
        <f>'Custo de infraestrutura'!S12</f>
        <v>30144000</v>
      </c>
      <c r="H45" s="288">
        <f>'Lotes de celulares'!X13*'Compra dos telefones'!$C$6</f>
        <v>44155300</v>
      </c>
      <c r="I45" s="288">
        <f>'Lotes de celulares'!Y13*'Compra dos telefones'!$D$6</f>
        <v>29813680</v>
      </c>
      <c r="J45" s="288">
        <f>'Lotes de celulares'!Z13*'Compra dos telefones'!$E$6</f>
        <v>7697760</v>
      </c>
      <c r="K45" s="288">
        <f>'Lotes de celulares'!AA13*'Compra dos telefones'!$F$6</f>
        <v>1340950</v>
      </c>
      <c r="L45" s="288">
        <v>0</v>
      </c>
      <c r="M45" s="288">
        <v>0</v>
      </c>
      <c r="N45" s="288">
        <v>0</v>
      </c>
      <c r="O45" s="288">
        <v>0</v>
      </c>
      <c r="P45" s="288">
        <v>0</v>
      </c>
      <c r="Q45" s="288">
        <v>0</v>
      </c>
      <c r="R45" s="288">
        <v>68500</v>
      </c>
      <c r="S45" s="288">
        <v>157000</v>
      </c>
      <c r="T45" s="288">
        <v>412500</v>
      </c>
      <c r="U45" s="288">
        <f>'previsão de vendas'!X17*'Venda dos celulares'!$C$7</f>
        <v>66615120.000000007</v>
      </c>
      <c r="V45" s="288">
        <f>'previsão de vendas'!Y17*'Venda dos celulares'!$C$7</f>
        <v>133230240.00000001</v>
      </c>
      <c r="W45" s="288">
        <f>'previsão de vendas'!Z17*'Venda dos celulares'!$C$7</f>
        <v>133230240.00000001</v>
      </c>
      <c r="X45" s="288">
        <f>'previsão de vendas'!AA17*'Venda dos celulares'!$C$7</f>
        <v>66615120.000000007</v>
      </c>
      <c r="Y45" s="288">
        <f>'base de dados'!$D$30*('previsão de vendas'!X17)</f>
        <v>1099500</v>
      </c>
      <c r="Z45" s="288">
        <f>'base de dados'!$D$31*('previsão de vendas'!Y17)</f>
        <v>1499000</v>
      </c>
      <c r="AA45" s="288">
        <f>'base de dados'!$D$32*('previsão de vendas'!Z17)</f>
        <v>999000</v>
      </c>
      <c r="AB45" s="288">
        <f>'base de dados'!$D$33*('previsão de vendas'!AA17)</f>
        <v>299500</v>
      </c>
    </row>
    <row r="46" spans="1:28" ht="15.75">
      <c r="A46" s="289">
        <v>9</v>
      </c>
      <c r="B46" s="342" t="s">
        <v>157</v>
      </c>
      <c r="C46" s="288" t="s">
        <v>188</v>
      </c>
      <c r="D46" s="288">
        <v>0</v>
      </c>
      <c r="E46" s="288">
        <f>armazem!AR14</f>
        <v>539437</v>
      </c>
      <c r="F46" s="288">
        <f>'Custo de infraestrutura'!R13</f>
        <v>150000</v>
      </c>
      <c r="G46" s="288">
        <f>'Custo de infraestrutura'!S13</f>
        <v>10048000</v>
      </c>
      <c r="H46" s="288">
        <f>'Lotes de celulares'!X14*'Compra dos telefones'!$C$6</f>
        <v>0</v>
      </c>
      <c r="I46" s="288">
        <f>'Lotes de celulares'!Y14*'Compra dos telefones'!$D$6</f>
        <v>14906840</v>
      </c>
      <c r="J46" s="288">
        <f>'Lotes de celulares'!Z14*'Compra dos telefones'!$E$6</f>
        <v>3848880</v>
      </c>
      <c r="K46" s="288">
        <f>'Lotes de celulares'!AA14*'Compra dos telefones'!$F$6</f>
        <v>0</v>
      </c>
      <c r="L46" s="288">
        <v>0</v>
      </c>
      <c r="M46" s="288">
        <v>0</v>
      </c>
      <c r="N46" s="288">
        <v>0</v>
      </c>
      <c r="O46" s="288">
        <v>0</v>
      </c>
      <c r="P46" s="288">
        <v>0</v>
      </c>
      <c r="Q46" s="288">
        <v>0</v>
      </c>
      <c r="R46" s="288">
        <v>68500</v>
      </c>
      <c r="S46" s="288">
        <v>78500</v>
      </c>
      <c r="T46" s="288">
        <v>165000</v>
      </c>
      <c r="U46" s="288">
        <f>'previsão de vendas'!X18*'Venda dos celulares'!$C$7</f>
        <v>0</v>
      </c>
      <c r="V46" s="288">
        <f>'previsão de vendas'!Y18*'Venda dos celulares'!$C$7</f>
        <v>66615120.000000007</v>
      </c>
      <c r="W46" s="288">
        <f>'previsão de vendas'!Z18*'Venda dos celulares'!$C$7</f>
        <v>66615120.000000007</v>
      </c>
      <c r="X46" s="288">
        <f>'previsão de vendas'!AA18*'Venda dos celulares'!$C$7</f>
        <v>0</v>
      </c>
      <c r="Y46" s="288">
        <f>'base de dados'!$D$30*('previsão de vendas'!X18)</f>
        <v>0</v>
      </c>
      <c r="Z46" s="288">
        <f>'base de dados'!$D$31*('previsão de vendas'!Y18)</f>
        <v>749500</v>
      </c>
      <c r="AA46" s="288">
        <f>'base de dados'!$D$32*('previsão de vendas'!Z18)</f>
        <v>499500</v>
      </c>
      <c r="AB46" s="288">
        <f>'base de dados'!$D$33*('previsão de vendas'!AA18)</f>
        <v>0</v>
      </c>
    </row>
    <row r="47" spans="1:28" ht="15.75">
      <c r="A47" s="289">
        <v>10</v>
      </c>
      <c r="B47" s="342" t="s">
        <v>158</v>
      </c>
      <c r="C47" s="288" t="s">
        <v>188</v>
      </c>
      <c r="D47" s="288">
        <v>0</v>
      </c>
      <c r="E47" s="288">
        <f>armazem!AR15</f>
        <v>539437</v>
      </c>
      <c r="F47" s="288">
        <f>'Custo de infraestrutura'!R14</f>
        <v>600000</v>
      </c>
      <c r="G47" s="288">
        <f>'Custo de infraestrutura'!S14</f>
        <v>48984000</v>
      </c>
      <c r="H47" s="288">
        <f>'Lotes de celulares'!X15*'Compra dos telefones'!$C$6</f>
        <v>88310600</v>
      </c>
      <c r="I47" s="288">
        <f>'Lotes de celulares'!Y15*'Compra dos telefones'!$D$6</f>
        <v>59627360</v>
      </c>
      <c r="J47" s="288">
        <f>'Lotes de celulares'!Z15*'Compra dos telefones'!$E$6</f>
        <v>15395520</v>
      </c>
      <c r="K47" s="288">
        <f>'Lotes de celulares'!AA15*'Compra dos telefones'!$F$6</f>
        <v>2681900</v>
      </c>
      <c r="L47" s="288">
        <v>15000</v>
      </c>
      <c r="M47" s="288">
        <v>32000</v>
      </c>
      <c r="N47" s="288">
        <v>114000</v>
      </c>
      <c r="O47" s="288">
        <v>80000</v>
      </c>
      <c r="P47" s="288">
        <v>180000</v>
      </c>
      <c r="Q47" s="288">
        <v>600000</v>
      </c>
      <c r="R47" s="288">
        <v>137000</v>
      </c>
      <c r="S47" s="288">
        <v>235500</v>
      </c>
      <c r="T47" s="288">
        <v>660000</v>
      </c>
      <c r="U47" s="288">
        <f>'previsão de vendas'!X19*'Venda dos celulares'!$C$7</f>
        <v>133230240.00000001</v>
      </c>
      <c r="V47" s="288">
        <f>'previsão de vendas'!Y19*'Venda dos celulares'!$C$7</f>
        <v>266460480.00000003</v>
      </c>
      <c r="W47" s="288">
        <f>'previsão de vendas'!Z19*'Venda dos celulares'!$C$7</f>
        <v>266460480.00000003</v>
      </c>
      <c r="X47" s="288">
        <f>'previsão de vendas'!AA19*'Venda dos celulares'!$C$7</f>
        <v>133230240.00000001</v>
      </c>
      <c r="Y47" s="288">
        <f>'base de dados'!$D$30*('previsão de vendas'!X19)</f>
        <v>2199000</v>
      </c>
      <c r="Z47" s="288">
        <f>'base de dados'!$D$31*('previsão de vendas'!Y19)</f>
        <v>2998000</v>
      </c>
      <c r="AA47" s="288">
        <f>'base de dados'!$D$32*('previsão de vendas'!Z19)</f>
        <v>1998000</v>
      </c>
      <c r="AB47" s="288">
        <f>'base de dados'!$D$33*('previsão de vendas'!AA19)</f>
        <v>599000</v>
      </c>
    </row>
    <row r="48" spans="1:28" ht="15.75">
      <c r="A48" s="289">
        <v>11</v>
      </c>
      <c r="B48" s="342" t="s">
        <v>159</v>
      </c>
      <c r="C48" s="288" t="s">
        <v>188</v>
      </c>
      <c r="D48" s="288">
        <v>0</v>
      </c>
      <c r="E48" s="288">
        <f>armazem!AR16</f>
        <v>539437</v>
      </c>
      <c r="F48" s="288">
        <f>'Custo de infraestrutura'!R15</f>
        <v>150000</v>
      </c>
      <c r="G48" s="288">
        <f>'Custo de infraestrutura'!S15</f>
        <v>12560000</v>
      </c>
      <c r="H48" s="288">
        <f>'Lotes de celulares'!X16*'Compra dos telefones'!$C$6</f>
        <v>44155300</v>
      </c>
      <c r="I48" s="288">
        <f>'Lotes de celulares'!Y16*'Compra dos telefones'!$D$6</f>
        <v>14906840</v>
      </c>
      <c r="J48" s="288">
        <f>'Lotes de celulares'!Z16*'Compra dos telefones'!$E$6</f>
        <v>3848880</v>
      </c>
      <c r="K48" s="288">
        <f>'Lotes de celulares'!AA16*'Compra dos telefones'!$F$6</f>
        <v>0</v>
      </c>
      <c r="L48" s="288">
        <v>0</v>
      </c>
      <c r="M48" s="288">
        <v>0</v>
      </c>
      <c r="N48" s="288">
        <v>0</v>
      </c>
      <c r="O48" s="288">
        <v>0</v>
      </c>
      <c r="P48" s="288">
        <v>0</v>
      </c>
      <c r="Q48" s="288">
        <v>0</v>
      </c>
      <c r="R48" s="288">
        <v>68500</v>
      </c>
      <c r="S48" s="288">
        <v>78500</v>
      </c>
      <c r="T48" s="288">
        <v>165000</v>
      </c>
      <c r="U48" s="288">
        <f>'previsão de vendas'!X20*'Venda dos celulares'!$C$7</f>
        <v>66615120.000000007</v>
      </c>
      <c r="V48" s="288">
        <f>'previsão de vendas'!Y20*'Venda dos celulares'!$C$7</f>
        <v>66615120.000000007</v>
      </c>
      <c r="W48" s="288">
        <f>'previsão de vendas'!Z20*'Venda dos celulares'!$C$7</f>
        <v>66615120.000000007</v>
      </c>
      <c r="X48" s="288">
        <f>'previsão de vendas'!AA20*'Venda dos celulares'!$C$7</f>
        <v>0</v>
      </c>
      <c r="Y48" s="288">
        <f>'base de dados'!$D$30*('previsão de vendas'!X20)</f>
        <v>1099500</v>
      </c>
      <c r="Z48" s="288">
        <f>'base de dados'!$D$31*('previsão de vendas'!Y20)</f>
        <v>749500</v>
      </c>
      <c r="AA48" s="288">
        <f>'base de dados'!$D$32*('previsão de vendas'!Z20)</f>
        <v>499500</v>
      </c>
      <c r="AB48" s="288">
        <f>'base de dados'!$D$33*('previsão de vendas'!AA20)</f>
        <v>0</v>
      </c>
    </row>
    <row r="49" spans="1:28" ht="15.75">
      <c r="A49" s="289">
        <v>12</v>
      </c>
      <c r="B49" s="342" t="s">
        <v>160</v>
      </c>
      <c r="C49" s="288" t="s">
        <v>188</v>
      </c>
      <c r="D49" s="288">
        <v>0</v>
      </c>
      <c r="E49" s="288">
        <f>armazem!AR17</f>
        <v>539437</v>
      </c>
      <c r="F49" s="288">
        <f>'Custo de infraestrutura'!R16</f>
        <v>600000</v>
      </c>
      <c r="G49" s="288">
        <f>'Custo de infraestrutura'!S16</f>
        <v>55264000</v>
      </c>
      <c r="H49" s="288">
        <f>'Lotes de celulares'!X17*'Compra dos telefones'!$C$6</f>
        <v>88310600</v>
      </c>
      <c r="I49" s="288">
        <f>'Lotes de celulares'!Y17*'Compra dos telefones'!$D$6</f>
        <v>59627360</v>
      </c>
      <c r="J49" s="288">
        <f>'Lotes de celulares'!Z17*'Compra dos telefones'!$E$6</f>
        <v>15395520</v>
      </c>
      <c r="K49" s="288">
        <f>'Lotes de celulares'!AA17*'Compra dos telefones'!$F$6</f>
        <v>2681900</v>
      </c>
      <c r="L49" s="288">
        <v>15000</v>
      </c>
      <c r="M49" s="288">
        <v>32000</v>
      </c>
      <c r="N49" s="288">
        <v>133000</v>
      </c>
      <c r="O49" s="288">
        <v>80000</v>
      </c>
      <c r="P49" s="288">
        <v>180000</v>
      </c>
      <c r="Q49" s="288">
        <v>700000</v>
      </c>
      <c r="R49" s="288">
        <v>137000</v>
      </c>
      <c r="S49" s="288">
        <v>235500</v>
      </c>
      <c r="T49" s="288">
        <v>742500</v>
      </c>
      <c r="U49" s="288">
        <f>'previsão de vendas'!X21*'Venda dos celulares'!$C$7</f>
        <v>133230240.00000001</v>
      </c>
      <c r="V49" s="288">
        <f>'previsão de vendas'!Y21*'Venda dos celulares'!$C$7</f>
        <v>266460480.00000003</v>
      </c>
      <c r="W49" s="288">
        <f>'previsão de vendas'!Z21*'Venda dos celulares'!$C$7</f>
        <v>266460480.00000003</v>
      </c>
      <c r="X49" s="288">
        <f>'previsão de vendas'!AA21*'Venda dos celulares'!$C$7</f>
        <v>133230240.00000001</v>
      </c>
      <c r="Y49" s="288">
        <f>'base de dados'!$D$30*('previsão de vendas'!X21)</f>
        <v>2199000</v>
      </c>
      <c r="Z49" s="288">
        <f>'base de dados'!$D$31*('previsão de vendas'!Y21)</f>
        <v>2998000</v>
      </c>
      <c r="AA49" s="288">
        <f>'base de dados'!$D$32*('previsão de vendas'!Z21)</f>
        <v>1998000</v>
      </c>
      <c r="AB49" s="288">
        <f>'base de dados'!$D$33*('previsão de vendas'!AA21)</f>
        <v>599000</v>
      </c>
    </row>
    <row r="50" spans="1:28" ht="15.75">
      <c r="A50" s="289">
        <v>1</v>
      </c>
      <c r="B50" s="342" t="s">
        <v>149</v>
      </c>
      <c r="C50" s="288" t="s">
        <v>148</v>
      </c>
      <c r="D50" s="288">
        <f>80000/2</f>
        <v>40000</v>
      </c>
      <c r="E50" s="288">
        <f>armazem!BC6</f>
        <v>539437</v>
      </c>
      <c r="F50" s="288">
        <f>'Custo de infraestrutura'!W5</f>
        <v>300000</v>
      </c>
      <c r="G50" s="288">
        <f>'Custo de infraestrutura'!X5</f>
        <v>8792000</v>
      </c>
      <c r="H50" s="288">
        <f>'Lotes de celulares'!AE6*'Compra dos telefones'!$C$6</f>
        <v>0</v>
      </c>
      <c r="I50" s="288">
        <f>'Lotes de celulares'!AF6*'Compra dos telefones'!$D$6</f>
        <v>14906840</v>
      </c>
      <c r="J50" s="288">
        <f>'Lotes de celulares'!AG6*'Compra dos telefones'!$E$6</f>
        <v>3848880</v>
      </c>
      <c r="K50" s="288">
        <f>'Lotes de celulares'!AH6*'Compra dos telefones'!$F$6</f>
        <v>1340950</v>
      </c>
      <c r="L50" s="288" cm="1">
        <f t="array" ref="L50:N61">'Custo de equipe'!W13:Y24</f>
        <v>15000</v>
      </c>
      <c r="M50" s="288">
        <v>16000</v>
      </c>
      <c r="N50" s="288">
        <v>19000</v>
      </c>
      <c r="O50" s="288" cm="1">
        <f t="array" ref="O50:Q61">'Custo de equipe'!W31:Y42</f>
        <v>80000</v>
      </c>
      <c r="P50" s="288">
        <v>90000</v>
      </c>
      <c r="Q50" s="288">
        <v>100000</v>
      </c>
      <c r="R50" s="288" cm="1">
        <f t="array" ref="R50:T61">'Custo de equipe'!W48:Y59</f>
        <v>68500</v>
      </c>
      <c r="S50" s="288">
        <v>78500</v>
      </c>
      <c r="T50" s="288">
        <v>82500</v>
      </c>
      <c r="U50" s="288">
        <f>'previsão de vendas'!AE10*'Venda dos celulares'!$C$7</f>
        <v>0</v>
      </c>
      <c r="V50" s="288">
        <f>'previsão de vendas'!AF10*'Venda dos celulares'!$C$7</f>
        <v>66615120.000000007</v>
      </c>
      <c r="W50" s="288">
        <f>'previsão de vendas'!AG10*'Venda dos celulares'!$C$7</f>
        <v>66615120.000000007</v>
      </c>
      <c r="X50" s="288">
        <f>'previsão de vendas'!AH10*'Venda dos celulares'!$C$7</f>
        <v>66615120.000000007</v>
      </c>
      <c r="Y50" s="288">
        <f>'base de dados'!$D$30*('previsão de vendas'!AE10)</f>
        <v>0</v>
      </c>
      <c r="Z50" s="288">
        <f>'base de dados'!$D$31*('previsão de vendas'!AF10)</f>
        <v>749500</v>
      </c>
      <c r="AA50" s="288">
        <f>'base de dados'!$D$32*('previsão de vendas'!AG10)</f>
        <v>499500</v>
      </c>
      <c r="AB50" s="288">
        <f>'base de dados'!$D$33*('previsão de vendas'!AH10)</f>
        <v>299500</v>
      </c>
    </row>
    <row r="51" spans="1:28" ht="15.75">
      <c r="A51" s="289">
        <v>2</v>
      </c>
      <c r="B51" s="342" t="s">
        <v>150</v>
      </c>
      <c r="C51" s="288" t="s">
        <v>148</v>
      </c>
      <c r="D51" s="288">
        <v>0</v>
      </c>
      <c r="E51" s="288">
        <f>armazem!BC7</f>
        <v>539437</v>
      </c>
      <c r="F51" s="288">
        <f>'Custo de infraestrutura'!W6</f>
        <v>300000</v>
      </c>
      <c r="G51" s="288">
        <f>'Custo de infraestrutura'!X6</f>
        <v>25120000</v>
      </c>
      <c r="H51" s="288">
        <f>'Lotes de celulares'!AE7*'Compra dos telefones'!$C$6</f>
        <v>0</v>
      </c>
      <c r="I51" s="288">
        <f>'Lotes de celulares'!AF7*'Compra dos telefones'!$D$6</f>
        <v>14906840</v>
      </c>
      <c r="J51" s="288">
        <f>'Lotes de celulares'!AG7*'Compra dos telefones'!$E$6</f>
        <v>7697760</v>
      </c>
      <c r="K51" s="288">
        <f>'Lotes de celulares'!AH7*'Compra dos telefones'!$F$6</f>
        <v>2681900</v>
      </c>
      <c r="L51" s="288">
        <v>0</v>
      </c>
      <c r="M51" s="288">
        <v>0</v>
      </c>
      <c r="N51" s="288">
        <v>57000</v>
      </c>
      <c r="O51" s="288">
        <v>0</v>
      </c>
      <c r="P51" s="288">
        <v>0</v>
      </c>
      <c r="Q51" s="288">
        <v>400000</v>
      </c>
      <c r="R51" s="288">
        <v>68500</v>
      </c>
      <c r="S51" s="288">
        <v>78500</v>
      </c>
      <c r="T51" s="288">
        <v>330000</v>
      </c>
      <c r="U51" s="288">
        <f>'previsão de vendas'!AE11*'Venda dos celulares'!$C$7</f>
        <v>0</v>
      </c>
      <c r="V51" s="288">
        <f>'previsão de vendas'!AF11*'Venda dos celulares'!$C$7</f>
        <v>66615120.000000007</v>
      </c>
      <c r="W51" s="288">
        <f>'previsão de vendas'!AG11*'Venda dos celulares'!$C$7</f>
        <v>133230240.00000001</v>
      </c>
      <c r="X51" s="288">
        <f>'previsão de vendas'!AH11*'Venda dos celulares'!$C$7</f>
        <v>133230240.00000001</v>
      </c>
      <c r="Y51" s="288">
        <f>'base de dados'!$D$30*('previsão de vendas'!AE11)</f>
        <v>0</v>
      </c>
      <c r="Z51" s="288">
        <f>'base de dados'!$D$31*('previsão de vendas'!AF11)</f>
        <v>749500</v>
      </c>
      <c r="AA51" s="288">
        <f>'base de dados'!$D$32*('previsão de vendas'!AG11)</f>
        <v>999000</v>
      </c>
      <c r="AB51" s="288">
        <f>'base de dados'!$D$33*('previsão de vendas'!AH11)</f>
        <v>599000</v>
      </c>
    </row>
    <row r="52" spans="1:28" ht="15.75">
      <c r="A52" s="289">
        <v>3</v>
      </c>
      <c r="B52" s="342" t="s">
        <v>151</v>
      </c>
      <c r="C52" s="288" t="s">
        <v>148</v>
      </c>
      <c r="D52" s="288">
        <v>0</v>
      </c>
      <c r="E52" s="288">
        <f>armazem!BC8</f>
        <v>539437</v>
      </c>
      <c r="F52" s="288">
        <f>'Custo de infraestrutura'!W7</f>
        <v>150000</v>
      </c>
      <c r="G52" s="288">
        <f>'Custo de infraestrutura'!X7</f>
        <v>2512000</v>
      </c>
      <c r="H52" s="288">
        <f>'Lotes de celulares'!AE8*'Compra dos telefones'!$C$6</f>
        <v>0</v>
      </c>
      <c r="I52" s="288">
        <f>'Lotes de celulares'!AF8*'Compra dos telefones'!$D$6</f>
        <v>0</v>
      </c>
      <c r="J52" s="288">
        <f>'Lotes de celulares'!AG8*'Compra dos telefones'!$E$6</f>
        <v>0</v>
      </c>
      <c r="K52" s="288">
        <f>'Lotes de celulares'!AH8*'Compra dos telefones'!$F$6</f>
        <v>0</v>
      </c>
      <c r="L52" s="288">
        <v>0</v>
      </c>
      <c r="M52" s="288">
        <v>0</v>
      </c>
      <c r="N52" s="288">
        <v>0</v>
      </c>
      <c r="O52" s="288">
        <v>0</v>
      </c>
      <c r="P52" s="288">
        <v>0</v>
      </c>
      <c r="Q52" s="288">
        <v>0</v>
      </c>
      <c r="R52" s="288">
        <v>68500</v>
      </c>
      <c r="S52" s="288">
        <v>78500</v>
      </c>
      <c r="T52" s="288">
        <v>0</v>
      </c>
      <c r="U52" s="288">
        <f>'previsão de vendas'!AE12*'Venda dos celulares'!$C$7</f>
        <v>0</v>
      </c>
      <c r="V52" s="288">
        <f>'previsão de vendas'!AF12*'Venda dos celulares'!$C$7</f>
        <v>0</v>
      </c>
      <c r="W52" s="288">
        <f>'previsão de vendas'!AG12*'Venda dos celulares'!$C$7</f>
        <v>0</v>
      </c>
      <c r="X52" s="288">
        <f>'previsão de vendas'!AH12*'Venda dos celulares'!$C$7</f>
        <v>0</v>
      </c>
      <c r="Y52" s="288">
        <f>'base de dados'!$D$30*('previsão de vendas'!AE12)</f>
        <v>0</v>
      </c>
      <c r="Z52" s="288">
        <f>'base de dados'!$D$31*('previsão de vendas'!AF12)</f>
        <v>0</v>
      </c>
      <c r="AA52" s="288">
        <f>'base de dados'!$D$32*('previsão de vendas'!AG12)</f>
        <v>0</v>
      </c>
      <c r="AB52" s="288">
        <f>'base de dados'!$D$33*('previsão de vendas'!AH12)</f>
        <v>0</v>
      </c>
    </row>
    <row r="53" spans="1:28" ht="15.75">
      <c r="A53" s="289">
        <v>4</v>
      </c>
      <c r="B53" s="342" t="s">
        <v>152</v>
      </c>
      <c r="C53" s="288" t="s">
        <v>148</v>
      </c>
      <c r="D53" s="288">
        <v>0</v>
      </c>
      <c r="E53" s="288">
        <f>armazem!BC9</f>
        <v>539437</v>
      </c>
      <c r="F53" s="288">
        <f>'Custo de infraestrutura'!W8</f>
        <v>450000</v>
      </c>
      <c r="G53" s="288">
        <f>'Custo de infraestrutura'!X8</f>
        <v>36424000</v>
      </c>
      <c r="H53" s="288">
        <f>'Lotes de celulares'!AE9*'Compra dos telefones'!$C$6</f>
        <v>44155300</v>
      </c>
      <c r="I53" s="288">
        <f>'Lotes de celulares'!AF9*'Compra dos telefones'!$D$6</f>
        <v>29813680</v>
      </c>
      <c r="J53" s="288">
        <f>'Lotes de celulares'!AG9*'Compra dos telefones'!$E$6</f>
        <v>11546640</v>
      </c>
      <c r="K53" s="288">
        <f>'Lotes de celulares'!AH9*'Compra dos telefones'!$F$6</f>
        <v>4022850</v>
      </c>
      <c r="L53" s="288">
        <v>0</v>
      </c>
      <c r="M53" s="288">
        <v>16000</v>
      </c>
      <c r="N53" s="288">
        <v>114000</v>
      </c>
      <c r="O53" s="288">
        <v>0</v>
      </c>
      <c r="P53" s="288">
        <v>180000</v>
      </c>
      <c r="Q53" s="288">
        <v>600000</v>
      </c>
      <c r="R53" s="288">
        <v>68500</v>
      </c>
      <c r="S53" s="288">
        <v>157000</v>
      </c>
      <c r="T53" s="288">
        <v>495000</v>
      </c>
      <c r="U53" s="288">
        <f>'previsão de vendas'!AE13*'Venda dos celulares'!$C$7</f>
        <v>66615120.000000007</v>
      </c>
      <c r="V53" s="288">
        <f>'previsão de vendas'!AF13*'Venda dos celulares'!$C$7</f>
        <v>133230240.00000001</v>
      </c>
      <c r="W53" s="288">
        <f>'previsão de vendas'!AG13*'Venda dos celulares'!$C$7</f>
        <v>199845360.00000003</v>
      </c>
      <c r="X53" s="288">
        <f>'previsão de vendas'!AH13*'Venda dos celulares'!$C$7</f>
        <v>199845360.00000003</v>
      </c>
      <c r="Y53" s="288">
        <f>'base de dados'!$D$30*('previsão de vendas'!AE13)</f>
        <v>1099500</v>
      </c>
      <c r="Z53" s="288">
        <f>'base de dados'!$D$31*('previsão de vendas'!AF13)</f>
        <v>1499000</v>
      </c>
      <c r="AA53" s="288">
        <f>'base de dados'!$D$32*('previsão de vendas'!AG13)</f>
        <v>1498500</v>
      </c>
      <c r="AB53" s="288">
        <f>'base de dados'!$D$33*('previsão de vendas'!AH13)</f>
        <v>898500</v>
      </c>
    </row>
    <row r="54" spans="1:28" ht="15.75">
      <c r="A54" s="289">
        <v>5</v>
      </c>
      <c r="B54" s="342" t="s">
        <v>153</v>
      </c>
      <c r="C54" s="288" t="s">
        <v>148</v>
      </c>
      <c r="D54" s="288">
        <v>0</v>
      </c>
      <c r="E54" s="288">
        <f>armazem!BC10</f>
        <v>539437</v>
      </c>
      <c r="F54" s="288">
        <f>'Custo de infraestrutura'!W9</f>
        <v>300000</v>
      </c>
      <c r="G54" s="288">
        <f>'Custo de infraestrutura'!X9</f>
        <v>17584000</v>
      </c>
      <c r="H54" s="288">
        <f>'Lotes de celulares'!AE10*'Compra dos telefones'!$C$6</f>
        <v>0</v>
      </c>
      <c r="I54" s="288">
        <f>'Lotes de celulares'!AF10*'Compra dos telefones'!$D$6</f>
        <v>14906840</v>
      </c>
      <c r="J54" s="288">
        <f>'Lotes de celulares'!AG10*'Compra dos telefones'!$E$6</f>
        <v>3848880</v>
      </c>
      <c r="K54" s="288">
        <f>'Lotes de celulares'!AH10*'Compra dos telefones'!$F$6</f>
        <v>1340950</v>
      </c>
      <c r="L54" s="288">
        <v>0</v>
      </c>
      <c r="M54" s="288">
        <v>0</v>
      </c>
      <c r="N54" s="288">
        <v>0</v>
      </c>
      <c r="O54" s="288">
        <v>0</v>
      </c>
      <c r="P54" s="288">
        <v>0</v>
      </c>
      <c r="Q54" s="288">
        <v>0</v>
      </c>
      <c r="R54" s="288">
        <v>68500</v>
      </c>
      <c r="S54" s="288">
        <v>78500</v>
      </c>
      <c r="T54" s="288">
        <v>247500</v>
      </c>
      <c r="U54" s="288">
        <f>'previsão de vendas'!AE14*'Venda dos celulares'!$C$7</f>
        <v>0</v>
      </c>
      <c r="V54" s="288">
        <f>'previsão de vendas'!AF14*'Venda dos celulares'!$C$7</f>
        <v>66615120.000000007</v>
      </c>
      <c r="W54" s="288">
        <f>'previsão de vendas'!AG14*'Venda dos celulares'!$C$7</f>
        <v>66615120.000000007</v>
      </c>
      <c r="X54" s="288">
        <f>'previsão de vendas'!AH14*'Venda dos celulares'!$C$7</f>
        <v>66615120.000000007</v>
      </c>
      <c r="Y54" s="288">
        <f>'base de dados'!$D$30*('previsão de vendas'!AE14)</f>
        <v>0</v>
      </c>
      <c r="Z54" s="288">
        <f>'base de dados'!$D$31*('previsão de vendas'!AF14)</f>
        <v>749500</v>
      </c>
      <c r="AA54" s="288">
        <f>'base de dados'!$D$32*('previsão de vendas'!AG14)</f>
        <v>499500</v>
      </c>
      <c r="AB54" s="288">
        <f>'base de dados'!$D$33*('previsão de vendas'!AH14)</f>
        <v>299500</v>
      </c>
    </row>
    <row r="55" spans="1:28" ht="15.75">
      <c r="A55" s="289">
        <v>6</v>
      </c>
      <c r="B55" s="342" t="s">
        <v>154</v>
      </c>
      <c r="C55" s="288" t="s">
        <v>148</v>
      </c>
      <c r="D55" s="288">
        <v>0</v>
      </c>
      <c r="E55" s="288">
        <f>armazem!BC11</f>
        <v>539437</v>
      </c>
      <c r="F55" s="288">
        <f>'Custo de infraestrutura'!W10</f>
        <v>450000</v>
      </c>
      <c r="G55" s="288">
        <f>'Custo de infraestrutura'!X10</f>
        <v>28888000</v>
      </c>
      <c r="H55" s="288">
        <f>'Lotes de celulares'!AE11*'Compra dos telefones'!$C$6</f>
        <v>44155300</v>
      </c>
      <c r="I55" s="288">
        <f>'Lotes de celulares'!AF11*'Compra dos telefones'!$D$6</f>
        <v>14906840</v>
      </c>
      <c r="J55" s="288">
        <f>'Lotes de celulares'!AG11*'Compra dos telefones'!$E$6</f>
        <v>7697760</v>
      </c>
      <c r="K55" s="288">
        <f>'Lotes de celulares'!AH11*'Compra dos telefones'!$F$6</f>
        <v>2681900</v>
      </c>
      <c r="L55" s="288">
        <v>0</v>
      </c>
      <c r="M55" s="288">
        <v>16000</v>
      </c>
      <c r="N55" s="288">
        <v>38000</v>
      </c>
      <c r="O55" s="288">
        <v>0</v>
      </c>
      <c r="P55" s="288">
        <v>180000</v>
      </c>
      <c r="Q55" s="288">
        <v>500000</v>
      </c>
      <c r="R55" s="288">
        <v>68500</v>
      </c>
      <c r="S55" s="288">
        <v>157000</v>
      </c>
      <c r="T55" s="288">
        <v>412500</v>
      </c>
      <c r="U55" s="288">
        <f>'previsão de vendas'!AE15*'Venda dos celulares'!$C$7</f>
        <v>66615120.000000007</v>
      </c>
      <c r="V55" s="288">
        <f>'previsão de vendas'!AF15*'Venda dos celulares'!$C$7</f>
        <v>66615120.000000007</v>
      </c>
      <c r="W55" s="288">
        <f>'previsão de vendas'!AG15*'Venda dos celulares'!$C$7</f>
        <v>133230240.00000001</v>
      </c>
      <c r="X55" s="288">
        <f>'previsão de vendas'!AH15*'Venda dos celulares'!$C$7</f>
        <v>133230240.00000001</v>
      </c>
      <c r="Y55" s="288">
        <f>'base de dados'!$D$30*('previsão de vendas'!AE15)</f>
        <v>1099500</v>
      </c>
      <c r="Z55" s="288">
        <f>'base de dados'!$D$31*('previsão de vendas'!AF15)</f>
        <v>749500</v>
      </c>
      <c r="AA55" s="288">
        <f>'base de dados'!$D$32*('previsão de vendas'!AG15)</f>
        <v>999000</v>
      </c>
      <c r="AB55" s="288">
        <f>'base de dados'!$D$33*('previsão de vendas'!AH15)</f>
        <v>599000</v>
      </c>
    </row>
    <row r="56" spans="1:28" ht="15.75">
      <c r="A56" s="289">
        <v>7</v>
      </c>
      <c r="B56" s="342" t="s">
        <v>155</v>
      </c>
      <c r="C56" s="288" t="s">
        <v>148</v>
      </c>
      <c r="D56" s="288">
        <v>0</v>
      </c>
      <c r="E56" s="288">
        <f>armazem!BC12</f>
        <v>539437</v>
      </c>
      <c r="F56" s="288">
        <f>'Custo de infraestrutura'!W11</f>
        <v>450000</v>
      </c>
      <c r="G56" s="288">
        <f>'Custo de infraestrutura'!X11</f>
        <v>37680000</v>
      </c>
      <c r="H56" s="288">
        <f>'Lotes de celulares'!AE12*'Compra dos telefones'!$C$6</f>
        <v>44155300</v>
      </c>
      <c r="I56" s="288">
        <f>'Lotes de celulares'!AF12*'Compra dos telefones'!$D$6</f>
        <v>29813680</v>
      </c>
      <c r="J56" s="288">
        <f>'Lotes de celulares'!AG12*'Compra dos telefones'!$E$6</f>
        <v>11546640</v>
      </c>
      <c r="K56" s="288">
        <f>'Lotes de celulares'!AH12*'Compra dos telefones'!$F$6</f>
        <v>4022850</v>
      </c>
      <c r="L56" s="288">
        <v>0</v>
      </c>
      <c r="M56" s="288">
        <v>0</v>
      </c>
      <c r="N56" s="288">
        <v>19000</v>
      </c>
      <c r="O56" s="288">
        <v>0</v>
      </c>
      <c r="P56" s="288">
        <v>0</v>
      </c>
      <c r="Q56" s="288">
        <v>600000</v>
      </c>
      <c r="R56" s="288">
        <v>68500</v>
      </c>
      <c r="S56" s="288">
        <v>157000</v>
      </c>
      <c r="T56" s="288">
        <v>495000</v>
      </c>
      <c r="U56" s="288">
        <f>'previsão de vendas'!AE16*'Venda dos celulares'!$C$7</f>
        <v>66615120.000000007</v>
      </c>
      <c r="V56" s="288">
        <f>'previsão de vendas'!AF16*'Venda dos celulares'!$C$7</f>
        <v>133230240.00000001</v>
      </c>
      <c r="W56" s="288">
        <f>'previsão de vendas'!AG16*'Venda dos celulares'!$C$7</f>
        <v>199845360.00000003</v>
      </c>
      <c r="X56" s="288">
        <f>'previsão de vendas'!AH16*'Venda dos celulares'!$C$7</f>
        <v>199845360.00000003</v>
      </c>
      <c r="Y56" s="288">
        <f>'base de dados'!$D$30*('previsão de vendas'!AE16)</f>
        <v>1099500</v>
      </c>
      <c r="Z56" s="288">
        <f>'base de dados'!$D$31*('previsão de vendas'!AF16)</f>
        <v>1499000</v>
      </c>
      <c r="AA56" s="288">
        <f>'base de dados'!$D$32*('previsão de vendas'!AG16)</f>
        <v>1498500</v>
      </c>
      <c r="AB56" s="288">
        <f>'base de dados'!$D$33*('previsão de vendas'!AH16)</f>
        <v>898500</v>
      </c>
    </row>
    <row r="57" spans="1:28" ht="15.75">
      <c r="A57" s="289">
        <v>8</v>
      </c>
      <c r="B57" s="342" t="s">
        <v>156</v>
      </c>
      <c r="C57" s="288" t="s">
        <v>148</v>
      </c>
      <c r="D57" s="288">
        <v>0</v>
      </c>
      <c r="E57" s="288">
        <f>armazem!BC13</f>
        <v>539437</v>
      </c>
      <c r="F57" s="288">
        <f>'Custo de infraestrutura'!W12</f>
        <v>300000</v>
      </c>
      <c r="G57" s="288">
        <f>'Custo de infraestrutura'!X12</f>
        <v>26376000</v>
      </c>
      <c r="H57" s="288">
        <f>'Lotes de celulares'!AE13*'Compra dos telefones'!$C$6</f>
        <v>44155300</v>
      </c>
      <c r="I57" s="288">
        <f>'Lotes de celulares'!AF13*'Compra dos telefones'!$D$6</f>
        <v>14906840</v>
      </c>
      <c r="J57" s="288">
        <f>'Lotes de celulares'!AG13*'Compra dos telefones'!$E$6</f>
        <v>7697760</v>
      </c>
      <c r="K57" s="288">
        <f>'Lotes de celulares'!AH13*'Compra dos telefones'!$F$6</f>
        <v>2681900</v>
      </c>
      <c r="L57" s="288">
        <v>0</v>
      </c>
      <c r="M57" s="288">
        <v>0</v>
      </c>
      <c r="N57" s="288">
        <v>0</v>
      </c>
      <c r="O57" s="288">
        <v>0</v>
      </c>
      <c r="P57" s="288">
        <v>0</v>
      </c>
      <c r="Q57" s="288">
        <v>0</v>
      </c>
      <c r="R57" s="288">
        <v>68500</v>
      </c>
      <c r="S57" s="288">
        <v>157000</v>
      </c>
      <c r="T57" s="288">
        <v>330000</v>
      </c>
      <c r="U57" s="288">
        <f>'previsão de vendas'!AE17*'Venda dos celulares'!$C$7</f>
        <v>66615120.000000007</v>
      </c>
      <c r="V57" s="288">
        <f>'previsão de vendas'!AF17*'Venda dos celulares'!$C$7</f>
        <v>66615120.000000007</v>
      </c>
      <c r="W57" s="288">
        <f>'previsão de vendas'!AG17*'Venda dos celulares'!$C$7</f>
        <v>133230240.00000001</v>
      </c>
      <c r="X57" s="288">
        <f>'previsão de vendas'!AH17*'Venda dos celulares'!$C$7</f>
        <v>133230240.00000001</v>
      </c>
      <c r="Y57" s="288">
        <f>'base de dados'!$D$30*('previsão de vendas'!AE17)</f>
        <v>1099500</v>
      </c>
      <c r="Z57" s="288">
        <f>'base de dados'!$D$31*('previsão de vendas'!AF17)</f>
        <v>749500</v>
      </c>
      <c r="AA57" s="288">
        <f>'base de dados'!$D$32*('previsão de vendas'!AG17)</f>
        <v>999000</v>
      </c>
      <c r="AB57" s="288">
        <f>'base de dados'!$D$33*('previsão de vendas'!AH17)</f>
        <v>599000</v>
      </c>
    </row>
    <row r="58" spans="1:28" ht="15.75">
      <c r="A58" s="289">
        <v>9</v>
      </c>
      <c r="B58" s="342" t="s">
        <v>157</v>
      </c>
      <c r="C58" s="288" t="s">
        <v>148</v>
      </c>
      <c r="D58" s="288">
        <v>0</v>
      </c>
      <c r="E58" s="288">
        <f>armazem!BC14</f>
        <v>539437</v>
      </c>
      <c r="F58" s="288">
        <f>'Custo de infraestrutura'!W13</f>
        <v>150000</v>
      </c>
      <c r="G58" s="288">
        <f>'Custo de infraestrutura'!X13</f>
        <v>7536000</v>
      </c>
      <c r="H58" s="288">
        <f>'Lotes de celulares'!AE14*'Compra dos telefones'!$C$6</f>
        <v>0</v>
      </c>
      <c r="I58" s="288">
        <f>'Lotes de celulares'!AF14*'Compra dos telefones'!$D$6</f>
        <v>0</v>
      </c>
      <c r="J58" s="288">
        <f>'Lotes de celulares'!AG14*'Compra dos telefones'!$E$6</f>
        <v>3848880</v>
      </c>
      <c r="K58" s="288">
        <f>'Lotes de celulares'!AH14*'Compra dos telefones'!$F$6</f>
        <v>1340950</v>
      </c>
      <c r="L58" s="288">
        <v>0</v>
      </c>
      <c r="M58" s="288">
        <v>0</v>
      </c>
      <c r="N58" s="288">
        <v>0</v>
      </c>
      <c r="O58" s="288">
        <v>0</v>
      </c>
      <c r="P58" s="288">
        <v>0</v>
      </c>
      <c r="Q58" s="288">
        <v>0</v>
      </c>
      <c r="R58" s="288">
        <v>68500</v>
      </c>
      <c r="S58" s="288">
        <v>78500</v>
      </c>
      <c r="T58" s="288">
        <v>82500</v>
      </c>
      <c r="U58" s="288">
        <f>'previsão de vendas'!AE18*'Venda dos celulares'!$C$7</f>
        <v>0</v>
      </c>
      <c r="V58" s="288">
        <f>'previsão de vendas'!AF18*'Venda dos celulares'!$C$7</f>
        <v>0</v>
      </c>
      <c r="W58" s="288">
        <f>'previsão de vendas'!AG18*'Venda dos celulares'!$C$7</f>
        <v>66615120.000000007</v>
      </c>
      <c r="X58" s="288">
        <f>'previsão de vendas'!AH18*'Venda dos celulares'!$C$7</f>
        <v>66615120.000000007</v>
      </c>
      <c r="Y58" s="288">
        <f>'base de dados'!$D$30*('previsão de vendas'!AE18)</f>
        <v>0</v>
      </c>
      <c r="Z58" s="288">
        <f>'base de dados'!$D$31*('previsão de vendas'!AF18)</f>
        <v>0</v>
      </c>
      <c r="AA58" s="288">
        <f>'base de dados'!$D$32*('previsão de vendas'!AG18)</f>
        <v>499500</v>
      </c>
      <c r="AB58" s="288">
        <f>'base de dados'!$D$33*('previsão de vendas'!AH18)</f>
        <v>299500</v>
      </c>
    </row>
    <row r="59" spans="1:28" ht="15.75">
      <c r="A59" s="289">
        <v>10</v>
      </c>
      <c r="B59" s="342" t="s">
        <v>158</v>
      </c>
      <c r="C59" s="288" t="s">
        <v>148</v>
      </c>
      <c r="D59" s="288">
        <v>0</v>
      </c>
      <c r="E59" s="288">
        <f>armazem!BC15</f>
        <v>539437</v>
      </c>
      <c r="F59" s="288">
        <f>'Custo de infraestrutura'!W14</f>
        <v>600000</v>
      </c>
      <c r="G59" s="288">
        <f>'Custo de infraestrutura'!X14</f>
        <v>42704000</v>
      </c>
      <c r="H59" s="288">
        <f>'Lotes de celulares'!AE15*'Compra dos telefones'!$C$6</f>
        <v>44155300</v>
      </c>
      <c r="I59" s="288">
        <f>'Lotes de celulares'!AF15*'Compra dos telefones'!$D$6</f>
        <v>29813680</v>
      </c>
      <c r="J59" s="288">
        <f>'Lotes de celulares'!AG15*'Compra dos telefones'!$E$6</f>
        <v>11546640</v>
      </c>
      <c r="K59" s="288">
        <f>'Lotes de celulares'!AH15*'Compra dos telefones'!$F$6</f>
        <v>4022850</v>
      </c>
      <c r="L59" s="288">
        <v>0</v>
      </c>
      <c r="M59" s="288">
        <v>16000</v>
      </c>
      <c r="N59" s="288">
        <v>114000</v>
      </c>
      <c r="O59" s="288">
        <v>0</v>
      </c>
      <c r="P59" s="288">
        <v>180000</v>
      </c>
      <c r="Q59" s="288">
        <v>700000</v>
      </c>
      <c r="R59" s="288">
        <v>68500</v>
      </c>
      <c r="S59" s="288">
        <v>157000</v>
      </c>
      <c r="T59" s="288">
        <v>577500</v>
      </c>
      <c r="U59" s="288">
        <f>'previsão de vendas'!AE19*'Venda dos celulares'!$C$7</f>
        <v>66615120.000000007</v>
      </c>
      <c r="V59" s="288">
        <f>'previsão de vendas'!AF19*'Venda dos celulares'!$C$7</f>
        <v>133230240.00000001</v>
      </c>
      <c r="W59" s="288">
        <f>'previsão de vendas'!AG19*'Venda dos celulares'!$C$7</f>
        <v>199845360.00000003</v>
      </c>
      <c r="X59" s="288">
        <f>'previsão de vendas'!AH19*'Venda dos celulares'!$C$7</f>
        <v>199845360.00000003</v>
      </c>
      <c r="Y59" s="288">
        <f>'base de dados'!$D$30*('previsão de vendas'!AE19)</f>
        <v>1099500</v>
      </c>
      <c r="Z59" s="288">
        <f>'base de dados'!$D$31*('previsão de vendas'!AF19)</f>
        <v>1499000</v>
      </c>
      <c r="AA59" s="288">
        <f>'base de dados'!$D$32*('previsão de vendas'!AG19)</f>
        <v>1498500</v>
      </c>
      <c r="AB59" s="288">
        <f>'base de dados'!$D$33*('previsão de vendas'!AH19)</f>
        <v>898500</v>
      </c>
    </row>
    <row r="60" spans="1:28" ht="15.75">
      <c r="A60" s="289">
        <v>11</v>
      </c>
      <c r="B60" s="342" t="s">
        <v>159</v>
      </c>
      <c r="C60" s="288" t="s">
        <v>148</v>
      </c>
      <c r="D60" s="288">
        <v>0</v>
      </c>
      <c r="E60" s="288">
        <f>armazem!BC16</f>
        <v>539437</v>
      </c>
      <c r="F60" s="288">
        <f>'Custo de infraestrutura'!W15</f>
        <v>150000</v>
      </c>
      <c r="G60" s="288">
        <f>'Custo de infraestrutura'!X15</f>
        <v>11304000</v>
      </c>
      <c r="H60" s="288">
        <f>'Lotes de celulares'!AE16*'Compra dos telefones'!$C$6</f>
        <v>0</v>
      </c>
      <c r="I60" s="288">
        <f>'Lotes de celulares'!AF16*'Compra dos telefones'!$D$6</f>
        <v>0</v>
      </c>
      <c r="J60" s="288">
        <f>'Lotes de celulares'!AG16*'Compra dos telefones'!$E$6</f>
        <v>3848880</v>
      </c>
      <c r="K60" s="288">
        <f>'Lotes de celulares'!AH16*'Compra dos telefones'!$F$6</f>
        <v>1340950</v>
      </c>
      <c r="L60" s="288">
        <v>0</v>
      </c>
      <c r="M60" s="288">
        <v>0</v>
      </c>
      <c r="N60" s="288">
        <v>0</v>
      </c>
      <c r="O60" s="288">
        <v>0</v>
      </c>
      <c r="P60" s="288">
        <v>0</v>
      </c>
      <c r="Q60" s="288">
        <v>0</v>
      </c>
      <c r="R60" s="288">
        <v>68500</v>
      </c>
      <c r="S60" s="288">
        <v>78500</v>
      </c>
      <c r="T60" s="288">
        <v>165000</v>
      </c>
      <c r="U60" s="288">
        <f>'previsão de vendas'!AE20*'Venda dos celulares'!$C$7</f>
        <v>0</v>
      </c>
      <c r="V60" s="288">
        <f>'previsão de vendas'!AF20*'Venda dos celulares'!$C$7</f>
        <v>0</v>
      </c>
      <c r="W60" s="288">
        <f>'previsão de vendas'!AG20*'Venda dos celulares'!$C$7</f>
        <v>66615120.000000007</v>
      </c>
      <c r="X60" s="288">
        <f>'previsão de vendas'!AH20*'Venda dos celulares'!$C$7</f>
        <v>66615120.000000007</v>
      </c>
      <c r="Y60" s="288">
        <f>'base de dados'!$D$30*('previsão de vendas'!AE20)</f>
        <v>0</v>
      </c>
      <c r="Z60" s="288">
        <f>'base de dados'!$D$31*('previsão de vendas'!AF20)</f>
        <v>0</v>
      </c>
      <c r="AA60" s="288">
        <f>'base de dados'!$D$32*('previsão de vendas'!AG20)</f>
        <v>499500</v>
      </c>
      <c r="AB60" s="288">
        <f>'base de dados'!$D$33*('previsão de vendas'!AH20)</f>
        <v>299500</v>
      </c>
    </row>
    <row r="61" spans="1:28" ht="15.75">
      <c r="A61" s="289">
        <v>12</v>
      </c>
      <c r="B61" s="342" t="s">
        <v>160</v>
      </c>
      <c r="C61" s="288" t="s">
        <v>148</v>
      </c>
      <c r="D61" s="288">
        <v>0</v>
      </c>
      <c r="E61" s="288">
        <f>armazem!BC17</f>
        <v>539437</v>
      </c>
      <c r="F61" s="288">
        <f>'Custo de infraestrutura'!W16</f>
        <v>600000</v>
      </c>
      <c r="G61" s="288">
        <f>'Custo de infraestrutura'!X16</f>
        <v>48984000</v>
      </c>
      <c r="H61" s="288">
        <f>'Lotes de celulares'!AE17*'Compra dos telefones'!$C$6</f>
        <v>44155300</v>
      </c>
      <c r="I61" s="288">
        <f>'Lotes de celulares'!AF17*'Compra dos telefones'!$D$6</f>
        <v>29813680</v>
      </c>
      <c r="J61" s="288">
        <f>'Lotes de celulares'!AG17*'Compra dos telefones'!$E$6</f>
        <v>15395520</v>
      </c>
      <c r="K61" s="288">
        <f>'Lotes de celulares'!AH17*'Compra dos telefones'!$F$6</f>
        <v>5363800</v>
      </c>
      <c r="L61" s="288">
        <v>15000</v>
      </c>
      <c r="M61" s="288">
        <v>32000</v>
      </c>
      <c r="N61" s="288">
        <v>114000</v>
      </c>
      <c r="O61" s="288">
        <v>160000</v>
      </c>
      <c r="P61" s="288">
        <v>270000</v>
      </c>
      <c r="Q61" s="288">
        <v>800000</v>
      </c>
      <c r="R61" s="288">
        <v>137000</v>
      </c>
      <c r="S61" s="288">
        <v>235500</v>
      </c>
      <c r="T61" s="288">
        <v>660000</v>
      </c>
      <c r="U61" s="288">
        <f>'previsão de vendas'!AE21*'Venda dos celulares'!$C$7</f>
        <v>66615120.000000007</v>
      </c>
      <c r="V61" s="288">
        <f>'previsão de vendas'!AF21*'Venda dos celulares'!$C$7</f>
        <v>133230240.00000001</v>
      </c>
      <c r="W61" s="288">
        <f>'previsão de vendas'!AG21*'Venda dos celulares'!$C$7</f>
        <v>266460480.00000003</v>
      </c>
      <c r="X61" s="288">
        <f>'previsão de vendas'!AH21*'Venda dos celulares'!$C$7</f>
        <v>266460480.00000003</v>
      </c>
      <c r="Y61" s="288">
        <f>'base de dados'!$D$30*('previsão de vendas'!AE21)</f>
        <v>1099500</v>
      </c>
      <c r="Z61" s="288">
        <f>'base de dados'!$D$31*('previsão de vendas'!AF21)</f>
        <v>1499000</v>
      </c>
      <c r="AA61" s="288">
        <f>'base de dados'!$D$32*('previsão de vendas'!AG21)</f>
        <v>1998000</v>
      </c>
      <c r="AB61" s="288">
        <f>'base de dados'!$D$33*('previsão de vendas'!AH21)</f>
        <v>1198000</v>
      </c>
    </row>
    <row r="62" spans="1:28">
      <c r="B62" s="344"/>
      <c r="C62" s="345"/>
      <c r="D62" s="346"/>
      <c r="E62" s="346"/>
      <c r="F62" s="346"/>
      <c r="G62" s="346"/>
      <c r="H62" s="288"/>
      <c r="I62" s="288"/>
      <c r="J62" s="288"/>
      <c r="K62" s="288"/>
      <c r="L62" s="346"/>
      <c r="M62" s="346"/>
      <c r="N62" s="346"/>
      <c r="O62" s="346"/>
      <c r="P62" s="346"/>
      <c r="Q62" s="346"/>
      <c r="R62" s="346"/>
      <c r="S62" s="346"/>
      <c r="T62" s="346"/>
      <c r="U62" s="442"/>
      <c r="V62" s="346"/>
      <c r="W62" s="346"/>
      <c r="X62" s="346"/>
      <c r="Y62" s="3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PIMENTA MACHADO</cp:lastModifiedBy>
  <cp:revision/>
  <dcterms:created xsi:type="dcterms:W3CDTF">2025-05-21T18:26:12Z</dcterms:created>
  <dcterms:modified xsi:type="dcterms:W3CDTF">2025-06-11T14:29:49Z</dcterms:modified>
  <cp:category/>
  <cp:contentStatus/>
</cp:coreProperties>
</file>