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Workbook______________" hidePivotFieldList="1" defaultThemeVersion="166925"/>
  <mc:AlternateContent xmlns:mc="http://schemas.openxmlformats.org/markup-compatibility/2006">
    <mc:Choice Requires="x15">
      <x15ac:absPath xmlns:x15ac="http://schemas.microsoft.com/office/spreadsheetml/2010/11/ac" url="C:\Users\liran\Documents\Day Trading Analysis\Day-Trading-Analysis-main\"/>
    </mc:Choice>
  </mc:AlternateContent>
  <xr:revisionPtr revIDLastSave="0" documentId="13_ncr:1_{1C7360E3-10A9-4CCB-9179-DEC4F50357E0}" xr6:coauthVersionLast="46" xr6:coauthVersionMax="46" xr10:uidLastSave="{00000000-0000-0000-0000-000000000000}"/>
  <bookViews>
    <workbookView xWindow="-98" yWindow="-98" windowWidth="20715" windowHeight="13276" tabRatio="598" activeTab="1" xr2:uid="{8BEF30E9-C34B-4533-9FA8-36C545EB6E37}"/>
  </bookViews>
  <sheets>
    <sheet name="Overview" sheetId="3" r:id="rId1"/>
    <sheet name="TABLE1" sheetId="1" r:id="rId2"/>
    <sheet name="table2" sheetId="6" r:id="rId3"/>
    <sheet name="Pivot Table" sheetId="4" r:id="rId4"/>
    <sheet name="גיליון1" sheetId="7" r:id="rId5"/>
    <sheet name="גיליון2" sheetId="8" r:id="rId6"/>
    <sheet name="Notes" sheetId="2" r:id="rId7"/>
    <sheet name="lvl 2 Notes" sheetId="5" state="hidden" r:id="rId8"/>
  </sheets>
  <externalReferences>
    <externalReference r:id="rId9"/>
  </externalReferences>
  <definedNames>
    <definedName name="_xlcn.WorksheetConnection_Livedaytrading4.xlsxTABLE11" hidden="1">TABLE1[]</definedName>
    <definedName name="_xlcn.WorksheetConnection_Livedaytrading4.xlsxtable21" hidden="1">table2[]</definedName>
    <definedName name="TABLE">TABLE1[#All]</definedName>
  </definedNames>
  <calcPr calcId="191029"/>
  <pivotCaches>
    <pivotCache cacheId="0" r:id="rId10"/>
    <pivotCache cacheId="1" r:id="rId11"/>
    <pivotCache cacheId="2"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Live day trading 4.xlsx!table2"/>
          <x15:modelTable id="TABLE1" name="TABLE1" connection="WorksheetConnection_Live day trading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2" i="1" l="1"/>
  <c r="BH3" i="1"/>
  <c r="BJ3" i="1" s="1"/>
  <c r="BH4" i="1"/>
  <c r="BJ4" i="1" s="1"/>
  <c r="BH5" i="1"/>
  <c r="BJ5" i="1" s="1"/>
  <c r="BH6" i="1"/>
  <c r="BJ6" i="1" s="1"/>
  <c r="BH7" i="1"/>
  <c r="BH8" i="1"/>
  <c r="BH9" i="1"/>
  <c r="BH11" i="1"/>
  <c r="BH12" i="1"/>
  <c r="BJ12" i="1" s="1"/>
  <c r="BH13" i="1"/>
  <c r="BH14" i="1"/>
  <c r="BH16" i="1"/>
  <c r="BH17" i="1"/>
  <c r="BH19" i="1"/>
  <c r="BH20" i="1"/>
  <c r="BJ20" i="1" s="1"/>
  <c r="BH22" i="1"/>
  <c r="BJ22" i="1" s="1"/>
  <c r="BH23" i="1"/>
  <c r="BH24" i="1"/>
  <c r="BJ24" i="1" s="1"/>
  <c r="BH25" i="1"/>
  <c r="BH29" i="1"/>
  <c r="BH30" i="1"/>
  <c r="BH31" i="1"/>
  <c r="BH32" i="1"/>
  <c r="BJ32" i="1" s="1"/>
  <c r="BH34" i="1"/>
  <c r="BH36" i="1"/>
  <c r="BJ36" i="1" s="1"/>
  <c r="BH38" i="1"/>
  <c r="BH39" i="1"/>
  <c r="BH40" i="1"/>
  <c r="BH41" i="1"/>
  <c r="BH43" i="1"/>
  <c r="BJ43" i="1" s="1"/>
  <c r="BH44" i="1"/>
  <c r="BH46" i="1"/>
  <c r="BH47" i="1"/>
  <c r="BJ47" i="1" s="1"/>
  <c r="BH49" i="1"/>
  <c r="BH50" i="1"/>
  <c r="BH51" i="1"/>
  <c r="BH52" i="1"/>
  <c r="BH53" i="1"/>
  <c r="BH54" i="1"/>
  <c r="BH55" i="1"/>
  <c r="BH56" i="1"/>
  <c r="BH57" i="1"/>
  <c r="BH58" i="1"/>
  <c r="BH59" i="1"/>
  <c r="BH60" i="1"/>
  <c r="BH61" i="1"/>
  <c r="BH62" i="1"/>
  <c r="BH64" i="1"/>
  <c r="BH65" i="1"/>
  <c r="AC14" i="6" l="1"/>
  <c r="AJ14" i="6"/>
  <c r="AK14" i="6"/>
  <c r="AL14" i="6"/>
  <c r="AM14" i="6"/>
  <c r="AN14" i="6"/>
  <c r="AO14" i="6"/>
  <c r="AP14" i="6"/>
  <c r="AQ14" i="6" s="1"/>
  <c r="AR14" i="6"/>
  <c r="AS14" i="6"/>
  <c r="AY14" i="6" s="1"/>
  <c r="AU14" i="6"/>
  <c r="AV14" i="6"/>
  <c r="AZ14" i="6"/>
  <c r="BA14" i="6"/>
  <c r="BB14" i="6"/>
  <c r="BC14" i="6"/>
  <c r="BE14" i="6"/>
  <c r="AC13" i="6"/>
  <c r="AJ13" i="6"/>
  <c r="AK13" i="6"/>
  <c r="AL13" i="6"/>
  <c r="AM13" i="6"/>
  <c r="AN13" i="6"/>
  <c r="AO13" i="6"/>
  <c r="AP13" i="6"/>
  <c r="AQ13" i="6" s="1"/>
  <c r="AR13" i="6"/>
  <c r="AS13" i="6"/>
  <c r="AY13" i="6" s="1"/>
  <c r="AU13" i="6"/>
  <c r="AV13" i="6"/>
  <c r="AZ13" i="6"/>
  <c r="BA13" i="6"/>
  <c r="BB13" i="6"/>
  <c r="BC13" i="6"/>
  <c r="AJ12" i="6"/>
  <c r="AK12" i="6"/>
  <c r="AL12" i="6"/>
  <c r="AM12" i="6"/>
  <c r="AN12" i="6"/>
  <c r="AO12" i="6"/>
  <c r="AP12" i="6"/>
  <c r="AQ12" i="6" s="1"/>
  <c r="AR12" i="6"/>
  <c r="AS12" i="6"/>
  <c r="AX12" i="6" s="1"/>
  <c r="AU12" i="6"/>
  <c r="AV12" i="6"/>
  <c r="AZ12" i="6"/>
  <c r="BA12" i="6"/>
  <c r="BB12" i="6"/>
  <c r="BC12" i="6"/>
  <c r="AX14" i="6" l="1"/>
  <c r="AW13" i="6"/>
  <c r="AX13" i="6"/>
  <c r="BE13" i="6"/>
  <c r="BD13" i="6"/>
  <c r="AT14" i="6"/>
  <c r="AT13" i="6"/>
  <c r="BE12" i="6"/>
  <c r="BD12" i="6"/>
  <c r="AW12" i="6"/>
  <c r="AT12" i="6"/>
  <c r="AW14" i="6"/>
  <c r="BD14" i="6"/>
  <c r="AY12" i="6"/>
  <c r="G64" i="1"/>
  <c r="G65" i="1"/>
  <c r="AP65" i="1"/>
  <c r="AQ65" i="1"/>
  <c r="AT65" i="1"/>
  <c r="AV65" i="1"/>
  <c r="AW65" i="1"/>
  <c r="AX65" i="1" s="1"/>
  <c r="AY65" i="1"/>
  <c r="AZ65" i="1"/>
  <c r="BE65" i="1" s="1"/>
  <c r="BB65" i="1"/>
  <c r="BC65" i="1"/>
  <c r="BG65" i="1"/>
  <c r="BI65" i="1"/>
  <c r="BK65" i="1"/>
  <c r="AP64" i="1"/>
  <c r="AQ64" i="1"/>
  <c r="AS64" i="1"/>
  <c r="AT64" i="1"/>
  <c r="AV64" i="1"/>
  <c r="AW64" i="1"/>
  <c r="AX64" i="1" s="1"/>
  <c r="AY64" i="1"/>
  <c r="AZ64" i="1"/>
  <c r="BE64" i="1" s="1"/>
  <c r="BB64" i="1"/>
  <c r="BJ64" i="1" s="1"/>
  <c r="BG64" i="1"/>
  <c r="BI64" i="1"/>
  <c r="BK64" i="1"/>
  <c r="AR65" i="1" l="1"/>
  <c r="BJ65" i="1"/>
  <c r="BC64" i="1"/>
  <c r="AR64" i="1"/>
  <c r="AS65" i="1"/>
  <c r="BF65" i="1"/>
  <c r="BD65" i="1"/>
  <c r="BM65" i="1"/>
  <c r="BL65" i="1"/>
  <c r="BA65" i="1"/>
  <c r="BL64" i="1"/>
  <c r="BA64" i="1"/>
  <c r="BF64" i="1"/>
  <c r="BD64" i="1"/>
  <c r="BM64" i="1"/>
  <c r="AJ11" i="6"/>
  <c r="AK11" i="6"/>
  <c r="AL11" i="6"/>
  <c r="AM11" i="6"/>
  <c r="AN11" i="6"/>
  <c r="AO11" i="6"/>
  <c r="AP11" i="6"/>
  <c r="AQ11" i="6" s="1"/>
  <c r="AR11" i="6"/>
  <c r="AS11" i="6"/>
  <c r="AY11" i="6" s="1"/>
  <c r="AU11" i="6"/>
  <c r="AV11" i="6"/>
  <c r="AZ11" i="6"/>
  <c r="BA11" i="6"/>
  <c r="BB11" i="6"/>
  <c r="BC11" i="6"/>
  <c r="BE11" i="6" l="1"/>
  <c r="BD11" i="6"/>
  <c r="AT11" i="6"/>
  <c r="AW11" i="6"/>
  <c r="AX11" i="6"/>
  <c r="G60" i="1"/>
  <c r="G61" i="1"/>
  <c r="G62" i="1"/>
  <c r="G63" i="1"/>
  <c r="M63" i="1"/>
  <c r="F63" i="1"/>
  <c r="F62" i="1"/>
  <c r="F61" i="1"/>
  <c r="F60" i="1"/>
  <c r="AT63" i="1"/>
  <c r="AY63" i="1"/>
  <c r="AP62" i="1"/>
  <c r="AQ62" i="1"/>
  <c r="AT62" i="1"/>
  <c r="AV62" i="1"/>
  <c r="AW62" i="1"/>
  <c r="AX62" i="1" s="1"/>
  <c r="AY62" i="1"/>
  <c r="AZ62" i="1"/>
  <c r="BE62" i="1" s="1"/>
  <c r="BB62" i="1"/>
  <c r="BJ62" i="1" s="1"/>
  <c r="BC62" i="1"/>
  <c r="BG62" i="1"/>
  <c r="BI62" i="1"/>
  <c r="BK62" i="1"/>
  <c r="AP61" i="1"/>
  <c r="AQ61" i="1"/>
  <c r="AT61" i="1"/>
  <c r="AV61" i="1"/>
  <c r="AW61" i="1"/>
  <c r="AX61" i="1" s="1"/>
  <c r="AY61" i="1"/>
  <c r="AZ61" i="1"/>
  <c r="BD61" i="1" s="1"/>
  <c r="BB61" i="1"/>
  <c r="BJ61" i="1" s="1"/>
  <c r="BC61" i="1"/>
  <c r="BG61" i="1"/>
  <c r="BI61" i="1"/>
  <c r="BK61" i="1"/>
  <c r="AP60" i="1"/>
  <c r="AQ60" i="1"/>
  <c r="AT60" i="1"/>
  <c r="AV60" i="1"/>
  <c r="AW60" i="1"/>
  <c r="AX60" i="1" s="1"/>
  <c r="AY60" i="1"/>
  <c r="AZ60" i="1"/>
  <c r="BF60" i="1" s="1"/>
  <c r="BB60" i="1"/>
  <c r="BC60" i="1"/>
  <c r="BG60" i="1"/>
  <c r="BI60" i="1"/>
  <c r="BK60" i="1"/>
  <c r="AR60" i="1" l="1"/>
  <c r="BJ60" i="1"/>
  <c r="AP63" i="1"/>
  <c r="BH63" i="1"/>
  <c r="AR61" i="1"/>
  <c r="AS63" i="1"/>
  <c r="AR62" i="1"/>
  <c r="BG63" i="1"/>
  <c r="BK63" i="1"/>
  <c r="BC63" i="1"/>
  <c r="AW63" i="1"/>
  <c r="AX63" i="1" s="1"/>
  <c r="BI63" i="1"/>
  <c r="BB63" i="1"/>
  <c r="BJ63" i="1" s="1"/>
  <c r="AV63" i="1"/>
  <c r="AQ63" i="1"/>
  <c r="BL61" i="1"/>
  <c r="AZ63" i="1"/>
  <c r="BE63" i="1" s="1"/>
  <c r="AS62" i="1"/>
  <c r="BL62" i="1"/>
  <c r="BM60" i="1"/>
  <c r="BL60" i="1"/>
  <c r="BF61" i="1"/>
  <c r="BE60" i="1"/>
  <c r="BE61" i="1"/>
  <c r="AS61" i="1"/>
  <c r="BD60" i="1"/>
  <c r="AS60" i="1"/>
  <c r="BM61" i="1"/>
  <c r="BF62" i="1"/>
  <c r="BD62" i="1"/>
  <c r="BA62" i="1"/>
  <c r="BA60" i="1"/>
  <c r="BA61" i="1"/>
  <c r="BM62" i="1"/>
  <c r="AJ10" i="6"/>
  <c r="AK10" i="6"/>
  <c r="AL10" i="6"/>
  <c r="AM10" i="6"/>
  <c r="AN10" i="6"/>
  <c r="AO10" i="6"/>
  <c r="AP10" i="6"/>
  <c r="AQ10" i="6" s="1"/>
  <c r="AR10" i="6"/>
  <c r="AS10" i="6"/>
  <c r="AX10" i="6" s="1"/>
  <c r="AU10" i="6"/>
  <c r="AV10" i="6"/>
  <c r="AZ10" i="6"/>
  <c r="BA10" i="6"/>
  <c r="BB10" i="6"/>
  <c r="BC10" i="6"/>
  <c r="AJ9" i="6"/>
  <c r="AK9" i="6"/>
  <c r="AL9" i="6"/>
  <c r="AM9" i="6"/>
  <c r="AN9" i="6"/>
  <c r="AO9" i="6"/>
  <c r="AP9" i="6"/>
  <c r="AQ9" i="6" s="1"/>
  <c r="AR9" i="6"/>
  <c r="AS9" i="6"/>
  <c r="AX9" i="6" s="1"/>
  <c r="AU9" i="6"/>
  <c r="AV9" i="6"/>
  <c r="AZ9" i="6"/>
  <c r="BA9" i="6"/>
  <c r="BB9" i="6"/>
  <c r="BC9" i="6"/>
  <c r="BA63" i="1" l="1"/>
  <c r="AR63" i="1"/>
  <c r="BL63" i="1"/>
  <c r="BD63" i="1"/>
  <c r="BM63" i="1"/>
  <c r="BF63" i="1"/>
  <c r="BE10" i="6"/>
  <c r="AT10" i="6"/>
  <c r="AY10" i="6"/>
  <c r="BD10" i="6"/>
  <c r="AW10" i="6"/>
  <c r="BD9" i="6"/>
  <c r="AY9" i="6"/>
  <c r="AW9" i="6"/>
  <c r="AT9" i="6"/>
  <c r="BE9" i="6"/>
  <c r="G59" i="1"/>
  <c r="AP59" i="1"/>
  <c r="AQ59" i="1"/>
  <c r="AT59" i="1"/>
  <c r="AV59" i="1"/>
  <c r="AW59" i="1"/>
  <c r="AX59" i="1" s="1"/>
  <c r="AY59" i="1"/>
  <c r="AZ59" i="1"/>
  <c r="BD59" i="1" s="1"/>
  <c r="BB59" i="1"/>
  <c r="AR59" i="1" s="1"/>
  <c r="BC59" i="1"/>
  <c r="BG59" i="1"/>
  <c r="BI59" i="1"/>
  <c r="BJ59" i="1" s="1"/>
  <c r="BK59" i="1"/>
  <c r="AS59" i="1" l="1"/>
  <c r="BM59" i="1"/>
  <c r="BE59" i="1"/>
  <c r="BL59" i="1"/>
  <c r="BF59" i="1"/>
  <c r="BA59" i="1"/>
  <c r="AJ8" i="6"/>
  <c r="AK8" i="6"/>
  <c r="AL8" i="6"/>
  <c r="AM8" i="6"/>
  <c r="AN8" i="6"/>
  <c r="AO8" i="6"/>
  <c r="AP8" i="6"/>
  <c r="AQ8" i="6" s="1"/>
  <c r="AR8" i="6"/>
  <c r="AS8" i="6"/>
  <c r="AX8" i="6" s="1"/>
  <c r="AU8" i="6"/>
  <c r="BE8" i="6" s="1"/>
  <c r="AV8" i="6"/>
  <c r="AZ8" i="6"/>
  <c r="BA8" i="6"/>
  <c r="BB8" i="6"/>
  <c r="BC8" i="6"/>
  <c r="AJ7" i="6"/>
  <c r="AK7" i="6"/>
  <c r="AL7" i="6"/>
  <c r="AM7" i="6"/>
  <c r="AN7" i="6"/>
  <c r="AO7" i="6"/>
  <c r="AP7" i="6"/>
  <c r="AQ7" i="6" s="1"/>
  <c r="AR7" i="6"/>
  <c r="AS7" i="6"/>
  <c r="AX7" i="6" s="1"/>
  <c r="AU7" i="6"/>
  <c r="AV7" i="6"/>
  <c r="AZ7" i="6"/>
  <c r="BA7" i="6"/>
  <c r="BB7" i="6"/>
  <c r="BC7" i="6"/>
  <c r="AY8" i="6" l="1"/>
  <c r="BD8" i="6"/>
  <c r="AW8" i="6"/>
  <c r="AT8" i="6"/>
  <c r="AW7" i="6"/>
  <c r="BE7" i="6"/>
  <c r="BD7" i="6"/>
  <c r="AT7" i="6"/>
  <c r="AY7" i="6"/>
  <c r="AJ6" i="6"/>
  <c r="AK6" i="6"/>
  <c r="AL6" i="6"/>
  <c r="AM6" i="6"/>
  <c r="AN6" i="6"/>
  <c r="AO6" i="6"/>
  <c r="AP6" i="6"/>
  <c r="AQ6" i="6" s="1"/>
  <c r="AR6" i="6"/>
  <c r="AS6" i="6"/>
  <c r="AY6" i="6" s="1"/>
  <c r="AU6" i="6"/>
  <c r="AV6" i="6"/>
  <c r="AZ6" i="6"/>
  <c r="BA6" i="6"/>
  <c r="BB6" i="6"/>
  <c r="BC6" i="6"/>
  <c r="AJ5" i="6"/>
  <c r="AK5" i="6"/>
  <c r="AL5" i="6"/>
  <c r="AM5" i="6"/>
  <c r="AN5" i="6"/>
  <c r="AO5" i="6"/>
  <c r="AP5" i="6"/>
  <c r="AQ5" i="6" s="1"/>
  <c r="AR5" i="6"/>
  <c r="AS5" i="6"/>
  <c r="AW5" i="6" s="1"/>
  <c r="AU5" i="6"/>
  <c r="AZ5" i="6"/>
  <c r="BA5" i="6"/>
  <c r="BB5" i="6"/>
  <c r="BC5" i="6"/>
  <c r="G58" i="1"/>
  <c r="AP58" i="1"/>
  <c r="AQ58" i="1"/>
  <c r="AT58" i="1"/>
  <c r="AV58" i="1"/>
  <c r="AW58" i="1"/>
  <c r="AX58" i="1" s="1"/>
  <c r="AY58" i="1"/>
  <c r="AZ58" i="1"/>
  <c r="BE58" i="1" s="1"/>
  <c r="BB58" i="1"/>
  <c r="BC58" i="1"/>
  <c r="BG58" i="1"/>
  <c r="BI58" i="1"/>
  <c r="BK58" i="1"/>
  <c r="G57" i="1"/>
  <c r="AS57" i="1" s="1"/>
  <c r="G56" i="1"/>
  <c r="AP57" i="1"/>
  <c r="AQ57" i="1"/>
  <c r="AT57" i="1"/>
  <c r="AV57" i="1"/>
  <c r="AW57" i="1"/>
  <c r="AX57" i="1" s="1"/>
  <c r="AY57" i="1"/>
  <c r="AZ57" i="1"/>
  <c r="BE57" i="1" s="1"/>
  <c r="BB57" i="1"/>
  <c r="BJ57" i="1" s="1"/>
  <c r="BC57" i="1"/>
  <c r="BG57" i="1"/>
  <c r="BI57" i="1"/>
  <c r="BK57" i="1"/>
  <c r="AP56" i="1"/>
  <c r="AQ56" i="1"/>
  <c r="AT56" i="1"/>
  <c r="AV56" i="1"/>
  <c r="AW56" i="1"/>
  <c r="AX56" i="1" s="1"/>
  <c r="AY56" i="1"/>
  <c r="AZ56" i="1"/>
  <c r="BE56" i="1" s="1"/>
  <c r="BB56" i="1"/>
  <c r="BC56" i="1"/>
  <c r="BG56" i="1"/>
  <c r="BI56" i="1"/>
  <c r="BK56" i="1"/>
  <c r="AR58" i="1" l="1"/>
  <c r="BJ58" i="1"/>
  <c r="AR56" i="1"/>
  <c r="BJ56" i="1"/>
  <c r="AR57" i="1"/>
  <c r="AV5" i="6"/>
  <c r="AS58" i="1"/>
  <c r="BD6" i="6"/>
  <c r="AY5" i="6"/>
  <c r="AX5" i="6"/>
  <c r="AS56" i="1"/>
  <c r="BL57" i="1"/>
  <c r="AW6" i="6"/>
  <c r="BE6" i="6"/>
  <c r="AT6" i="6"/>
  <c r="BE5" i="6"/>
  <c r="BD5" i="6"/>
  <c r="AT5" i="6"/>
  <c r="AX6" i="6"/>
  <c r="BM58" i="1"/>
  <c r="BA58" i="1"/>
  <c r="BD58" i="1"/>
  <c r="BL58" i="1"/>
  <c r="BF57" i="1"/>
  <c r="BF58" i="1"/>
  <c r="BD57" i="1"/>
  <c r="BM57" i="1"/>
  <c r="BA57" i="1"/>
  <c r="BM56" i="1"/>
  <c r="BL56" i="1"/>
  <c r="BD56" i="1"/>
  <c r="BA56" i="1"/>
  <c r="BF56" i="1"/>
  <c r="AJ4" i="6"/>
  <c r="AK4" i="6"/>
  <c r="AL4" i="6"/>
  <c r="AM4" i="6"/>
  <c r="AN4" i="6"/>
  <c r="AO4" i="6"/>
  <c r="AP4" i="6"/>
  <c r="AQ4" i="6" s="1"/>
  <c r="AR4" i="6"/>
  <c r="AS4" i="6"/>
  <c r="AY4" i="6" s="1"/>
  <c r="AU4" i="6"/>
  <c r="AV4" i="6"/>
  <c r="AZ4" i="6"/>
  <c r="BA4" i="6"/>
  <c r="BB4" i="6"/>
  <c r="BC4" i="6"/>
  <c r="G55" i="1"/>
  <c r="AJ3" i="6"/>
  <c r="AK3" i="6"/>
  <c r="AL3" i="6"/>
  <c r="AM3" i="6"/>
  <c r="AN3" i="6"/>
  <c r="AO3" i="6"/>
  <c r="AP3" i="6"/>
  <c r="AQ3" i="6" s="1"/>
  <c r="AR3" i="6"/>
  <c r="AS3" i="6"/>
  <c r="AY3" i="6" s="1"/>
  <c r="AU3" i="6"/>
  <c r="AV3" i="6"/>
  <c r="AZ3" i="6"/>
  <c r="BA3" i="6"/>
  <c r="BB3" i="6"/>
  <c r="BC3" i="6"/>
  <c r="F55" i="1"/>
  <c r="G54" i="1"/>
  <c r="AS54" i="1" s="1"/>
  <c r="AP55" i="1"/>
  <c r="AQ55" i="1"/>
  <c r="AT55" i="1"/>
  <c r="AV55" i="1"/>
  <c r="AW55" i="1"/>
  <c r="AX55" i="1" s="1"/>
  <c r="AY55" i="1"/>
  <c r="AZ55" i="1"/>
  <c r="BE55" i="1" s="1"/>
  <c r="BB55" i="1"/>
  <c r="BJ55" i="1" s="1"/>
  <c r="BC55" i="1"/>
  <c r="BG55" i="1"/>
  <c r="BI55" i="1"/>
  <c r="BK55" i="1"/>
  <c r="AP54" i="1"/>
  <c r="AQ54" i="1"/>
  <c r="AT54" i="1"/>
  <c r="AV54" i="1"/>
  <c r="AW54" i="1"/>
  <c r="AX54" i="1" s="1"/>
  <c r="AY54" i="1"/>
  <c r="AZ54" i="1"/>
  <c r="BD54" i="1" s="1"/>
  <c r="BB54" i="1"/>
  <c r="BC54" i="1"/>
  <c r="BG54" i="1"/>
  <c r="BI54" i="1"/>
  <c r="BK54" i="1"/>
  <c r="AP53" i="1"/>
  <c r="AQ53" i="1"/>
  <c r="AS53" i="1"/>
  <c r="AT53" i="1"/>
  <c r="AV53" i="1"/>
  <c r="AW53" i="1"/>
  <c r="AX53" i="1" s="1"/>
  <c r="AY53" i="1"/>
  <c r="AZ53" i="1"/>
  <c r="BB53" i="1"/>
  <c r="BC53" i="1"/>
  <c r="BG53" i="1"/>
  <c r="BI53" i="1"/>
  <c r="BK53" i="1"/>
  <c r="AR54" i="1" l="1"/>
  <c r="BJ54" i="1"/>
  <c r="AR53" i="1"/>
  <c r="BJ53" i="1"/>
  <c r="AR55" i="1"/>
  <c r="AS55" i="1"/>
  <c r="BL53" i="1"/>
  <c r="BF53" i="1"/>
  <c r="BE53" i="1"/>
  <c r="BD53" i="1"/>
  <c r="BM53" i="1"/>
  <c r="BE4" i="6"/>
  <c r="AX4" i="6"/>
  <c r="AT4" i="6"/>
  <c r="AW4" i="6"/>
  <c r="BD4" i="6"/>
  <c r="AT3" i="6"/>
  <c r="AX3" i="6"/>
  <c r="BE3" i="6"/>
  <c r="BD3" i="6"/>
  <c r="AW3" i="6"/>
  <c r="BL55" i="1"/>
  <c r="BM55" i="1"/>
  <c r="BF55" i="1"/>
  <c r="BD55" i="1"/>
  <c r="BA55" i="1"/>
  <c r="BL54" i="1"/>
  <c r="BF54" i="1"/>
  <c r="BE54" i="1"/>
  <c r="BM54" i="1"/>
  <c r="BA54" i="1"/>
  <c r="BA53" i="1"/>
  <c r="G52" i="1"/>
  <c r="G51" i="1"/>
  <c r="G50" i="1"/>
  <c r="AS50" i="1" s="1"/>
  <c r="F52" i="1"/>
  <c r="AP52" i="1"/>
  <c r="AQ52" i="1"/>
  <c r="AT52" i="1"/>
  <c r="AV52" i="1"/>
  <c r="AW52" i="1"/>
  <c r="AX52" i="1" s="1"/>
  <c r="AY52" i="1"/>
  <c r="AZ52" i="1"/>
  <c r="BE52" i="1" s="1"/>
  <c r="BB52" i="1"/>
  <c r="BG52" i="1"/>
  <c r="BI52" i="1"/>
  <c r="BK52" i="1"/>
  <c r="AP51" i="1"/>
  <c r="AQ51" i="1"/>
  <c r="AT51" i="1"/>
  <c r="AV51" i="1"/>
  <c r="AW51" i="1"/>
  <c r="AX51" i="1" s="1"/>
  <c r="AY51" i="1"/>
  <c r="AZ51" i="1"/>
  <c r="BF51" i="1" s="1"/>
  <c r="BB51" i="1"/>
  <c r="BC51" i="1"/>
  <c r="BG51" i="1"/>
  <c r="BI51" i="1"/>
  <c r="BK51" i="1"/>
  <c r="AP50" i="1"/>
  <c r="AQ50" i="1"/>
  <c r="AT50" i="1"/>
  <c r="AV50" i="1"/>
  <c r="AW50" i="1"/>
  <c r="AX50" i="1" s="1"/>
  <c r="AY50" i="1"/>
  <c r="AZ50" i="1"/>
  <c r="BB50" i="1"/>
  <c r="BJ50" i="1" s="1"/>
  <c r="BC50" i="1"/>
  <c r="BG50" i="1"/>
  <c r="BI50" i="1"/>
  <c r="BK50" i="1"/>
  <c r="AR51" i="1" l="1"/>
  <c r="BJ51" i="1"/>
  <c r="AR52" i="1"/>
  <c r="BJ52" i="1"/>
  <c r="AR50" i="1"/>
  <c r="AS51" i="1"/>
  <c r="BC52" i="1"/>
  <c r="BL50" i="1"/>
  <c r="BL52" i="1"/>
  <c r="BM50" i="1"/>
  <c r="BF52" i="1"/>
  <c r="BD52" i="1"/>
  <c r="BM52" i="1"/>
  <c r="BA52" i="1"/>
  <c r="BE50" i="1"/>
  <c r="BD50" i="1"/>
  <c r="BA50" i="1"/>
  <c r="AS52" i="1"/>
  <c r="BM51" i="1"/>
  <c r="BF50" i="1"/>
  <c r="BL51" i="1"/>
  <c r="BE51" i="1"/>
  <c r="BD51" i="1"/>
  <c r="BA51" i="1"/>
  <c r="M48" i="1"/>
  <c r="M45" i="1"/>
  <c r="G44" i="1"/>
  <c r="AS44" i="1" s="1"/>
  <c r="AP49" i="1"/>
  <c r="AQ49" i="1"/>
  <c r="AS49" i="1"/>
  <c r="AT49" i="1"/>
  <c r="AV49" i="1"/>
  <c r="AW49" i="1"/>
  <c r="AX49" i="1" s="1"/>
  <c r="AY49" i="1"/>
  <c r="AZ49" i="1"/>
  <c r="BD49" i="1" s="1"/>
  <c r="BB49" i="1"/>
  <c r="BC49" i="1"/>
  <c r="BG49" i="1"/>
  <c r="BI49" i="1"/>
  <c r="BK49" i="1"/>
  <c r="AS48" i="1"/>
  <c r="AT48" i="1"/>
  <c r="AP47" i="1"/>
  <c r="AQ47" i="1"/>
  <c r="AS47" i="1"/>
  <c r="AT47" i="1"/>
  <c r="AV47" i="1"/>
  <c r="AW47" i="1"/>
  <c r="AX47" i="1" s="1"/>
  <c r="AY47" i="1"/>
  <c r="AZ47" i="1"/>
  <c r="BD47" i="1" s="1"/>
  <c r="BB47" i="1"/>
  <c r="AR47" i="1" s="1"/>
  <c r="BC47" i="1"/>
  <c r="BG47" i="1"/>
  <c r="BI47" i="1"/>
  <c r="BK47" i="1"/>
  <c r="AP46" i="1"/>
  <c r="AQ46" i="1"/>
  <c r="AS46" i="1"/>
  <c r="AT46" i="1"/>
  <c r="AV46" i="1"/>
  <c r="AW46" i="1"/>
  <c r="AX46" i="1" s="1"/>
  <c r="AY46" i="1"/>
  <c r="AZ46" i="1"/>
  <c r="BD46" i="1" s="1"/>
  <c r="BB46" i="1"/>
  <c r="BC46" i="1"/>
  <c r="BG46" i="1"/>
  <c r="BI46" i="1"/>
  <c r="BK46" i="1"/>
  <c r="AS45" i="1"/>
  <c r="AT45" i="1"/>
  <c r="AV45" i="1"/>
  <c r="BI45" i="1"/>
  <c r="AP44" i="1"/>
  <c r="AQ44" i="1"/>
  <c r="AT44" i="1"/>
  <c r="AV44" i="1"/>
  <c r="AW44" i="1"/>
  <c r="AX44" i="1" s="1"/>
  <c r="AY44" i="1"/>
  <c r="AZ44" i="1"/>
  <c r="BD44" i="1" s="1"/>
  <c r="BB44" i="1"/>
  <c r="BC44" i="1"/>
  <c r="BG44" i="1"/>
  <c r="BI44" i="1"/>
  <c r="BK44" i="1"/>
  <c r="AR46" i="1" l="1"/>
  <c r="BJ46" i="1"/>
  <c r="AR49" i="1"/>
  <c r="BJ49" i="1"/>
  <c r="AR44" i="1"/>
  <c r="BJ44" i="1"/>
  <c r="AQ45" i="1"/>
  <c r="BH45" i="1"/>
  <c r="AY48" i="1"/>
  <c r="BH48" i="1"/>
  <c r="BJ48" i="1" s="1"/>
  <c r="BB45" i="1"/>
  <c r="AP45" i="1"/>
  <c r="BB48" i="1"/>
  <c r="BI48" i="1"/>
  <c r="AV48" i="1"/>
  <c r="AQ48" i="1"/>
  <c r="BK48" i="1"/>
  <c r="AW48" i="1"/>
  <c r="AX48" i="1" s="1"/>
  <c r="BC48" i="1"/>
  <c r="AZ45" i="1"/>
  <c r="BD45" i="1" s="1"/>
  <c r="AY45" i="1"/>
  <c r="AZ48" i="1"/>
  <c r="BD48" i="1" s="1"/>
  <c r="AP48" i="1"/>
  <c r="BG45" i="1"/>
  <c r="BK45" i="1"/>
  <c r="BC45" i="1"/>
  <c r="AW45" i="1"/>
  <c r="AX45" i="1" s="1"/>
  <c r="BG48" i="1"/>
  <c r="BM49" i="1"/>
  <c r="BF49" i="1"/>
  <c r="BE49" i="1"/>
  <c r="BL49" i="1"/>
  <c r="BA46" i="1"/>
  <c r="BM47" i="1"/>
  <c r="BA47" i="1"/>
  <c r="BA44" i="1"/>
  <c r="BA49" i="1"/>
  <c r="BL47" i="1"/>
  <c r="BF47" i="1"/>
  <c r="BL46" i="1"/>
  <c r="BF46" i="1"/>
  <c r="BE46" i="1"/>
  <c r="BE47" i="1"/>
  <c r="BM44" i="1"/>
  <c r="BL44" i="1"/>
  <c r="BM46" i="1"/>
  <c r="BF44" i="1"/>
  <c r="BE44" i="1"/>
  <c r="M42" i="1"/>
  <c r="G43" i="1"/>
  <c r="AS43" i="1" s="1"/>
  <c r="G42" i="1"/>
  <c r="F42" i="1"/>
  <c r="AP43" i="1"/>
  <c r="AQ43" i="1"/>
  <c r="AT43" i="1"/>
  <c r="AV43" i="1"/>
  <c r="AW43" i="1"/>
  <c r="AX43" i="1" s="1"/>
  <c r="AY43" i="1"/>
  <c r="AZ43" i="1"/>
  <c r="BE43" i="1" s="1"/>
  <c r="BB43" i="1"/>
  <c r="BC43" i="1"/>
  <c r="BG43" i="1"/>
  <c r="BI43" i="1"/>
  <c r="BK43" i="1"/>
  <c r="AT42" i="1"/>
  <c r="AV42" i="1"/>
  <c r="BA45" i="1" l="1"/>
  <c r="AR45" i="1"/>
  <c r="BJ45" i="1"/>
  <c r="AY42" i="1"/>
  <c r="BH42" i="1"/>
  <c r="AR43" i="1"/>
  <c r="BA48" i="1"/>
  <c r="AR48" i="1"/>
  <c r="AW42" i="1"/>
  <c r="AX42" i="1" s="1"/>
  <c r="BM45" i="1"/>
  <c r="BE45" i="1"/>
  <c r="BF45" i="1"/>
  <c r="BL45" i="1"/>
  <c r="BE48" i="1"/>
  <c r="BF48" i="1"/>
  <c r="BK42" i="1"/>
  <c r="BM48" i="1"/>
  <c r="BC42" i="1"/>
  <c r="AQ42" i="1"/>
  <c r="BL48" i="1"/>
  <c r="BB42" i="1"/>
  <c r="BJ42" i="1" s="1"/>
  <c r="AZ42" i="1"/>
  <c r="BD42" i="1" s="1"/>
  <c r="AS42" i="1"/>
  <c r="BI42" i="1"/>
  <c r="AP42" i="1"/>
  <c r="BG42" i="1"/>
  <c r="BM43" i="1"/>
  <c r="BA43" i="1"/>
  <c r="BF43" i="1"/>
  <c r="BL43" i="1"/>
  <c r="BD43" i="1"/>
  <c r="G41" i="1"/>
  <c r="AP41" i="1"/>
  <c r="AQ41" i="1"/>
  <c r="AT41" i="1"/>
  <c r="AV41" i="1"/>
  <c r="AW41" i="1"/>
  <c r="AX41" i="1" s="1"/>
  <c r="AY41" i="1"/>
  <c r="AZ41" i="1"/>
  <c r="BD41" i="1" s="1"/>
  <c r="BB41" i="1"/>
  <c r="BC41" i="1"/>
  <c r="BG41" i="1"/>
  <c r="BI41" i="1"/>
  <c r="BK41" i="1"/>
  <c r="AR41" i="1" l="1"/>
  <c r="BJ41" i="1"/>
  <c r="BA42" i="1"/>
  <c r="AR42" i="1"/>
  <c r="BL42" i="1"/>
  <c r="BF42" i="1"/>
  <c r="BM42" i="1"/>
  <c r="AS41" i="1"/>
  <c r="BE42" i="1"/>
  <c r="BM41" i="1"/>
  <c r="BL41" i="1"/>
  <c r="BE41" i="1"/>
  <c r="BA41" i="1"/>
  <c r="BF41" i="1"/>
  <c r="G40" i="1"/>
  <c r="G39" i="1"/>
  <c r="F40" i="1"/>
  <c r="F39" i="1"/>
  <c r="AP40" i="1"/>
  <c r="AQ40" i="1"/>
  <c r="AT40" i="1"/>
  <c r="AV40" i="1"/>
  <c r="AW40" i="1"/>
  <c r="AX40" i="1" s="1"/>
  <c r="AY40" i="1"/>
  <c r="AZ40" i="1"/>
  <c r="BF40" i="1" s="1"/>
  <c r="BB40" i="1"/>
  <c r="BC40" i="1"/>
  <c r="BG40" i="1"/>
  <c r="BI40" i="1"/>
  <c r="BK40" i="1"/>
  <c r="AP39" i="1"/>
  <c r="AQ39" i="1"/>
  <c r="AT39" i="1"/>
  <c r="AV39" i="1"/>
  <c r="AW39" i="1"/>
  <c r="AX39" i="1" s="1"/>
  <c r="AY39" i="1"/>
  <c r="AZ39" i="1"/>
  <c r="BD39" i="1" s="1"/>
  <c r="BB39" i="1"/>
  <c r="BC39" i="1"/>
  <c r="BG39" i="1"/>
  <c r="BI39" i="1"/>
  <c r="BJ39" i="1" s="1"/>
  <c r="BK39" i="1"/>
  <c r="AR39" i="1" l="1"/>
  <c r="AR40" i="1"/>
  <c r="BJ40" i="1"/>
  <c r="AS39" i="1"/>
  <c r="BE39" i="1"/>
  <c r="BM39" i="1"/>
  <c r="BM40" i="1"/>
  <c r="BE40" i="1"/>
  <c r="BD40" i="1"/>
  <c r="BL40" i="1"/>
  <c r="BA40" i="1"/>
  <c r="BA39" i="1"/>
  <c r="BL39" i="1"/>
  <c r="BF39" i="1"/>
  <c r="AS40" i="1"/>
  <c r="K10" i="3"/>
  <c r="BC2" i="6"/>
  <c r="BB2" i="6"/>
  <c r="BA2" i="6"/>
  <c r="AZ2" i="6"/>
  <c r="AV2" i="6"/>
  <c r="AU2" i="6"/>
  <c r="AS2" i="6"/>
  <c r="BE2" i="6" s="1"/>
  <c r="AR2" i="6"/>
  <c r="AP2" i="6"/>
  <c r="AQ2" i="6" s="1"/>
  <c r="AO2" i="6"/>
  <c r="AN2" i="6"/>
  <c r="AM2" i="6"/>
  <c r="AL2" i="6"/>
  <c r="K9" i="3"/>
  <c r="K12" i="3"/>
  <c r="AK2" i="6"/>
  <c r="AJ2" i="6"/>
  <c r="AT2" i="6" l="1"/>
  <c r="AY2" i="6"/>
  <c r="K11" i="3"/>
  <c r="AX2" i="6"/>
  <c r="BD2" i="6"/>
  <c r="K8" i="3"/>
  <c r="K7" i="3"/>
  <c r="AW2" i="6"/>
  <c r="K13" i="3"/>
  <c r="AP38" i="1"/>
  <c r="AQ38" i="1"/>
  <c r="AS38" i="1"/>
  <c r="AT38" i="1"/>
  <c r="AV38" i="1"/>
  <c r="AW38" i="1"/>
  <c r="AX38" i="1" s="1"/>
  <c r="AY38" i="1"/>
  <c r="AZ38" i="1"/>
  <c r="BE38" i="1" s="1"/>
  <c r="BB38" i="1"/>
  <c r="AR38" i="1" s="1"/>
  <c r="BC38" i="1"/>
  <c r="BG38" i="1"/>
  <c r="BI38" i="1"/>
  <c r="BJ38" i="1" s="1"/>
  <c r="BK38" i="1"/>
  <c r="BA38" i="1" l="1"/>
  <c r="BM38" i="1"/>
  <c r="BL38" i="1"/>
  <c r="BF38" i="1"/>
  <c r="BD38" i="1"/>
  <c r="BI2" i="1"/>
  <c r="BJ2" i="1" s="1"/>
  <c r="BI3" i="1"/>
  <c r="BI4" i="1"/>
  <c r="BI5" i="1"/>
  <c r="BI6" i="1"/>
  <c r="BI7" i="1"/>
  <c r="BI8" i="1"/>
  <c r="BJ8" i="1" s="1"/>
  <c r="BI9" i="1"/>
  <c r="BJ9" i="1" s="1"/>
  <c r="BI11" i="1"/>
  <c r="BI12" i="1"/>
  <c r="BI13" i="1"/>
  <c r="BJ13" i="1" s="1"/>
  <c r="BI14" i="1"/>
  <c r="BJ14" i="1" s="1"/>
  <c r="BI16" i="1"/>
  <c r="BI17" i="1"/>
  <c r="BI19" i="1"/>
  <c r="BJ19" i="1" s="1"/>
  <c r="BI20" i="1"/>
  <c r="BI22" i="1"/>
  <c r="BI23" i="1"/>
  <c r="BI24" i="1"/>
  <c r="BI25" i="1"/>
  <c r="BI29" i="1"/>
  <c r="BI30" i="1"/>
  <c r="BI31" i="1"/>
  <c r="BI32" i="1"/>
  <c r="BI34" i="1"/>
  <c r="BJ34" i="1" s="1"/>
  <c r="BI36" i="1"/>
  <c r="M35" i="1"/>
  <c r="BK2" i="1"/>
  <c r="BK3" i="1"/>
  <c r="BK4" i="1"/>
  <c r="BK5" i="1"/>
  <c r="BK6" i="1"/>
  <c r="BK7" i="1"/>
  <c r="BK8" i="1"/>
  <c r="BK9" i="1"/>
  <c r="BK11" i="1"/>
  <c r="BK12" i="1"/>
  <c r="BK13" i="1"/>
  <c r="BK14" i="1"/>
  <c r="BK16" i="1"/>
  <c r="BK17" i="1"/>
  <c r="BK19" i="1"/>
  <c r="BK20" i="1"/>
  <c r="BK22" i="1"/>
  <c r="BK23" i="1"/>
  <c r="BK24" i="1"/>
  <c r="BK25" i="1"/>
  <c r="BK29" i="1"/>
  <c r="BK30" i="1"/>
  <c r="BK31" i="1"/>
  <c r="BK32" i="1"/>
  <c r="BK34" i="1"/>
  <c r="BK36" i="1"/>
  <c r="BK35" i="1" l="1"/>
  <c r="BH35" i="1"/>
  <c r="BI35" i="1"/>
  <c r="BJ35" i="1" s="1"/>
  <c r="M37" i="1"/>
  <c r="G36" i="1"/>
  <c r="F37" i="1"/>
  <c r="AS37" i="1" s="1"/>
  <c r="F36" i="1"/>
  <c r="F35" i="1"/>
  <c r="AS35" i="1" s="1"/>
  <c r="AT37" i="1"/>
  <c r="AP36" i="1"/>
  <c r="AQ36" i="1"/>
  <c r="AT36" i="1"/>
  <c r="AV36" i="1"/>
  <c r="AW36" i="1"/>
  <c r="AX36" i="1" s="1"/>
  <c r="AY36" i="1"/>
  <c r="AZ36" i="1"/>
  <c r="BE36" i="1" s="1"/>
  <c r="BB36" i="1"/>
  <c r="BC36" i="1"/>
  <c r="BG36" i="1"/>
  <c r="AP35" i="1"/>
  <c r="AQ35" i="1"/>
  <c r="AT35" i="1"/>
  <c r="AV35" i="1"/>
  <c r="AW35" i="1"/>
  <c r="AX35" i="1" s="1"/>
  <c r="AY35" i="1"/>
  <c r="AZ35" i="1"/>
  <c r="BE35" i="1" s="1"/>
  <c r="BB35" i="1"/>
  <c r="AR35" i="1" s="1"/>
  <c r="BG35" i="1"/>
  <c r="BI37" i="1" l="1"/>
  <c r="BH37" i="1"/>
  <c r="BJ37" i="1" s="1"/>
  <c r="BB37" i="1"/>
  <c r="AR37" i="1" s="1"/>
  <c r="AR36" i="1"/>
  <c r="AZ37" i="1"/>
  <c r="BD37" i="1" s="1"/>
  <c r="BC35" i="1"/>
  <c r="BG37" i="1"/>
  <c r="AW37" i="1"/>
  <c r="AX37" i="1" s="1"/>
  <c r="AQ37" i="1"/>
  <c r="BC37" i="1"/>
  <c r="AV37" i="1"/>
  <c r="AP37" i="1"/>
  <c r="AY37" i="1"/>
  <c r="BK37" i="1"/>
  <c r="BL35" i="1"/>
  <c r="BA35" i="1"/>
  <c r="BL36" i="1"/>
  <c r="BF36" i="1"/>
  <c r="BD36" i="1"/>
  <c r="BA36" i="1"/>
  <c r="BM36" i="1"/>
  <c r="BM35" i="1"/>
  <c r="BF35" i="1"/>
  <c r="BD35" i="1"/>
  <c r="AS36" i="1"/>
  <c r="AP34" i="1"/>
  <c r="AQ34" i="1"/>
  <c r="AS34" i="1"/>
  <c r="AT34" i="1"/>
  <c r="AV34" i="1"/>
  <c r="AW34" i="1"/>
  <c r="AX34" i="1" s="1"/>
  <c r="AY34" i="1"/>
  <c r="AZ34" i="1"/>
  <c r="BE34" i="1" s="1"/>
  <c r="BB34" i="1"/>
  <c r="AR34" i="1" s="1"/>
  <c r="BC34" i="1"/>
  <c r="BG34" i="1"/>
  <c r="BF37" i="1" l="1"/>
  <c r="BA37" i="1"/>
  <c r="BE37" i="1"/>
  <c r="BM37" i="1"/>
  <c r="BL37" i="1"/>
  <c r="BA34" i="1"/>
  <c r="BD34" i="1"/>
  <c r="BM34" i="1"/>
  <c r="BF34" i="1"/>
  <c r="BL34" i="1"/>
  <c r="M33" i="1"/>
  <c r="AS33" i="1"/>
  <c r="AT33" i="1"/>
  <c r="BI33" i="1" l="1"/>
  <c r="BJ33" i="1" s="1"/>
  <c r="BH33" i="1"/>
  <c r="BG33" i="1"/>
  <c r="BB33" i="1"/>
  <c r="AR33" i="1" s="1"/>
  <c r="AV33" i="1"/>
  <c r="AP33" i="1"/>
  <c r="AZ33" i="1"/>
  <c r="BD33" i="1" s="1"/>
  <c r="AY33" i="1"/>
  <c r="AQ33" i="1"/>
  <c r="BK33" i="1"/>
  <c r="BC33" i="1"/>
  <c r="AW33" i="1"/>
  <c r="AX33" i="1" s="1"/>
  <c r="G31" i="1"/>
  <c r="AS31" i="1" s="1"/>
  <c r="G32" i="1"/>
  <c r="AP32" i="1"/>
  <c r="AQ32" i="1"/>
  <c r="AT32" i="1"/>
  <c r="AV32" i="1"/>
  <c r="AW32" i="1"/>
  <c r="AX32" i="1" s="1"/>
  <c r="AY32" i="1"/>
  <c r="AZ32" i="1"/>
  <c r="BE32" i="1" s="1"/>
  <c r="BB32" i="1"/>
  <c r="AR32" i="1" s="1"/>
  <c r="BC32" i="1"/>
  <c r="BG32" i="1"/>
  <c r="AP31" i="1"/>
  <c r="AQ31" i="1"/>
  <c r="AT31" i="1"/>
  <c r="AV31" i="1"/>
  <c r="AW31" i="1"/>
  <c r="AX31" i="1" s="1"/>
  <c r="AY31" i="1"/>
  <c r="AZ31" i="1"/>
  <c r="BE31" i="1" s="1"/>
  <c r="BB31" i="1"/>
  <c r="BC31" i="1"/>
  <c r="BG31" i="1"/>
  <c r="AR31" i="1" l="1"/>
  <c r="BJ31" i="1"/>
  <c r="BA33" i="1"/>
  <c r="BF33" i="1"/>
  <c r="BM33" i="1"/>
  <c r="BE33" i="1"/>
  <c r="BL33" i="1"/>
  <c r="AS32" i="1"/>
  <c r="BA32" i="1"/>
  <c r="BM32" i="1"/>
  <c r="BL32" i="1"/>
  <c r="BF32" i="1"/>
  <c r="BD32" i="1"/>
  <c r="BD31" i="1"/>
  <c r="BA31" i="1"/>
  <c r="BM31" i="1"/>
  <c r="BL31" i="1"/>
  <c r="BF31" i="1"/>
  <c r="G30" i="1"/>
  <c r="G29" i="1"/>
  <c r="AS29" i="1" s="1"/>
  <c r="AP30" i="1"/>
  <c r="AQ30" i="1"/>
  <c r="AS30" i="1"/>
  <c r="AT30" i="1"/>
  <c r="AV30" i="1"/>
  <c r="AW30" i="1"/>
  <c r="AX30" i="1" s="1"/>
  <c r="AY30" i="1"/>
  <c r="AZ30" i="1"/>
  <c r="BE30" i="1" s="1"/>
  <c r="BB30" i="1"/>
  <c r="BC30" i="1"/>
  <c r="BG30" i="1"/>
  <c r="AP29" i="1"/>
  <c r="AQ29" i="1"/>
  <c r="AT29" i="1"/>
  <c r="AV29" i="1"/>
  <c r="AW29" i="1"/>
  <c r="AX29" i="1" s="1"/>
  <c r="AY29" i="1"/>
  <c r="AZ29" i="1"/>
  <c r="BE29" i="1" s="1"/>
  <c r="BB29" i="1"/>
  <c r="BC29" i="1"/>
  <c r="BG29" i="1"/>
  <c r="AR29" i="1" l="1"/>
  <c r="BJ29" i="1"/>
  <c r="AR30" i="1"/>
  <c r="BJ30" i="1"/>
  <c r="BA30" i="1"/>
  <c r="BM30" i="1"/>
  <c r="BL30" i="1"/>
  <c r="BF30" i="1"/>
  <c r="BD30" i="1"/>
  <c r="BA29" i="1"/>
  <c r="BM29" i="1"/>
  <c r="BL29" i="1"/>
  <c r="BF29" i="1"/>
  <c r="BD29" i="1"/>
  <c r="M28" i="1"/>
  <c r="G28" i="1"/>
  <c r="AT28" i="1"/>
  <c r="BI28" i="1" l="1"/>
  <c r="BH28" i="1"/>
  <c r="AP28" i="1"/>
  <c r="BK28" i="1"/>
  <c r="AW28" i="1"/>
  <c r="AX28" i="1" s="1"/>
  <c r="AV28" i="1"/>
  <c r="BG28" i="1"/>
  <c r="BC28" i="1"/>
  <c r="BB28" i="1"/>
  <c r="AY28" i="1"/>
  <c r="AQ28" i="1"/>
  <c r="AS28" i="1"/>
  <c r="AZ28" i="1"/>
  <c r="BD28" i="1" s="1"/>
  <c r="M27" i="1"/>
  <c r="M26" i="1"/>
  <c r="AS27" i="1"/>
  <c r="AT27" i="1"/>
  <c r="AS26" i="1"/>
  <c r="AT26" i="1"/>
  <c r="AR28" i="1" l="1"/>
  <c r="BJ28" i="1"/>
  <c r="BI27" i="1"/>
  <c r="BH27" i="1"/>
  <c r="BJ27" i="1" s="1"/>
  <c r="BI26" i="1"/>
  <c r="BH26" i="1"/>
  <c r="AW26" i="1"/>
  <c r="AX26" i="1" s="1"/>
  <c r="BK26" i="1"/>
  <c r="AP27" i="1"/>
  <c r="BK27" i="1"/>
  <c r="BB26" i="1"/>
  <c r="AP26" i="1"/>
  <c r="BB27" i="1"/>
  <c r="AR27" i="1" s="1"/>
  <c r="BA28" i="1"/>
  <c r="AW27" i="1"/>
  <c r="AX27" i="1" s="1"/>
  <c r="AV27" i="1"/>
  <c r="BC27" i="1"/>
  <c r="AZ26" i="1"/>
  <c r="BE26" i="1" s="1"/>
  <c r="AV26" i="1"/>
  <c r="AZ27" i="1"/>
  <c r="BE27" i="1" s="1"/>
  <c r="AQ27" i="1"/>
  <c r="BG26" i="1"/>
  <c r="AQ26" i="1"/>
  <c r="BG27" i="1"/>
  <c r="AY27" i="1"/>
  <c r="BM28" i="1"/>
  <c r="BF28" i="1"/>
  <c r="BL28" i="1"/>
  <c r="AY26" i="1"/>
  <c r="BE28" i="1"/>
  <c r="BC26" i="1"/>
  <c r="G25" i="1"/>
  <c r="AP25" i="1"/>
  <c r="AQ25" i="1"/>
  <c r="AT25" i="1"/>
  <c r="AV25" i="1"/>
  <c r="AW25" i="1"/>
  <c r="AX25" i="1" s="1"/>
  <c r="AY25" i="1"/>
  <c r="AZ25" i="1"/>
  <c r="BE25" i="1" s="1"/>
  <c r="BB25" i="1"/>
  <c r="BC25" i="1"/>
  <c r="BG25" i="1"/>
  <c r="AR25" i="1" l="1"/>
  <c r="BJ25" i="1"/>
  <c r="BA26" i="1"/>
  <c r="AR26" i="1"/>
  <c r="BJ26" i="1"/>
  <c r="BM26" i="1"/>
  <c r="BF27" i="1"/>
  <c r="BD26" i="1"/>
  <c r="BF26" i="1"/>
  <c r="BL26" i="1"/>
  <c r="BA27" i="1"/>
  <c r="BD27" i="1"/>
  <c r="BL27" i="1"/>
  <c r="BM27" i="1"/>
  <c r="AS25" i="1"/>
  <c r="BM25" i="1"/>
  <c r="BL25" i="1"/>
  <c r="BD25" i="1"/>
  <c r="BA25" i="1"/>
  <c r="BF25" i="1"/>
  <c r="G22" i="1"/>
  <c r="AS22" i="1" s="1"/>
  <c r="AP24" i="1"/>
  <c r="AQ24" i="1"/>
  <c r="AS24" i="1"/>
  <c r="AT24" i="1"/>
  <c r="AV24" i="1"/>
  <c r="AW24" i="1"/>
  <c r="AX24" i="1" s="1"/>
  <c r="AY24" i="1"/>
  <c r="AZ24" i="1"/>
  <c r="BB24" i="1"/>
  <c r="AR24" i="1" s="1"/>
  <c r="BC24" i="1"/>
  <c r="BG24" i="1"/>
  <c r="AP23" i="1"/>
  <c r="AQ23" i="1"/>
  <c r="AS23" i="1"/>
  <c r="AT23" i="1"/>
  <c r="AV23" i="1"/>
  <c r="AW23" i="1"/>
  <c r="AX23" i="1" s="1"/>
  <c r="AY23" i="1"/>
  <c r="AZ23" i="1"/>
  <c r="BB23" i="1"/>
  <c r="BC23" i="1"/>
  <c r="BG23" i="1"/>
  <c r="AP22" i="1"/>
  <c r="AQ22" i="1"/>
  <c r="AT22" i="1"/>
  <c r="AV22" i="1"/>
  <c r="AW22" i="1"/>
  <c r="AX22" i="1" s="1"/>
  <c r="AY22" i="1"/>
  <c r="AZ22" i="1"/>
  <c r="BB22" i="1"/>
  <c r="AR22" i="1" s="1"/>
  <c r="BC22" i="1"/>
  <c r="BG22" i="1"/>
  <c r="AR23" i="1" l="1"/>
  <c r="BJ23" i="1"/>
  <c r="BA22" i="1"/>
  <c r="BM24" i="1"/>
  <c r="BM23" i="1"/>
  <c r="BM22" i="1"/>
  <c r="BF24" i="1"/>
  <c r="BL24" i="1"/>
  <c r="BD23" i="1"/>
  <c r="BL23" i="1"/>
  <c r="BD22" i="1"/>
  <c r="BL22" i="1"/>
  <c r="BA24" i="1"/>
  <c r="BA23" i="1"/>
  <c r="BE24" i="1"/>
  <c r="BE23" i="1"/>
  <c r="BF23" i="1"/>
  <c r="BE22" i="1"/>
  <c r="BF22" i="1"/>
  <c r="BD24" i="1"/>
  <c r="M21" i="1"/>
  <c r="G21" i="1"/>
  <c r="AT21" i="1"/>
  <c r="BI21" i="1" l="1"/>
  <c r="BH21" i="1"/>
  <c r="AW21" i="1"/>
  <c r="AX21" i="1" s="1"/>
  <c r="AY21" i="1"/>
  <c r="BK21" i="1"/>
  <c r="BB21" i="1"/>
  <c r="BC21" i="1"/>
  <c r="AS21" i="1"/>
  <c r="AV21" i="1"/>
  <c r="AQ21" i="1"/>
  <c r="AZ21" i="1"/>
  <c r="AP21" i="1"/>
  <c r="BG21" i="1"/>
  <c r="G19" i="1"/>
  <c r="G20" i="1"/>
  <c r="AP20" i="1"/>
  <c r="AQ20" i="1"/>
  <c r="AT20" i="1"/>
  <c r="AV20" i="1"/>
  <c r="AW20" i="1"/>
  <c r="AX20" i="1" s="1"/>
  <c r="AY20" i="1"/>
  <c r="AZ20" i="1"/>
  <c r="BB20" i="1"/>
  <c r="AR20" i="1" s="1"/>
  <c r="BC20" i="1"/>
  <c r="BG20" i="1"/>
  <c r="AP19" i="1"/>
  <c r="AQ19" i="1"/>
  <c r="AT19" i="1"/>
  <c r="AV19" i="1"/>
  <c r="AW19" i="1"/>
  <c r="AX19" i="1" s="1"/>
  <c r="AY19" i="1"/>
  <c r="AZ19" i="1"/>
  <c r="BB19" i="1"/>
  <c r="BG19" i="1"/>
  <c r="G18" i="1"/>
  <c r="M18" i="1"/>
  <c r="AT18" i="1"/>
  <c r="AR19" i="1" l="1"/>
  <c r="AR21" i="1"/>
  <c r="BJ21" i="1"/>
  <c r="BI18" i="1"/>
  <c r="BH18" i="1"/>
  <c r="BA21" i="1"/>
  <c r="AQ18" i="1"/>
  <c r="BK18" i="1"/>
  <c r="BM21" i="1"/>
  <c r="BC19" i="1"/>
  <c r="AS18" i="1"/>
  <c r="BM19" i="1"/>
  <c r="BM20" i="1"/>
  <c r="BF19" i="1"/>
  <c r="BL19" i="1"/>
  <c r="BA19" i="1"/>
  <c r="BF20" i="1"/>
  <c r="BL20" i="1"/>
  <c r="BA20" i="1"/>
  <c r="BD21" i="1"/>
  <c r="BL21" i="1"/>
  <c r="BE21" i="1"/>
  <c r="BF21" i="1"/>
  <c r="AS20" i="1"/>
  <c r="BG18" i="1"/>
  <c r="AP18" i="1"/>
  <c r="BC18" i="1"/>
  <c r="AW18" i="1"/>
  <c r="AX18" i="1" s="1"/>
  <c r="AY18" i="1"/>
  <c r="BB18" i="1"/>
  <c r="AV18" i="1"/>
  <c r="AZ18" i="1"/>
  <c r="BE20" i="1"/>
  <c r="BD20" i="1"/>
  <c r="BE19" i="1"/>
  <c r="BD19" i="1"/>
  <c r="AS19" i="1"/>
  <c r="AP17" i="1"/>
  <c r="AQ17" i="1"/>
  <c r="AS17" i="1"/>
  <c r="AT17" i="1"/>
  <c r="AV17" i="1"/>
  <c r="AW17" i="1"/>
  <c r="AX17" i="1" s="1"/>
  <c r="AY17" i="1"/>
  <c r="AZ17" i="1"/>
  <c r="BB17" i="1"/>
  <c r="BC17" i="1"/>
  <c r="BG17" i="1"/>
  <c r="AR17" i="1" l="1"/>
  <c r="BJ17" i="1"/>
  <c r="AR18" i="1"/>
  <c r="BJ18" i="1"/>
  <c r="BM17" i="1"/>
  <c r="BM18" i="1"/>
  <c r="BD17" i="1"/>
  <c r="BL17" i="1"/>
  <c r="BD18" i="1"/>
  <c r="BL18" i="1"/>
  <c r="BA18" i="1"/>
  <c r="BA17" i="1"/>
  <c r="BE18" i="1"/>
  <c r="BF18" i="1"/>
  <c r="BF17" i="1"/>
  <c r="BE17" i="1"/>
  <c r="M15" i="1"/>
  <c r="AP16" i="1"/>
  <c r="AQ16" i="1"/>
  <c r="AS16" i="1"/>
  <c r="AT16" i="1"/>
  <c r="AV16" i="1"/>
  <c r="AW16" i="1"/>
  <c r="AX16" i="1" s="1"/>
  <c r="AY16" i="1"/>
  <c r="AZ16" i="1"/>
  <c r="BB16" i="1"/>
  <c r="BC16" i="1"/>
  <c r="BG16" i="1"/>
  <c r="AS15" i="1"/>
  <c r="AT15" i="1"/>
  <c r="AY15" i="1"/>
  <c r="BB15" i="1"/>
  <c r="AR15" i="1" s="1"/>
  <c r="BG15" i="1"/>
  <c r="AR16" i="1" l="1"/>
  <c r="BJ16" i="1"/>
  <c r="BI15" i="1"/>
  <c r="BH15" i="1"/>
  <c r="BJ15" i="1" s="1"/>
  <c r="AV15" i="1"/>
  <c r="AP15" i="1"/>
  <c r="AQ15" i="1"/>
  <c r="BK15" i="1"/>
  <c r="BM16" i="1"/>
  <c r="BA16" i="1"/>
  <c r="BF16" i="1"/>
  <c r="BL16" i="1"/>
  <c r="BA15" i="1"/>
  <c r="BC15" i="1"/>
  <c r="AW15" i="1"/>
  <c r="AX15" i="1" s="1"/>
  <c r="AZ15" i="1"/>
  <c r="BM15" i="1" s="1"/>
  <c r="BE16" i="1"/>
  <c r="BD16" i="1"/>
  <c r="AP14" i="1"/>
  <c r="AQ14" i="1"/>
  <c r="AS14" i="1"/>
  <c r="AT14" i="1"/>
  <c r="AV14" i="1"/>
  <c r="AW14" i="1"/>
  <c r="AX14" i="1" s="1"/>
  <c r="AY14" i="1"/>
  <c r="AZ14" i="1"/>
  <c r="BB14" i="1"/>
  <c r="AR14" i="1" s="1"/>
  <c r="BC14" i="1"/>
  <c r="BG14" i="1"/>
  <c r="BM14" i="1" l="1"/>
  <c r="BE14" i="1"/>
  <c r="BL14" i="1"/>
  <c r="BF15" i="1"/>
  <c r="BL15" i="1"/>
  <c r="BA14" i="1"/>
  <c r="BD15" i="1"/>
  <c r="BE15" i="1"/>
  <c r="BF14" i="1"/>
  <c r="BD14" i="1"/>
  <c r="AP13" i="1"/>
  <c r="AQ13" i="1"/>
  <c r="AS13" i="1"/>
  <c r="AT13" i="1"/>
  <c r="AV13" i="1"/>
  <c r="AW13" i="1"/>
  <c r="AX13" i="1" s="1"/>
  <c r="AY13" i="1"/>
  <c r="AZ13" i="1"/>
  <c r="BB13" i="1"/>
  <c r="AR13" i="1" s="1"/>
  <c r="BC13" i="1"/>
  <c r="BG13" i="1"/>
  <c r="AP12" i="1"/>
  <c r="AQ12" i="1"/>
  <c r="AS12" i="1"/>
  <c r="AT12" i="1"/>
  <c r="AV12" i="1"/>
  <c r="AW12" i="1"/>
  <c r="AX12" i="1" s="1"/>
  <c r="AY12" i="1"/>
  <c r="AZ12" i="1"/>
  <c r="BB12" i="1"/>
  <c r="AR12" i="1" s="1"/>
  <c r="BC12" i="1"/>
  <c r="BG12" i="1"/>
  <c r="BM13" i="1" l="1"/>
  <c r="BM12" i="1"/>
  <c r="BD13" i="1"/>
  <c r="BL13" i="1"/>
  <c r="BF12" i="1"/>
  <c r="BL12" i="1"/>
  <c r="BA12" i="1"/>
  <c r="BA13" i="1"/>
  <c r="BE13" i="1"/>
  <c r="BF13" i="1"/>
  <c r="BE12" i="1"/>
  <c r="BD12" i="1"/>
  <c r="AU2" i="1"/>
  <c r="AP6" i="1"/>
  <c r="AP7" i="1"/>
  <c r="AQ6" i="1"/>
  <c r="AQ7" i="1"/>
  <c r="AS6" i="1"/>
  <c r="AS7" i="1"/>
  <c r="AT6" i="1"/>
  <c r="AT7" i="1"/>
  <c r="AV6" i="1"/>
  <c r="AV7" i="1"/>
  <c r="AW6" i="1"/>
  <c r="AX6" i="1" s="1"/>
  <c r="AW7" i="1"/>
  <c r="AX7" i="1" s="1"/>
  <c r="AY6" i="1"/>
  <c r="AY7" i="1"/>
  <c r="AZ6" i="1"/>
  <c r="AZ7" i="1"/>
  <c r="BB6" i="1"/>
  <c r="AR6" i="1" s="1"/>
  <c r="BB7" i="1"/>
  <c r="BC6" i="1"/>
  <c r="BC7" i="1"/>
  <c r="BG6" i="1"/>
  <c r="BG7" i="1"/>
  <c r="AP4" i="1"/>
  <c r="AP5" i="1"/>
  <c r="AQ4" i="1"/>
  <c r="AQ5" i="1"/>
  <c r="AS4" i="1"/>
  <c r="AS5" i="1"/>
  <c r="AT4" i="1"/>
  <c r="AT5" i="1"/>
  <c r="AV4" i="1"/>
  <c r="AV5" i="1"/>
  <c r="AW4" i="1"/>
  <c r="AX4" i="1" s="1"/>
  <c r="AW5" i="1"/>
  <c r="AX5" i="1" s="1"/>
  <c r="AY4" i="1"/>
  <c r="AY5" i="1"/>
  <c r="AZ4" i="1"/>
  <c r="AZ5" i="1"/>
  <c r="BB4" i="1"/>
  <c r="AR4" i="1" s="1"/>
  <c r="BB5" i="1"/>
  <c r="AR5" i="1" s="1"/>
  <c r="BC4" i="1"/>
  <c r="BC5" i="1"/>
  <c r="BG4" i="1"/>
  <c r="BG5" i="1"/>
  <c r="AP3" i="1"/>
  <c r="AQ3" i="1"/>
  <c r="AS3" i="1"/>
  <c r="AT3" i="1"/>
  <c r="AV3" i="1"/>
  <c r="AW3" i="1"/>
  <c r="AX3" i="1" s="1"/>
  <c r="AY3" i="1"/>
  <c r="AZ3" i="1"/>
  <c r="BB3" i="1"/>
  <c r="AR3" i="1" s="1"/>
  <c r="BC3" i="1"/>
  <c r="BG3" i="1"/>
  <c r="AP2" i="1"/>
  <c r="AQ2" i="1"/>
  <c r="AS2" i="1"/>
  <c r="AT2" i="1"/>
  <c r="AV2" i="1"/>
  <c r="AW2" i="1"/>
  <c r="AX2" i="1" s="1"/>
  <c r="AY2" i="1"/>
  <c r="AZ2" i="1"/>
  <c r="BB2" i="1"/>
  <c r="AR2" i="1" s="1"/>
  <c r="BG2" i="1"/>
  <c r="AR7" i="1" l="1"/>
  <c r="BJ7" i="1"/>
  <c r="BM7" i="1"/>
  <c r="BM6" i="1"/>
  <c r="BM3" i="1"/>
  <c r="BM5" i="1"/>
  <c r="BM2" i="1"/>
  <c r="BA3" i="1"/>
  <c r="BM4" i="1"/>
  <c r="BF2" i="1"/>
  <c r="BL2" i="1"/>
  <c r="BD4" i="1"/>
  <c r="BL4" i="1"/>
  <c r="BD7" i="1"/>
  <c r="BL7" i="1"/>
  <c r="BD6" i="1"/>
  <c r="BL6" i="1"/>
  <c r="BF3" i="1"/>
  <c r="BL3" i="1"/>
  <c r="BD5" i="1"/>
  <c r="BL5" i="1"/>
  <c r="BA6" i="1"/>
  <c r="BA2" i="1"/>
  <c r="BA5" i="1"/>
  <c r="BA7" i="1"/>
  <c r="BA4" i="1"/>
  <c r="BE7" i="1"/>
  <c r="BE6" i="1"/>
  <c r="BE5" i="1"/>
  <c r="BF7" i="1"/>
  <c r="BF6" i="1"/>
  <c r="BF5" i="1"/>
  <c r="BE4" i="1"/>
  <c r="BE3" i="1"/>
  <c r="BF4" i="1"/>
  <c r="BD3" i="1"/>
  <c r="BC2" i="1"/>
  <c r="BD2" i="1"/>
  <c r="BE2" i="1"/>
  <c r="M10" i="1" l="1"/>
  <c r="AP11" i="1"/>
  <c r="AQ11" i="1"/>
  <c r="AS11" i="1"/>
  <c r="AT11" i="1"/>
  <c r="AV11" i="1"/>
  <c r="AW11" i="1"/>
  <c r="AX11" i="1" s="1"/>
  <c r="AY11" i="1"/>
  <c r="AZ11" i="1"/>
  <c r="BB11" i="1"/>
  <c r="BC11" i="1"/>
  <c r="BG11" i="1"/>
  <c r="AS10" i="1"/>
  <c r="AT10" i="1"/>
  <c r="AY10" i="1"/>
  <c r="BG10" i="1"/>
  <c r="AR11" i="1" l="1"/>
  <c r="BJ11" i="1"/>
  <c r="BI10" i="1"/>
  <c r="BH10" i="1"/>
  <c r="BJ10" i="1" s="1"/>
  <c r="AP10" i="1"/>
  <c r="BK10" i="1"/>
  <c r="BM11" i="1"/>
  <c r="BD11" i="1"/>
  <c r="BL11" i="1"/>
  <c r="BA11" i="1"/>
  <c r="BC10" i="1"/>
  <c r="AW10" i="1"/>
  <c r="AX10" i="1" s="1"/>
  <c r="BB10" i="1"/>
  <c r="AV10" i="1"/>
  <c r="AQ10" i="1"/>
  <c r="AZ10" i="1"/>
  <c r="BF11" i="1"/>
  <c r="BE11" i="1"/>
  <c r="G9" i="1"/>
  <c r="G8" i="1"/>
  <c r="BA10" i="1" l="1"/>
  <c r="AR10" i="1"/>
  <c r="BM10" i="1"/>
  <c r="BD10" i="1"/>
  <c r="BL10" i="1"/>
  <c r="BF10" i="1"/>
  <c r="BE10" i="1"/>
  <c r="BG9" i="1"/>
  <c r="BG8" i="1"/>
  <c r="BC9" i="1"/>
  <c r="AV8" i="1" l="1"/>
  <c r="AV9" i="1"/>
  <c r="AN23" i="2" l="1"/>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M10" i="3" l="1"/>
  <c r="M13" i="3" l="1"/>
  <c r="M9" i="3"/>
  <c r="M7" i="3"/>
  <c r="M12" i="3"/>
  <c r="M11" i="3"/>
  <c r="M8" i="3"/>
  <c r="AP8" i="1" l="1"/>
  <c r="AQ8" i="1"/>
  <c r="AS8" i="1"/>
  <c r="AT8" i="1"/>
  <c r="AW8" i="1"/>
  <c r="AY8" i="1"/>
  <c r="AZ8" i="1"/>
  <c r="BB8" i="1"/>
  <c r="AR8" i="1" s="1"/>
  <c r="AP9" i="1"/>
  <c r="AQ9" i="1"/>
  <c r="AS9" i="1"/>
  <c r="AT9" i="1"/>
  <c r="AW9" i="1"/>
  <c r="AX9" i="1" s="1"/>
  <c r="AY9" i="1"/>
  <c r="AZ9" i="1"/>
  <c r="BB9" i="1"/>
  <c r="AR9" i="1" s="1"/>
  <c r="I2" i="3" l="1"/>
  <c r="BA8" i="1"/>
  <c r="BL9" i="1"/>
  <c r="BM9" i="1"/>
  <c r="BL8" i="1"/>
  <c r="BM8" i="1"/>
  <c r="BA9" i="1"/>
  <c r="AX8" i="1"/>
  <c r="BC8" i="1"/>
  <c r="BF8" i="1"/>
  <c r="BE8" i="1"/>
  <c r="BD8" i="1"/>
  <c r="BF9" i="1"/>
  <c r="BE9" i="1"/>
  <c r="BD9" i="1"/>
  <c r="I11" i="3"/>
  <c r="K2" i="3"/>
  <c r="K3" i="3" l="1"/>
  <c r="I12" i="3"/>
  <c r="I13" i="3"/>
  <c r="K4" i="3"/>
  <c r="I5" i="3" l="1"/>
  <c r="I10" i="3" l="1"/>
  <c r="S21" i="2" l="1"/>
  <c r="S19" i="2" s="1"/>
  <c r="O17" i="2"/>
  <c r="P17" i="2"/>
  <c r="S17" i="2"/>
  <c r="V17" i="2" l="1"/>
  <c r="U17" i="2"/>
  <c r="T17" i="2"/>
  <c r="R17" i="2"/>
  <c r="Q17" i="2"/>
  <c r="U15" i="2"/>
  <c r="T15" i="2"/>
  <c r="S15" i="2"/>
  <c r="R15" i="2"/>
  <c r="Q15" i="2"/>
  <c r="P15" i="2"/>
  <c r="O15" i="2"/>
  <c r="T13" i="2"/>
  <c r="S13" i="2"/>
  <c r="R13" i="2"/>
  <c r="Q13" i="2"/>
  <c r="P13" i="2"/>
  <c r="O13" i="2"/>
  <c r="S11" i="2"/>
  <c r="R11" i="2"/>
  <c r="Q11" i="2"/>
  <c r="P11" i="2"/>
  <c r="O11" i="2"/>
  <c r="R9" i="2"/>
  <c r="Q9" i="2"/>
  <c r="P9" i="2"/>
  <c r="O9" i="2"/>
  <c r="Q7" i="2"/>
  <c r="P7" i="2"/>
  <c r="O7" i="2"/>
  <c r="P5" i="2" l="1"/>
  <c r="O5" i="2"/>
  <c r="P2" i="2"/>
  <c r="O2" i="2"/>
  <c r="O3" i="3" l="1"/>
  <c r="I3" i="3"/>
  <c r="I4" i="3" l="1"/>
  <c r="O4" i="3"/>
  <c r="O2" i="3"/>
  <c r="M4" i="3"/>
  <c r="M2" i="3"/>
  <c r="I9" i="3"/>
  <c r="I7" i="3"/>
  <c r="I8" i="3"/>
  <c r="AU3" i="1"/>
  <c r="AU4" i="1" s="1"/>
  <c r="AU5" i="1" s="1"/>
  <c r="AU6" i="1" s="1"/>
  <c r="AU7" i="1" s="1"/>
  <c r="AU8" i="1" s="1"/>
  <c r="AU9" i="1" s="1"/>
  <c r="AU10" i="1" s="1"/>
  <c r="AU11" i="1" s="1"/>
  <c r="AU12" i="1" s="1"/>
  <c r="AU13" i="1" s="1"/>
  <c r="AU14" i="1" s="1"/>
  <c r="AU15" i="1" s="1"/>
  <c r="AU16" i="1" s="1"/>
  <c r="AU17" i="1" s="1"/>
  <c r="AU18" i="1" s="1"/>
  <c r="AU19" i="1" s="1"/>
  <c r="AU20" i="1" s="1"/>
  <c r="AU21" i="1" s="1"/>
  <c r="AU22" i="1" s="1"/>
  <c r="AU23" i="1" s="1"/>
  <c r="AU24" i="1" s="1"/>
  <c r="AU25" i="1" s="1"/>
  <c r="AU26" i="1" s="1"/>
  <c r="AU27" i="1" s="1"/>
  <c r="AU28" i="1" s="1"/>
  <c r="AU29" i="1" s="1"/>
  <c r="AU30" i="1" s="1"/>
  <c r="AU31" i="1" s="1"/>
  <c r="AU32" i="1" s="1"/>
  <c r="AU33" i="1" s="1"/>
  <c r="AU34" i="1" s="1"/>
  <c r="AU35" i="1" s="1"/>
  <c r="AU36" i="1" s="1"/>
  <c r="AU37" i="1" s="1"/>
  <c r="AU38" i="1" s="1"/>
  <c r="AU39" i="1" s="1"/>
  <c r="AU40" i="1" s="1"/>
  <c r="AU41" i="1" s="1"/>
  <c r="AU42" i="1" s="1"/>
  <c r="AU43" i="1" s="1"/>
  <c r="AU44" i="1" s="1"/>
  <c r="AU45" i="1" s="1"/>
  <c r="AU46" i="1" s="1"/>
  <c r="AU47" i="1" s="1"/>
  <c r="AU48" i="1" s="1"/>
  <c r="AU49" i="1" s="1"/>
  <c r="AU50" i="1" s="1"/>
  <c r="AU51" i="1" s="1"/>
  <c r="AU52" i="1" s="1"/>
  <c r="AU53" i="1" s="1"/>
  <c r="AU54" i="1" s="1"/>
  <c r="AU55" i="1" s="1"/>
  <c r="AU56" i="1" s="1"/>
  <c r="AU57" i="1" s="1"/>
  <c r="AU58" i="1" s="1"/>
  <c r="AU59" i="1" s="1"/>
  <c r="AU60" i="1" s="1"/>
  <c r="AU61" i="1" s="1"/>
  <c r="AU62" i="1" s="1"/>
  <c r="AU63" i="1" s="1"/>
  <c r="AU64" i="1" s="1"/>
  <c r="AU6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1548AD-4A1E-4913-915D-62BC26ED7923}" keepAlive="1" name="ThisWorkbookDataModel" description="מודל נתונים"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D9C3BE-C73E-4DC0-B93A-178515A22FE2}" name="WorksheetConnection_Live day trading 4.xlsx!TABLE1" type="102" refreshedVersion="6" minRefreshableVersion="5">
    <extLst>
      <ext xmlns:x15="http://schemas.microsoft.com/office/spreadsheetml/2010/11/main" uri="{DE250136-89BD-433C-8126-D09CA5730AF9}">
        <x15:connection id="TABLE1" autoDelete="1">
          <x15:rangePr sourceName="_xlcn.WorksheetConnection_Livedaytrading4.xlsxTABLE11"/>
        </x15:connection>
      </ext>
    </extLst>
  </connection>
  <connection id="3" xr16:uid="{0700CA93-789A-41A1-97F6-44F02105E246}" name="WorksheetConnection_Live day trading 4.xlsx!table2" type="102" refreshedVersion="6" minRefreshableVersion="5">
    <extLst>
      <ext xmlns:x15="http://schemas.microsoft.com/office/spreadsheetml/2010/11/main" uri="{DE250136-89BD-433C-8126-D09CA5730AF9}">
        <x15:connection id="table2">
          <x15:rangePr sourceName="_xlcn.WorksheetConnection_Livedaytrading4.xlsxtable21"/>
        </x15:connection>
      </ext>
    </extLst>
  </connection>
</connections>
</file>

<file path=xl/sharedStrings.xml><?xml version="1.0" encoding="utf-8"?>
<sst xmlns="http://schemas.openxmlformats.org/spreadsheetml/2006/main" count="1114" uniqueCount="320">
  <si>
    <t>Instrument</t>
  </si>
  <si>
    <t>No</t>
  </si>
  <si>
    <t>Entry Date</t>
  </si>
  <si>
    <t>Setup</t>
  </si>
  <si>
    <t>Buy/Sell</t>
  </si>
  <si>
    <t>Quantity</t>
  </si>
  <si>
    <t>Entry Price</t>
  </si>
  <si>
    <t>Exit Price</t>
  </si>
  <si>
    <t>Highest Price</t>
  </si>
  <si>
    <t>Lowest Price</t>
  </si>
  <si>
    <t>Potential Price</t>
  </si>
  <si>
    <t>SL Price</t>
  </si>
  <si>
    <t>TP Hit</t>
  </si>
  <si>
    <t>Secotor</t>
  </si>
  <si>
    <t>SPX</t>
  </si>
  <si>
    <t>VPA</t>
  </si>
  <si>
    <t>Price Behaviour</t>
  </si>
  <si>
    <t>SETUP</t>
  </si>
  <si>
    <t>BO</t>
  </si>
  <si>
    <t>BUY/SELL</t>
  </si>
  <si>
    <t>TP HIT</t>
  </si>
  <si>
    <t>BUY</t>
  </si>
  <si>
    <t>SELL</t>
  </si>
  <si>
    <t>PRICE BEHAVIOUR</t>
  </si>
  <si>
    <t>Fast Reversal</t>
  </si>
  <si>
    <t>Strong BO</t>
  </si>
  <si>
    <t>Stuck and Slow</t>
  </si>
  <si>
    <t>Moderate Move</t>
  </si>
  <si>
    <t>Good</t>
  </si>
  <si>
    <t>Bad</t>
  </si>
  <si>
    <t>Medium</t>
  </si>
  <si>
    <t>NONE</t>
  </si>
  <si>
    <t>SECTOR</t>
  </si>
  <si>
    <t>Healthcare</t>
  </si>
  <si>
    <t>Technology</t>
  </si>
  <si>
    <t>Basic Materials</t>
  </si>
  <si>
    <t>Industial Goods</t>
  </si>
  <si>
    <t>Consumer Goods</t>
  </si>
  <si>
    <t>Services</t>
  </si>
  <si>
    <t>Financial</t>
  </si>
  <si>
    <t>Leading Sector</t>
  </si>
  <si>
    <t>2% Above</t>
  </si>
  <si>
    <t>1.5%-2%</t>
  </si>
  <si>
    <t>1%-1.5%</t>
  </si>
  <si>
    <t>0.8%-1%</t>
  </si>
  <si>
    <t>0.6%-0.8%</t>
  </si>
  <si>
    <t>0.4%-0.6%</t>
  </si>
  <si>
    <t>0.2%-0.4%</t>
  </si>
  <si>
    <t>0%-0.2%</t>
  </si>
  <si>
    <t>(-0.2%)-0%</t>
  </si>
  <si>
    <t>(-0.4%)-(-0.2%)</t>
  </si>
  <si>
    <t>(-0.6%)-(-0.4%)</t>
  </si>
  <si>
    <t>(-0.8%)-(-0.6%)</t>
  </si>
  <si>
    <t>(-1%)-(-0.8%)</t>
  </si>
  <si>
    <t>(-1.5%)-(-1%)</t>
  </si>
  <si>
    <t>(-2%)-(-1.5%)</t>
  </si>
  <si>
    <t>Entry Time</t>
  </si>
  <si>
    <t>Exit Time</t>
  </si>
  <si>
    <t>ENTRY TIME</t>
  </si>
  <si>
    <t>&lt;16:01</t>
  </si>
  <si>
    <t>&gt;9:29</t>
  </si>
  <si>
    <t>Price Before BE</t>
  </si>
  <si>
    <t>Supportive</t>
  </si>
  <si>
    <t>Outcome</t>
  </si>
  <si>
    <t>RRR Realized</t>
  </si>
  <si>
    <t>Gain/Loss</t>
  </si>
  <si>
    <t>Net Gain/Loss</t>
  </si>
  <si>
    <t>Time</t>
  </si>
  <si>
    <t>RRR Potential</t>
  </si>
  <si>
    <t>Picture</t>
  </si>
  <si>
    <t>NASDAQ</t>
  </si>
  <si>
    <t>NYSE</t>
  </si>
  <si>
    <t>Comissions</t>
  </si>
  <si>
    <t>RRR in-trade</t>
  </si>
  <si>
    <t>Notes:</t>
  </si>
  <si>
    <t>*RRR Potential are relevant only with a WINNER</t>
  </si>
  <si>
    <t>VWAP</t>
  </si>
  <si>
    <t>At vwap</t>
  </si>
  <si>
    <t>Beyond vwap</t>
  </si>
  <si>
    <t>Away from vwap</t>
  </si>
  <si>
    <t>Action</t>
  </si>
  <si>
    <t>Amount</t>
  </si>
  <si>
    <t>Date</t>
  </si>
  <si>
    <t>Weekly</t>
  </si>
  <si>
    <t>Daily</t>
  </si>
  <si>
    <t>Gain:</t>
  </si>
  <si>
    <t>Expectancy:</t>
  </si>
  <si>
    <t>Balance:</t>
  </si>
  <si>
    <t>Win R:</t>
  </si>
  <si>
    <t>Below -2%</t>
  </si>
  <si>
    <t>BO (FBO)</t>
  </si>
  <si>
    <t>Comments</t>
  </si>
  <si>
    <t>Amount:</t>
  </si>
  <si>
    <t>Sum Gain</t>
  </si>
  <si>
    <t>תוויות שורה</t>
  </si>
  <si>
    <t>סכום כולל</t>
  </si>
  <si>
    <t>סכום של Sum Gain</t>
  </si>
  <si>
    <t>Monday</t>
  </si>
  <si>
    <t>Tuesday</t>
  </si>
  <si>
    <t>Wednesday</t>
  </si>
  <si>
    <t>Thursday</t>
  </si>
  <si>
    <t>Friday</t>
  </si>
  <si>
    <t>Saturday</t>
  </si>
  <si>
    <t>Sunday</t>
  </si>
  <si>
    <t>Exact Match</t>
  </si>
  <si>
    <t>סכום של RRR Realized</t>
  </si>
  <si>
    <t>Intended Entry</t>
  </si>
  <si>
    <t>RRR Closing Price</t>
  </si>
  <si>
    <t>Hard RRR Potential</t>
  </si>
  <si>
    <t>Missed RRR</t>
  </si>
  <si>
    <t>*RRR before BE needs to be at least 1 RRR. And if Target hit then write also FALSE.</t>
  </si>
  <si>
    <t>*SL is moved to BE only if the price exceeds the 1R, 1.5R or 3R Benchmark. Exp the rules do not apply if BE RRR is at 3, it needs to be any number above 3 (3.000001).</t>
  </si>
  <si>
    <t>Starting Balance</t>
  </si>
  <si>
    <t>* Pattern resistance Price needs to be within the 1.5-0 R or 1-0 R .</t>
  </si>
  <si>
    <t>*Fast Reversal Price target 1, 1.5, 2</t>
  </si>
  <si>
    <t>*with Bad VPA consider using 1R or 1.5R or 2R.</t>
  </si>
  <si>
    <t>*with Medium need to check also .</t>
  </si>
  <si>
    <t>Pattern SL</t>
  </si>
  <si>
    <t>Back to BE</t>
  </si>
  <si>
    <t>1) Fast reversal close to original SL.</t>
  </si>
  <si>
    <t>*High Risk on needs to be determined only during critical times:</t>
  </si>
  <si>
    <t>2) When price breaks pattern resistance after it fall from the 3R or more.</t>
  </si>
  <si>
    <t>ממוצע של Hard RRR Potential</t>
  </si>
  <si>
    <t>Negative RRR in-trade</t>
  </si>
  <si>
    <t>ממוצע של Negative RRR in-trade</t>
  </si>
  <si>
    <t>ספירה של No</t>
  </si>
  <si>
    <t>Missed RRR on Entry</t>
  </si>
  <si>
    <t>D</t>
  </si>
  <si>
    <t>Support and Resistance</t>
  </si>
  <si>
    <t>Quick SL</t>
  </si>
  <si>
    <t>Interday</t>
  </si>
  <si>
    <t>High/Low</t>
  </si>
  <si>
    <t>Hour and Lower</t>
  </si>
  <si>
    <t>Pre Market</t>
  </si>
  <si>
    <t>*Confluence relevant also with SandR on different time frames.</t>
  </si>
  <si>
    <t>C</t>
  </si>
  <si>
    <t>* QUICK SL is only if price exceeded 1R and then reversed to SL, all within the 5 minutes.</t>
  </si>
  <si>
    <t>H</t>
  </si>
  <si>
    <t>Catalyst</t>
  </si>
  <si>
    <t>D2</t>
  </si>
  <si>
    <t>L</t>
  </si>
  <si>
    <t>Guidelines:</t>
  </si>
  <si>
    <t>*Strong BO only if price exceeds 1.5 R</t>
  </si>
  <si>
    <t>* Fast Reversal if the trade closes  below 1R.</t>
  </si>
  <si>
    <t>Retest Price</t>
  </si>
  <si>
    <t>*Move SL to beyond TL retest.</t>
  </si>
  <si>
    <t>LOSER</t>
  </si>
  <si>
    <t>WINNER</t>
  </si>
  <si>
    <t>ממוצע של Time</t>
  </si>
  <si>
    <t>ממוצע של RRR in-trade</t>
  </si>
  <si>
    <t>TLR</t>
  </si>
  <si>
    <t>BOT</t>
  </si>
  <si>
    <t>Winner RRR:</t>
  </si>
  <si>
    <t>Loser RRR:</t>
  </si>
  <si>
    <t>RRR Expectancy:</t>
  </si>
  <si>
    <t>Overview</t>
  </si>
  <si>
    <t>סכום של Negative RRR in-trade</t>
  </si>
  <si>
    <t>Column1</t>
  </si>
  <si>
    <t>Volume Exit</t>
  </si>
  <si>
    <t xml:space="preserve"> with Volume Exit</t>
  </si>
  <si>
    <t>Volume Exit BE</t>
  </si>
  <si>
    <t>Hard RRR Before BE</t>
  </si>
  <si>
    <t>Wick Exit</t>
  </si>
  <si>
    <t>*High volume Exit can't be within the first candles near the launch.</t>
  </si>
  <si>
    <t>*Doji rejection can't be if the candles body is high</t>
  </si>
  <si>
    <t>Volume Exit RRR Reach</t>
  </si>
  <si>
    <t>Pattern</t>
  </si>
  <si>
    <t>ST</t>
  </si>
  <si>
    <t>Candle Exit</t>
  </si>
  <si>
    <t>Relative Volume</t>
  </si>
  <si>
    <t>Daily Volume in Mil</t>
  </si>
  <si>
    <t>Float</t>
  </si>
  <si>
    <t xml:space="preserve"> with SL at pattern break</t>
  </si>
  <si>
    <t xml:space="preserve"> Fast Reversal at 2</t>
  </si>
  <si>
    <t xml:space="preserve"> Fast Reversal at 1.5</t>
  </si>
  <si>
    <t xml:space="preserve"> Fast Reversal at 1</t>
  </si>
  <si>
    <t xml:space="preserve"> Fast Reversal at 0</t>
  </si>
  <si>
    <t>SEEL</t>
  </si>
  <si>
    <t>seel_+.png</t>
  </si>
  <si>
    <t>PLAG</t>
  </si>
  <si>
    <t>JMU</t>
  </si>
  <si>
    <t>F</t>
  </si>
  <si>
    <t>plag_+.png</t>
  </si>
  <si>
    <t>jmu_-1.png</t>
  </si>
  <si>
    <t>ATOS</t>
  </si>
  <si>
    <t>ATOS_-1.png</t>
  </si>
  <si>
    <t>SLNO</t>
  </si>
  <si>
    <t>AT</t>
  </si>
  <si>
    <t>slno_+.png</t>
  </si>
  <si>
    <t>R</t>
  </si>
  <si>
    <t>atos_-1_001.png</t>
  </si>
  <si>
    <t>VXRT</t>
  </si>
  <si>
    <t>VXRT_+.png</t>
  </si>
  <si>
    <t>SCON</t>
  </si>
  <si>
    <t>scon +.jpg</t>
  </si>
  <si>
    <t>AETI</t>
  </si>
  <si>
    <t>Industrial Goods</t>
  </si>
  <si>
    <t>Aeti_-1.png</t>
  </si>
  <si>
    <t>GBR</t>
  </si>
  <si>
    <t>CIFS</t>
  </si>
  <si>
    <t>GBR_-1.png</t>
  </si>
  <si>
    <t>*TP is TRUE only if it had exceeded the 2.5 marks</t>
  </si>
  <si>
    <t>CIFS_.png</t>
  </si>
  <si>
    <t>PULM</t>
  </si>
  <si>
    <t>pulm_.png</t>
  </si>
  <si>
    <t>CTRM</t>
  </si>
  <si>
    <t>ctrm_.png</t>
  </si>
  <si>
    <t>pulm_-.png</t>
  </si>
  <si>
    <t>OPTT</t>
  </si>
  <si>
    <t>Short Float</t>
  </si>
  <si>
    <t>OPTT.png</t>
  </si>
  <si>
    <t>TNXP</t>
  </si>
  <si>
    <t>TNXP_-.png</t>
  </si>
  <si>
    <t>VTL</t>
  </si>
  <si>
    <t>jmu_+.png</t>
  </si>
  <si>
    <t>VTL_+.png</t>
  </si>
  <si>
    <t>vtl_-.png</t>
  </si>
  <si>
    <t>BLIN</t>
  </si>
  <si>
    <t>GLG</t>
  </si>
  <si>
    <t>BLIN_-.png</t>
  </si>
  <si>
    <t>GLG_+.png</t>
  </si>
  <si>
    <t>RRR difference</t>
  </si>
  <si>
    <t>RRR at 2.5</t>
  </si>
  <si>
    <t>RRR at 3</t>
  </si>
  <si>
    <t>סכום של  Fast Reversal at 0</t>
  </si>
  <si>
    <t>סכום של  Fast Reversal at 1</t>
  </si>
  <si>
    <t>סכום של  Fast Reversal at 1.5</t>
  </si>
  <si>
    <t>סכום של  Fast Reversal at 2</t>
  </si>
  <si>
    <t>סכום של  with SL at pattern break</t>
  </si>
  <si>
    <t>סכום של RRR at 2.5</t>
  </si>
  <si>
    <t>סכום של RRR at 3</t>
  </si>
  <si>
    <t>FCSC</t>
  </si>
  <si>
    <t>fcsc_-1.png</t>
  </si>
  <si>
    <t>IPWR</t>
  </si>
  <si>
    <t>ipwr_-1.png</t>
  </si>
  <si>
    <t>RBZ</t>
  </si>
  <si>
    <t>riot_.png</t>
  </si>
  <si>
    <t>AKTX</t>
  </si>
  <si>
    <t>aktx_+.png</t>
  </si>
  <si>
    <t>MTP</t>
  </si>
  <si>
    <t>RHE</t>
  </si>
  <si>
    <t>RHE.png</t>
  </si>
  <si>
    <t>MTP_001.png</t>
  </si>
  <si>
    <t>NOVN</t>
  </si>
  <si>
    <t>NOVN_.png</t>
  </si>
  <si>
    <t>ENPH</t>
  </si>
  <si>
    <t>ABIO</t>
  </si>
  <si>
    <t>enph.png</t>
  </si>
  <si>
    <t>P</t>
  </si>
  <si>
    <t>ABIO.png</t>
  </si>
  <si>
    <t>RRR Wick Exit</t>
  </si>
  <si>
    <t>RRR Candle Exit</t>
  </si>
  <si>
    <t>blin_.png</t>
  </si>
  <si>
    <t>RTTR</t>
  </si>
  <si>
    <t>TBO</t>
  </si>
  <si>
    <t>..\Potential trades 2\TBO\RTTR.png</t>
  </si>
  <si>
    <t>TBLT</t>
  </si>
  <si>
    <t>DT</t>
  </si>
  <si>
    <t>TBLT.png</t>
  </si>
  <si>
    <t>MARA</t>
  </si>
  <si>
    <t>MARA.png</t>
  </si>
  <si>
    <t>NBY</t>
  </si>
  <si>
    <t>nby.png</t>
  </si>
  <si>
    <t>CEI</t>
  </si>
  <si>
    <t>CLRB</t>
  </si>
  <si>
    <t>PDSB</t>
  </si>
  <si>
    <t>CEI_.png</t>
  </si>
  <si>
    <t>CLRB.png</t>
  </si>
  <si>
    <t>pdsb.png</t>
  </si>
  <si>
    <t>ELTK</t>
  </si>
  <si>
    <t>OTLK</t>
  </si>
  <si>
    <t>ELTK.png</t>
  </si>
  <si>
    <t>OTLK.png</t>
  </si>
  <si>
    <t>rbz.png</t>
  </si>
  <si>
    <t>otlk_001.png</t>
  </si>
  <si>
    <t>Winner</t>
  </si>
  <si>
    <t>Loser</t>
  </si>
  <si>
    <t>..\Potential trades 2\TBO\rbz_001.png</t>
  </si>
  <si>
    <t>Trade BO only with relative volume higher than 50 and not later than 10:45</t>
  </si>
  <si>
    <t>CANF</t>
  </si>
  <si>
    <t>BIOC</t>
  </si>
  <si>
    <t>BIOC.png</t>
  </si>
  <si>
    <t>Percent Gain</t>
  </si>
  <si>
    <t>NVAX</t>
  </si>
  <si>
    <t>AFH</t>
  </si>
  <si>
    <t>..\Potential trades 2\TBO\NVAX.png</t>
  </si>
  <si>
    <t>..\Potential trades 2\TBO\afh.png</t>
  </si>
  <si>
    <t>canf.png</t>
  </si>
  <si>
    <t>..\Potential trades 2\TBO\novn.png</t>
  </si>
  <si>
    <t>ZSAN</t>
  </si>
  <si>
    <t>..\Potential trades 2\TBO\ZSAN_001.png</t>
  </si>
  <si>
    <t>NVCN</t>
  </si>
  <si>
    <t>NVCN.png</t>
  </si>
  <si>
    <t>EMES</t>
  </si>
  <si>
    <t>..\Potential trades 2\TBO\emes.png</t>
  </si>
  <si>
    <t>SUNW</t>
  </si>
  <si>
    <t>..\Potential trades 2\TBO\sunw_.png</t>
  </si>
  <si>
    <t>CYCC</t>
  </si>
  <si>
    <t>RVLT</t>
  </si>
  <si>
    <t>CYCC.png</t>
  </si>
  <si>
    <t>RVLT.png</t>
  </si>
  <si>
    <t>..\Potential trades 2\TBO\BIOC.png</t>
  </si>
  <si>
    <t>If the trade was taken after 10:30, be more cautios with exits, 2 wicks candles is an exit sign.</t>
  </si>
  <si>
    <t>Avoid trading into strong resistance after 10:30, you can notice it by looking at the wicks and resistance line or numbers</t>
  </si>
  <si>
    <t>Add column with highest high percent</t>
  </si>
  <si>
    <t>the only trades allowed to take after 10:45 are vwap bo patterns</t>
  </si>
  <si>
    <t>take picture of the daily and see any patterns: SandR, 52W high, 52W low, range, other high volume candles</t>
  </si>
  <si>
    <t>SOLY</t>
  </si>
  <si>
    <t>soly.png</t>
  </si>
  <si>
    <t>SPY 4H</t>
  </si>
  <si>
    <t>CUI</t>
  </si>
  <si>
    <t>..\Potential trades 2\TBO\OTLK_-1.png</t>
  </si>
  <si>
    <t>RRR Difference</t>
  </si>
  <si>
    <t>Sector</t>
  </si>
  <si>
    <t>Potential Price Before BE</t>
  </si>
  <si>
    <t>RRR Volume Exit</t>
  </si>
  <si>
    <t>RRR Joint Wick and Volume Exit</t>
  </si>
  <si>
    <t>VWAP Tag</t>
  </si>
  <si>
    <t>Pause Num</t>
  </si>
  <si>
    <t>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</si>
</sst>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m/yyyy;@"/>
    <numFmt numFmtId="166" formatCode="_-[$$-409]* #,##0.00_ ;_-[$$-409]* \-#,##0.00\ ;_-[$$-409]* &quot;-&quot;??_ ;_-@_ "/>
    <numFmt numFmtId="167" formatCode="0.0000"/>
  </numFmts>
  <fonts count="10"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6"/>
      <name val="Calibri"/>
      <family val="2"/>
      <scheme val="minor"/>
    </font>
    <font>
      <b/>
      <sz val="14"/>
      <color theme="8" tint="-0.249977111117893"/>
      <name val="Calibri"/>
      <family val="2"/>
      <scheme val="minor"/>
    </font>
    <font>
      <sz val="11"/>
      <color theme="0"/>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79998168889431442"/>
        <bgColor theme="8" tint="0.79998168889431442"/>
      </patternFill>
    </fill>
    <fill>
      <patternFill patternType="solid">
        <fgColor theme="5"/>
        <bgColor indexed="64"/>
      </patternFill>
    </fill>
    <fill>
      <patternFill patternType="solid">
        <fgColor theme="5" tint="0.79998168889431442"/>
        <bgColor theme="5" tint="0.79998168889431442"/>
      </patternFill>
    </fill>
    <fill>
      <patternFill patternType="solid">
        <fgColor theme="8" tint="0.59999389629810485"/>
        <bgColor theme="8" tint="0.59999389629810485"/>
      </patternFill>
    </fill>
    <fill>
      <patternFill patternType="solid">
        <fgColor theme="9"/>
        <bgColor theme="9"/>
      </patternFill>
    </fill>
  </fills>
  <borders count="15">
    <border>
      <left/>
      <right/>
      <top/>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style="thin">
        <color theme="5" tint="0.39997558519241921"/>
      </left>
      <right/>
      <top/>
      <bottom/>
      <diagonal/>
    </border>
    <border>
      <left/>
      <right style="thick">
        <color indexed="64"/>
      </right>
      <top/>
      <bottom/>
      <diagonal/>
    </border>
    <border>
      <left style="thick">
        <color indexed="64"/>
      </left>
      <right style="thick">
        <color indexed="64"/>
      </right>
      <top/>
      <bottom/>
      <diagonal/>
    </border>
    <border>
      <left style="thick">
        <color indexed="64"/>
      </left>
      <right/>
      <top/>
      <bottom/>
      <diagonal/>
    </border>
    <border>
      <left style="thick">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6">
    <xf numFmtId="0" fontId="0" fillId="0" borderId="0" xfId="0"/>
    <xf numFmtId="164" fontId="0" fillId="0" borderId="0" xfId="0" applyNumberFormat="1"/>
    <xf numFmtId="165" fontId="0" fillId="0" borderId="0" xfId="0" applyNumberFormat="1"/>
    <xf numFmtId="21" fontId="0" fillId="0" borderId="0" xfId="0" applyNumberFormat="1"/>
    <xf numFmtId="0" fontId="0" fillId="0" borderId="0" xfId="0" applyNumberFormat="1"/>
    <xf numFmtId="165" fontId="0" fillId="2" borderId="0" xfId="0" applyNumberFormat="1" applyFill="1"/>
    <xf numFmtId="0" fontId="3" fillId="0" borderId="0" xfId="0" applyFont="1"/>
    <xf numFmtId="0" fontId="5" fillId="0" borderId="0" xfId="0" applyFont="1"/>
    <xf numFmtId="0" fontId="6" fillId="3" borderId="0" xfId="0" applyFont="1" applyFill="1"/>
    <xf numFmtId="0" fontId="6" fillId="3" borderId="1" xfId="0" applyFont="1" applyFill="1" applyBorder="1"/>
    <xf numFmtId="14" fontId="0" fillId="0" borderId="0" xfId="0" applyNumberFormat="1"/>
    <xf numFmtId="0" fontId="7" fillId="0" borderId="0" xfId="0" applyFont="1"/>
    <xf numFmtId="166" fontId="7" fillId="0" borderId="0" xfId="0" applyNumberFormat="1" applyFont="1"/>
    <xf numFmtId="0" fontId="6" fillId="3" borderId="8" xfId="0" applyFont="1" applyFill="1" applyBorder="1" applyAlignment="1">
      <alignment horizontal="center"/>
    </xf>
    <xf numFmtId="0" fontId="6" fillId="3" borderId="0" xfId="0" applyFont="1" applyFill="1" applyBorder="1" applyAlignment="1">
      <alignment horizontal="center"/>
    </xf>
    <xf numFmtId="1" fontId="0" fillId="0" borderId="0" xfId="0" applyNumberFormat="1"/>
    <xf numFmtId="0" fontId="0" fillId="0" borderId="0" xfId="0" pivotButton="1"/>
    <xf numFmtId="9" fontId="7" fillId="0" borderId="0" xfId="2" applyFont="1"/>
    <xf numFmtId="0" fontId="0" fillId="0" borderId="0" xfId="0" applyAlignment="1">
      <alignment horizontal="left"/>
    </xf>
    <xf numFmtId="167" fontId="0" fillId="0" borderId="0" xfId="0" applyNumberFormat="1"/>
    <xf numFmtId="0" fontId="0" fillId="0" borderId="0" xfId="0" applyBorder="1"/>
    <xf numFmtId="0" fontId="0" fillId="0" borderId="0" xfId="0" applyNumberFormat="1" applyBorder="1"/>
    <xf numFmtId="0" fontId="1" fillId="0" borderId="9" xfId="1" applyBorder="1"/>
    <xf numFmtId="0" fontId="0" fillId="0" borderId="9" xfId="0" applyBorder="1"/>
    <xf numFmtId="0" fontId="0" fillId="0" borderId="10" xfId="0" applyBorder="1"/>
    <xf numFmtId="0" fontId="0" fillId="0" borderId="10" xfId="0" applyNumberFormat="1" applyBorder="1"/>
    <xf numFmtId="0" fontId="7" fillId="0" borderId="0" xfId="0" applyNumberFormat="1" applyFont="1"/>
    <xf numFmtId="0" fontId="0" fillId="0" borderId="0" xfId="0" applyFont="1"/>
    <xf numFmtId="0" fontId="0" fillId="0" borderId="0" xfId="0" applyAlignment="1">
      <alignment horizontal="left" indent="1"/>
    </xf>
    <xf numFmtId="165" fontId="0" fillId="5" borderId="0" xfId="0" applyNumberFormat="1" applyFill="1"/>
    <xf numFmtId="0" fontId="8" fillId="6" borderId="0" xfId="0" applyFont="1" applyFill="1"/>
    <xf numFmtId="0" fontId="8" fillId="6" borderId="9" xfId="0" applyFont="1" applyFill="1" applyBorder="1"/>
    <xf numFmtId="0" fontId="8" fillId="6" borderId="0" xfId="0" applyFont="1" applyFill="1" applyBorder="1"/>
    <xf numFmtId="0" fontId="8" fillId="6" borderId="11" xfId="0" applyFont="1" applyFill="1" applyBorder="1"/>
    <xf numFmtId="0" fontId="0" fillId="5" borderId="0" xfId="0" applyNumberFormat="1" applyFill="1"/>
    <xf numFmtId="0" fontId="0" fillId="5" borderId="0" xfId="0" applyNumberFormat="1" applyFill="1" applyBorder="1"/>
    <xf numFmtId="0" fontId="0" fillId="5" borderId="11" xfId="0" applyNumberFormat="1" applyFill="1" applyBorder="1"/>
    <xf numFmtId="0" fontId="8" fillId="6" borderId="10" xfId="0" applyFont="1" applyFill="1" applyBorder="1"/>
    <xf numFmtId="167" fontId="0" fillId="5" borderId="0" xfId="0" applyNumberFormat="1" applyFill="1"/>
    <xf numFmtId="0" fontId="0" fillId="5" borderId="0" xfId="0" applyFill="1"/>
    <xf numFmtId="21" fontId="8" fillId="6" borderId="0" xfId="0" applyNumberFormat="1" applyFont="1" applyFill="1"/>
    <xf numFmtId="21" fontId="0" fillId="5" borderId="0" xfId="0" applyNumberFormat="1" applyFill="1"/>
    <xf numFmtId="164" fontId="8" fillId="6" borderId="0" xfId="0" applyNumberFormat="1" applyFont="1" applyFill="1"/>
    <xf numFmtId="164" fontId="0" fillId="5" borderId="0" xfId="0" applyNumberFormat="1" applyFill="1"/>
    <xf numFmtId="165" fontId="8" fillId="6" borderId="0" xfId="0" applyNumberFormat="1" applyFont="1" applyFill="1"/>
    <xf numFmtId="0" fontId="1" fillId="5" borderId="9" xfId="1" applyFill="1" applyBorder="1"/>
    <xf numFmtId="2" fontId="7" fillId="0" borderId="0" xfId="0" applyNumberFormat="1" applyFont="1"/>
    <xf numFmtId="0" fontId="0" fillId="0" borderId="12" xfId="0" applyBorder="1"/>
    <xf numFmtId="0" fontId="0" fillId="0" borderId="12" xfId="0" applyNumberFormat="1" applyBorder="1"/>
    <xf numFmtId="0" fontId="0" fillId="0" borderId="0" xfId="0" applyFill="1" applyBorder="1" applyAlignment="1"/>
    <xf numFmtId="0" fontId="0" fillId="0" borderId="13" xfId="0" applyFill="1" applyBorder="1" applyAlignment="1"/>
    <xf numFmtId="0" fontId="9" fillId="0" borderId="14" xfId="0" applyFont="1" applyFill="1" applyBorder="1" applyAlignment="1">
      <alignment horizontal="centerContinuous"/>
    </xf>
    <xf numFmtId="167" fontId="0" fillId="0" borderId="0" xfId="0" applyNumberFormat="1" applyBorder="1"/>
    <xf numFmtId="0" fontId="0" fillId="5" borderId="10" xfId="0" applyNumberFormat="1" applyFill="1" applyBorder="1"/>
    <xf numFmtId="0" fontId="0" fillId="5" borderId="12" xfId="0" applyNumberFormat="1" applyFill="1" applyBorder="1"/>
    <xf numFmtId="0" fontId="8" fillId="6" borderId="12" xfId="0" applyFont="1" applyFill="1" applyBorder="1"/>
    <xf numFmtId="0" fontId="0" fillId="2" borderId="0" xfId="0" applyFill="1"/>
    <xf numFmtId="0" fontId="0" fillId="2" borderId="10" xfId="0" applyNumberFormat="1" applyFill="1" applyBorder="1"/>
    <xf numFmtId="165" fontId="0" fillId="2" borderId="3" xfId="0" applyNumberFormat="1" applyFont="1" applyFill="1" applyBorder="1" applyAlignment="1">
      <alignment horizontal="center" vertical="top"/>
    </xf>
    <xf numFmtId="165" fontId="0" fillId="2" borderId="7" xfId="0" applyNumberFormat="1" applyFont="1" applyFill="1" applyBorder="1" applyAlignment="1">
      <alignment horizontal="center" vertical="top"/>
    </xf>
    <xf numFmtId="0" fontId="0" fillId="4" borderId="2"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4" fillId="3" borderId="0" xfId="0" applyFont="1" applyFill="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5" xfId="0" applyFont="1" applyFill="1" applyBorder="1" applyAlignment="1">
      <alignment vertical="top"/>
    </xf>
    <xf numFmtId="0" fontId="0" fillId="4" borderId="6" xfId="0" applyFont="1" applyFill="1" applyBorder="1" applyAlignment="1">
      <alignment vertical="top"/>
    </xf>
  </cellXfs>
  <cellStyles count="3">
    <cellStyle name="Hyperlink" xfId="1" builtinId="8"/>
    <cellStyle name="Normal" xfId="0" builtinId="0"/>
    <cellStyle name="Percent" xfId="2" builtinId="5"/>
  </cellStyles>
  <dxfs count="94">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top/>
        <bottom/>
        <vertical/>
        <horizontal/>
      </border>
    </dxf>
    <dxf>
      <numFmt numFmtId="0" formatCode="General"/>
      <fill>
        <patternFill patternType="solid">
          <fgColor theme="8" tint="0.59999389629810485"/>
          <bgColor theme="8" tint="0.59999389629810485"/>
        </patternFill>
      </fill>
      <border diagonalUp="0" diagonalDown="0">
        <left style="thick">
          <color indexed="64"/>
        </left>
        <right style="thin">
          <color indexed="64"/>
        </right>
        <top/>
        <bottom/>
        <vertical/>
        <horizontal/>
      </border>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style="thick">
          <color indexed="64"/>
        </right>
        <top/>
        <bottom/>
        <vertical/>
        <horizontal/>
      </border>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26" formatCode="h:mm:ss"/>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border diagonalUp="0" diagonalDown="0">
        <left/>
        <right style="thick">
          <color indexed="64"/>
        </right>
        <top/>
        <bottom/>
        <vertical/>
        <horizontal/>
      </border>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5" formatCode="d/m/yyyy;@"/>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ont>
        <b val="0"/>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thick">
          <color indexed="64"/>
        </left>
        <right style="thin">
          <color indexed="64"/>
        </right>
        <top/>
        <bottom/>
        <vertical/>
        <horizontal/>
      </border>
    </dxf>
    <dxf>
      <numFmt numFmtId="0" formatCode="General"/>
    </dxf>
    <dxf>
      <numFmt numFmtId="0" formatCode="General"/>
    </dxf>
    <dxf>
      <numFmt numFmtId="0" formatCode="General"/>
    </dxf>
    <dxf>
      <numFmt numFmtId="0" formatCode="General"/>
    </dxf>
    <dxf>
      <numFmt numFmtId="0" formatCode="General"/>
      <border diagonalUp="0" diagonalDown="0">
        <left style="thick">
          <color indexed="64"/>
        </left>
        <right style="thick">
          <color indexed="64"/>
        </right>
        <top/>
        <bottom/>
        <vertical/>
        <horizontal/>
      </border>
    </dxf>
    <dxf>
      <numFmt numFmtId="167" formatCode="0.0000"/>
    </dxf>
    <dxf>
      <numFmt numFmtId="167" formatCode="0.0000"/>
    </dxf>
    <dxf>
      <numFmt numFmtId="167" formatCode="0.0000"/>
    </dxf>
    <dxf>
      <numFmt numFmtId="167" formatCode="0.0000"/>
    </dxf>
    <dxf>
      <numFmt numFmtId="0" formatCode="General"/>
    </dxf>
    <dxf>
      <numFmt numFmtId="0" formatCode="General"/>
    </dxf>
    <dxf>
      <numFmt numFmtId="0" formatCode="General"/>
    </dxf>
    <dxf>
      <numFmt numFmtId="26" formatCode="h:mm:ss"/>
    </dxf>
    <dxf>
      <numFmt numFmtId="0" formatCode="General"/>
    </dxf>
    <dxf>
      <numFmt numFmtId="0" formatCode="General"/>
    </dxf>
    <dxf>
      <numFmt numFmtId="167" formatCode="0.0000"/>
    </dxf>
    <dxf>
      <numFmt numFmtId="0" formatCode="General"/>
    </dxf>
    <dxf>
      <border diagonalUp="0" diagonalDown="0">
        <left/>
        <right style="thick">
          <color indexed="64"/>
        </right>
        <top/>
        <bottom/>
        <vertical/>
        <horizontal/>
      </border>
    </dxf>
    <dxf>
      <numFmt numFmtId="1" formatCode="0"/>
    </dxf>
    <dxf>
      <numFmt numFmtId="0" formatCode="General"/>
    </dxf>
    <dxf>
      <numFmt numFmtId="0" formatCode="General"/>
    </dxf>
    <dxf>
      <numFmt numFmtId="164" formatCode="h:mm;@"/>
    </dxf>
    <dxf>
      <numFmt numFmtId="164" formatCode="h:mm;@"/>
    </dxf>
    <dxf>
      <numFmt numFmtId="165" formatCode="d/m/yyyy;@"/>
    </dxf>
    <dxf>
      <font>
        <b val="0"/>
        <i val="0"/>
        <strike val="0"/>
        <condense val="0"/>
        <extend val="0"/>
        <outline val="0"/>
        <shadow val="0"/>
        <u val="none"/>
        <vertAlign val="baseline"/>
        <sz val="11"/>
        <color theme="1"/>
        <name val="Calibri"/>
        <family val="2"/>
        <scheme val="minor"/>
      </font>
    </dxf>
    <dxf>
      <numFmt numFmtId="165" formatCode="d/m/yyyy;@"/>
      <fill>
        <patternFill patternType="solid">
          <fgColor theme="8" tint="0.79998168889431442"/>
          <bgColor theme="8" tint="0.79998168889431442"/>
        </patternFill>
      </fill>
    </dxf>
    <dxf>
      <numFmt numFmtId="165" formatCode="d/m/yyyy;@"/>
      <fill>
        <patternFill patternType="solid">
          <fgColor theme="8" tint="0.79998168889431442"/>
          <bgColor theme="8" tint="0.79998168889431442"/>
        </patternFill>
      </fill>
    </dxf>
    <dxf>
      <font>
        <b/>
        <i val="0"/>
        <strike val="0"/>
        <condense val="0"/>
        <extend val="0"/>
        <outline val="0"/>
        <shadow val="0"/>
        <u val="none"/>
        <vertAlign val="baseline"/>
        <sz val="16"/>
        <color theme="1"/>
        <name val="Calibri"/>
        <family val="2"/>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4.xlsx]Notes!PivotTable3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6"/>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Notes!$AA$4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0-43FA-42DE-B75C-372091D237DA}"/>
              </c:ext>
            </c:extLst>
          </c:dPt>
          <c:cat>
            <c:strRef>
              <c:f>Notes!$Z$5:$Z$69</c:f>
              <c:strCach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56</c:v>
                </c:pt>
                <c:pt idx="55">
                  <c:v>57</c:v>
                </c:pt>
                <c:pt idx="56">
                  <c:v>58</c:v>
                </c:pt>
                <c:pt idx="57">
                  <c:v>59</c:v>
                </c:pt>
                <c:pt idx="58">
                  <c:v>60</c:v>
                </c:pt>
                <c:pt idx="59">
                  <c:v>61</c:v>
                </c:pt>
                <c:pt idx="60">
                  <c:v>62</c:v>
                </c:pt>
                <c:pt idx="61">
                  <c:v>63</c:v>
                </c:pt>
                <c:pt idx="62">
                  <c:v>64</c:v>
                </c:pt>
                <c:pt idx="63">
                  <c:v>65</c:v>
                </c:pt>
              </c:strCache>
            </c:strRef>
          </c:cat>
          <c:val>
            <c:numRef>
              <c:f>Notes!$AA$5:$AA$69</c:f>
              <c:numCache>
                <c:formatCode>General</c:formatCode>
                <c:ptCount val="64"/>
                <c:pt idx="0">
                  <c:v>-103.09</c:v>
                </c:pt>
                <c:pt idx="1">
                  <c:v>216.82000000000002</c:v>
                </c:pt>
                <c:pt idx="2">
                  <c:v>86.730000000000018</c:v>
                </c:pt>
                <c:pt idx="3">
                  <c:v>171.69</c:v>
                </c:pt>
                <c:pt idx="4">
                  <c:v>308.44</c:v>
                </c:pt>
                <c:pt idx="5">
                  <c:v>258.31</c:v>
                </c:pt>
                <c:pt idx="6">
                  <c:v>259.74</c:v>
                </c:pt>
                <c:pt idx="7">
                  <c:v>259.54000000000002</c:v>
                </c:pt>
                <c:pt idx="8">
                  <c:v>526.99</c:v>
                </c:pt>
                <c:pt idx="9">
                  <c:v>413.54</c:v>
                </c:pt>
                <c:pt idx="10">
                  <c:v>653.19000000000005</c:v>
                </c:pt>
                <c:pt idx="11">
                  <c:v>653.19000000000005</c:v>
                </c:pt>
                <c:pt idx="12">
                  <c:v>661.30000000000007</c:v>
                </c:pt>
                <c:pt idx="13">
                  <c:v>692.67000000000007</c:v>
                </c:pt>
                <c:pt idx="14">
                  <c:v>582.30000000000007</c:v>
                </c:pt>
                <c:pt idx="15">
                  <c:v>479.28000000000009</c:v>
                </c:pt>
                <c:pt idx="16">
                  <c:v>373.44890000000009</c:v>
                </c:pt>
                <c:pt idx="17">
                  <c:v>423.32890000000009</c:v>
                </c:pt>
                <c:pt idx="18">
                  <c:v>695.76890000000003</c:v>
                </c:pt>
                <c:pt idx="19">
                  <c:v>573.89890000000003</c:v>
                </c:pt>
                <c:pt idx="20">
                  <c:v>499.91890000000001</c:v>
                </c:pt>
                <c:pt idx="21">
                  <c:v>746.83889999999997</c:v>
                </c:pt>
                <c:pt idx="22">
                  <c:v>768.75889999999993</c:v>
                </c:pt>
                <c:pt idx="23">
                  <c:v>634.6588999999999</c:v>
                </c:pt>
                <c:pt idx="24">
                  <c:v>871.98889999999994</c:v>
                </c:pt>
                <c:pt idx="25">
                  <c:v>909.5388999999999</c:v>
                </c:pt>
                <c:pt idx="26">
                  <c:v>820.31889999999987</c:v>
                </c:pt>
                <c:pt idx="27">
                  <c:v>1067.2088999999999</c:v>
                </c:pt>
                <c:pt idx="28">
                  <c:v>1029.0989</c:v>
                </c:pt>
                <c:pt idx="29">
                  <c:v>924.00889999999993</c:v>
                </c:pt>
                <c:pt idx="30">
                  <c:v>1053.0088999999998</c:v>
                </c:pt>
                <c:pt idx="31">
                  <c:v>1061.8488999999997</c:v>
                </c:pt>
                <c:pt idx="32">
                  <c:v>1061.6988999999996</c:v>
                </c:pt>
                <c:pt idx="33">
                  <c:v>935.58889999999963</c:v>
                </c:pt>
                <c:pt idx="34">
                  <c:v>1149.2688999999996</c:v>
                </c:pt>
                <c:pt idx="35">
                  <c:v>1395.8388999999995</c:v>
                </c:pt>
                <c:pt idx="36">
                  <c:v>1415.7788999999996</c:v>
                </c:pt>
                <c:pt idx="37">
                  <c:v>1448.8588999999995</c:v>
                </c:pt>
                <c:pt idx="38">
                  <c:v>1451.6188999999995</c:v>
                </c:pt>
                <c:pt idx="39">
                  <c:v>1343.9988999999996</c:v>
                </c:pt>
                <c:pt idx="40">
                  <c:v>1676.9788999999996</c:v>
                </c:pt>
                <c:pt idx="41">
                  <c:v>1843.3488999999995</c:v>
                </c:pt>
                <c:pt idx="42">
                  <c:v>1719.7488999999996</c:v>
                </c:pt>
                <c:pt idx="43">
                  <c:v>1614.2088999999996</c:v>
                </c:pt>
                <c:pt idx="44">
                  <c:v>1515.6288999999997</c:v>
                </c:pt>
                <c:pt idx="45">
                  <c:v>1595.6488999999997</c:v>
                </c:pt>
                <c:pt idx="46">
                  <c:v>1759.3888999999997</c:v>
                </c:pt>
                <c:pt idx="47">
                  <c:v>1762.4288999999997</c:v>
                </c:pt>
                <c:pt idx="48">
                  <c:v>1659.3388999999997</c:v>
                </c:pt>
                <c:pt idx="49">
                  <c:v>1883.9688999999998</c:v>
                </c:pt>
                <c:pt idx="50">
                  <c:v>1787.3388999999997</c:v>
                </c:pt>
                <c:pt idx="51">
                  <c:v>2447.5388999999996</c:v>
                </c:pt>
                <c:pt idx="52">
                  <c:v>2231.9088999999994</c:v>
                </c:pt>
                <c:pt idx="53">
                  <c:v>2020.4588999999994</c:v>
                </c:pt>
                <c:pt idx="54">
                  <c:v>1690.3288999999995</c:v>
                </c:pt>
                <c:pt idx="55">
                  <c:v>1355.7988999999995</c:v>
                </c:pt>
                <c:pt idx="56">
                  <c:v>979.79889999999955</c:v>
                </c:pt>
                <c:pt idx="57">
                  <c:v>732.19889999999953</c:v>
                </c:pt>
                <c:pt idx="58">
                  <c:v>1325.8788999999995</c:v>
                </c:pt>
                <c:pt idx="59">
                  <c:v>1033.3388999999995</c:v>
                </c:pt>
                <c:pt idx="60">
                  <c:v>785.21889999999951</c:v>
                </c:pt>
                <c:pt idx="61">
                  <c:v>656.43889999999953</c:v>
                </c:pt>
                <c:pt idx="62">
                  <c:v>467.00889999999953</c:v>
                </c:pt>
                <c:pt idx="63">
                  <c:v>277.57889999999952</c:v>
                </c:pt>
              </c:numCache>
            </c:numRef>
          </c:val>
          <c:smooth val="0"/>
          <c:extLst>
            <c:ext xmlns:c16="http://schemas.microsoft.com/office/drawing/2014/chart" uri="{C3380CC4-5D6E-409C-BE32-E72D297353CC}">
              <c16:uniqueId val="{00000001-43FA-42DE-B75C-372091D237DA}"/>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גיליון1!$D$8:$D$71</c:f>
              <c:numCache>
                <c:formatCode>General</c:formatCode>
                <c:ptCount val="64"/>
                <c:pt idx="0">
                  <c:v>-1</c:v>
                </c:pt>
                <c:pt idx="1">
                  <c:v>-1</c:v>
                </c:pt>
                <c:pt idx="2">
                  <c:v>-0.67</c:v>
                </c:pt>
                <c:pt idx="3">
                  <c:v>-0.6</c:v>
                </c:pt>
                <c:pt idx="4">
                  <c:v>-0.6</c:v>
                </c:pt>
                <c:pt idx="5">
                  <c:v>-0.35</c:v>
                </c:pt>
                <c:pt idx="6">
                  <c:v>-0.35</c:v>
                </c:pt>
                <c:pt idx="7">
                  <c:v>-0.35</c:v>
                </c:pt>
                <c:pt idx="8">
                  <c:v>-0.35</c:v>
                </c:pt>
                <c:pt idx="9">
                  <c:v>-0.31</c:v>
                </c:pt>
                <c:pt idx="10">
                  <c:v>-0.3</c:v>
                </c:pt>
                <c:pt idx="11">
                  <c:v>-0.3</c:v>
                </c:pt>
                <c:pt idx="12">
                  <c:v>-0.3</c:v>
                </c:pt>
                <c:pt idx="13">
                  <c:v>-0.3</c:v>
                </c:pt>
                <c:pt idx="14">
                  <c:v>-0.3</c:v>
                </c:pt>
                <c:pt idx="15">
                  <c:v>-0.28000000000000003</c:v>
                </c:pt>
                <c:pt idx="16">
                  <c:v>-0.25</c:v>
                </c:pt>
                <c:pt idx="17">
                  <c:v>-0.25</c:v>
                </c:pt>
                <c:pt idx="18">
                  <c:v>-0.2</c:v>
                </c:pt>
                <c:pt idx="19">
                  <c:v>-0.2</c:v>
                </c:pt>
                <c:pt idx="20">
                  <c:v>-0.16</c:v>
                </c:pt>
                <c:pt idx="21">
                  <c:v>-0.16</c:v>
                </c:pt>
                <c:pt idx="22">
                  <c:v>-0.14000000000000001</c:v>
                </c:pt>
                <c:pt idx="23">
                  <c:v>-0.1</c:v>
                </c:pt>
                <c:pt idx="24">
                  <c:v>-0.1</c:v>
                </c:pt>
                <c:pt idx="25">
                  <c:v>-0.1</c:v>
                </c:pt>
                <c:pt idx="26">
                  <c:v>-0.04</c:v>
                </c:pt>
                <c:pt idx="27">
                  <c:v>-0.04</c:v>
                </c:pt>
                <c:pt idx="28">
                  <c:v>-0.04</c:v>
                </c:pt>
                <c:pt idx="29">
                  <c:v>-0.03</c:v>
                </c:pt>
                <c:pt idx="30">
                  <c:v>-0.02</c:v>
                </c:pt>
                <c:pt idx="31">
                  <c:v>-0.02</c:v>
                </c:pt>
                <c:pt idx="32">
                  <c:v>0</c:v>
                </c:pt>
                <c:pt idx="33">
                  <c:v>0.02</c:v>
                </c:pt>
                <c:pt idx="34">
                  <c:v>7.0000000000000007E-2</c:v>
                </c:pt>
                <c:pt idx="35">
                  <c:v>7.0000000000000007E-2</c:v>
                </c:pt>
                <c:pt idx="36">
                  <c:v>0.12</c:v>
                </c:pt>
                <c:pt idx="37">
                  <c:v>0.14000000000000001</c:v>
                </c:pt>
                <c:pt idx="38">
                  <c:v>0.15</c:v>
                </c:pt>
                <c:pt idx="39">
                  <c:v>0.23</c:v>
                </c:pt>
                <c:pt idx="40">
                  <c:v>0.23</c:v>
                </c:pt>
                <c:pt idx="41">
                  <c:v>0.23</c:v>
                </c:pt>
                <c:pt idx="42">
                  <c:v>0.24</c:v>
                </c:pt>
                <c:pt idx="43">
                  <c:v>0.34</c:v>
                </c:pt>
                <c:pt idx="44">
                  <c:v>0.38</c:v>
                </c:pt>
                <c:pt idx="45">
                  <c:v>0.38</c:v>
                </c:pt>
                <c:pt idx="46">
                  <c:v>0.62</c:v>
                </c:pt>
                <c:pt idx="47">
                  <c:v>0.62</c:v>
                </c:pt>
                <c:pt idx="48">
                  <c:v>0.72</c:v>
                </c:pt>
                <c:pt idx="49">
                  <c:v>0.85</c:v>
                </c:pt>
                <c:pt idx="50">
                  <c:v>0.85</c:v>
                </c:pt>
                <c:pt idx="51">
                  <c:v>0.85</c:v>
                </c:pt>
                <c:pt idx="52">
                  <c:v>0.88</c:v>
                </c:pt>
                <c:pt idx="53">
                  <c:v>0.88</c:v>
                </c:pt>
                <c:pt idx="54">
                  <c:v>1.06</c:v>
                </c:pt>
                <c:pt idx="55">
                  <c:v>1.06</c:v>
                </c:pt>
                <c:pt idx="56">
                  <c:v>1.06</c:v>
                </c:pt>
                <c:pt idx="57">
                  <c:v>1.23</c:v>
                </c:pt>
                <c:pt idx="58">
                  <c:v>1.23</c:v>
                </c:pt>
                <c:pt idx="59">
                  <c:v>1.23</c:v>
                </c:pt>
                <c:pt idx="60">
                  <c:v>1.23</c:v>
                </c:pt>
                <c:pt idx="61">
                  <c:v>1.23</c:v>
                </c:pt>
                <c:pt idx="62">
                  <c:v>1.23</c:v>
                </c:pt>
                <c:pt idx="63">
                  <c:v>1.32</c:v>
                </c:pt>
              </c:numCache>
            </c:numRef>
          </c:xVal>
          <c:yVal>
            <c:numRef>
              <c:f>גיליון1!$E$8:$E$71</c:f>
              <c:numCache>
                <c:formatCode>General</c:formatCode>
                <c:ptCount val="64"/>
                <c:pt idx="0">
                  <c:v>0.15</c:v>
                </c:pt>
                <c:pt idx="1">
                  <c:v>0.125</c:v>
                </c:pt>
                <c:pt idx="2">
                  <c:v>-0.98750000000000004</c:v>
                </c:pt>
                <c:pt idx="3">
                  <c:v>2.4863</c:v>
                </c:pt>
                <c:pt idx="4">
                  <c:v>0.48</c:v>
                </c:pt>
                <c:pt idx="5">
                  <c:v>3.3</c:v>
                </c:pt>
                <c:pt idx="6">
                  <c:v>-1.0703</c:v>
                </c:pt>
                <c:pt idx="7">
                  <c:v>-1.0909</c:v>
                </c:pt>
                <c:pt idx="8">
                  <c:v>-0.48170000000000002</c:v>
                </c:pt>
                <c:pt idx="9">
                  <c:v>-1</c:v>
                </c:pt>
                <c:pt idx="10">
                  <c:v>2.7692000000000001</c:v>
                </c:pt>
                <c:pt idx="11">
                  <c:v>-1.1599999999999999</c:v>
                </c:pt>
                <c:pt idx="12">
                  <c:v>-0.5333</c:v>
                </c:pt>
                <c:pt idx="13">
                  <c:v>2.5499999999999998</c:v>
                </c:pt>
                <c:pt idx="14">
                  <c:v>0.2</c:v>
                </c:pt>
                <c:pt idx="15">
                  <c:v>-1.2857000000000001</c:v>
                </c:pt>
                <c:pt idx="16">
                  <c:v>0.5</c:v>
                </c:pt>
                <c:pt idx="17">
                  <c:v>0.2</c:v>
                </c:pt>
                <c:pt idx="18">
                  <c:v>1.2333000000000001</c:v>
                </c:pt>
                <c:pt idx="19">
                  <c:v>0.24</c:v>
                </c:pt>
                <c:pt idx="20">
                  <c:v>-1</c:v>
                </c:pt>
                <c:pt idx="21">
                  <c:v>1.35</c:v>
                </c:pt>
                <c:pt idx="22">
                  <c:v>0.1</c:v>
                </c:pt>
                <c:pt idx="23">
                  <c:v>0.34</c:v>
                </c:pt>
                <c:pt idx="24">
                  <c:v>-0.97499999999999998</c:v>
                </c:pt>
                <c:pt idx="25">
                  <c:v>-1</c:v>
                </c:pt>
                <c:pt idx="26">
                  <c:v>-1.1929000000000001</c:v>
                </c:pt>
                <c:pt idx="27">
                  <c:v>2.0750000000000002</c:v>
                </c:pt>
                <c:pt idx="28">
                  <c:v>2.6</c:v>
                </c:pt>
                <c:pt idx="29">
                  <c:v>-1.05</c:v>
                </c:pt>
                <c:pt idx="30">
                  <c:v>-0.875</c:v>
                </c:pt>
                <c:pt idx="31">
                  <c:v>-0.99</c:v>
                </c:pt>
                <c:pt idx="32">
                  <c:v>-0.4</c:v>
                </c:pt>
                <c:pt idx="33">
                  <c:v>-1.1499999999999999</c:v>
                </c:pt>
                <c:pt idx="34">
                  <c:v>0.57140000000000002</c:v>
                </c:pt>
                <c:pt idx="35">
                  <c:v>3.0467</c:v>
                </c:pt>
                <c:pt idx="36">
                  <c:v>0.16669999999999999</c:v>
                </c:pt>
                <c:pt idx="37">
                  <c:v>-1.0305</c:v>
                </c:pt>
                <c:pt idx="38">
                  <c:v>-0.5</c:v>
                </c:pt>
                <c:pt idx="39">
                  <c:v>-1.0832999999999999</c:v>
                </c:pt>
                <c:pt idx="40">
                  <c:v>-1.2415</c:v>
                </c:pt>
                <c:pt idx="41">
                  <c:v>-1</c:v>
                </c:pt>
                <c:pt idx="42">
                  <c:v>0.875</c:v>
                </c:pt>
                <c:pt idx="43">
                  <c:v>0.15709999999999999</c:v>
                </c:pt>
                <c:pt idx="44">
                  <c:v>3.25</c:v>
                </c:pt>
                <c:pt idx="45">
                  <c:v>-0.86</c:v>
                </c:pt>
                <c:pt idx="46">
                  <c:v>2.35</c:v>
                </c:pt>
                <c:pt idx="47">
                  <c:v>-0.2</c:v>
                </c:pt>
                <c:pt idx="48">
                  <c:v>0.44440000000000002</c:v>
                </c:pt>
                <c:pt idx="49">
                  <c:v>3.41</c:v>
                </c:pt>
                <c:pt idx="50">
                  <c:v>-1.0249999999999999</c:v>
                </c:pt>
                <c:pt idx="51">
                  <c:v>-0.97860000000000003</c:v>
                </c:pt>
                <c:pt idx="52">
                  <c:v>3.5</c:v>
                </c:pt>
                <c:pt idx="53">
                  <c:v>1.8332999999999999</c:v>
                </c:pt>
                <c:pt idx="54">
                  <c:v>-1</c:v>
                </c:pt>
                <c:pt idx="55">
                  <c:v>2.5</c:v>
                </c:pt>
                <c:pt idx="56">
                  <c:v>-0.93330000000000002</c:v>
                </c:pt>
                <c:pt idx="57">
                  <c:v>-1.3257000000000001</c:v>
                </c:pt>
                <c:pt idx="58">
                  <c:v>-0.98570000000000002</c:v>
                </c:pt>
                <c:pt idx="59">
                  <c:v>-0.85709999999999997</c:v>
                </c:pt>
                <c:pt idx="60">
                  <c:v>0.9</c:v>
                </c:pt>
                <c:pt idx="61">
                  <c:v>1.1833</c:v>
                </c:pt>
                <c:pt idx="62">
                  <c:v>4.4400000000000002E-2</c:v>
                </c:pt>
                <c:pt idx="63">
                  <c:v>1.4429000000000001</c:v>
                </c:pt>
              </c:numCache>
            </c:numRef>
          </c:yVal>
          <c:smooth val="0"/>
          <c:extLst>
            <c:ext xmlns:c16="http://schemas.microsoft.com/office/drawing/2014/chart" uri="{C3380CC4-5D6E-409C-BE32-E72D297353CC}">
              <c16:uniqueId val="{00000000-F000-4E55-B3D5-C97A51FEFE82}"/>
            </c:ext>
          </c:extLst>
        </c:ser>
        <c:dLbls>
          <c:showLegendKey val="0"/>
          <c:showVal val="0"/>
          <c:showCatName val="0"/>
          <c:showSerName val="0"/>
          <c:showPercent val="0"/>
          <c:showBubbleSize val="0"/>
        </c:dLbls>
        <c:axId val="606005816"/>
        <c:axId val="606006144"/>
      </c:scatterChart>
      <c:valAx>
        <c:axId val="606005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6144"/>
        <c:crosses val="autoZero"/>
        <c:crossBetween val="midCat"/>
      </c:valAx>
      <c:valAx>
        <c:axId val="6060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5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4.xlsx]Notes!PivotTable3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2"/>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10535283539333"/>
          <c:y val="0.24309540421371378"/>
          <c:w val="0.88150275256072752"/>
          <c:h val="0.70205749597755973"/>
        </c:manualLayout>
      </c:layout>
      <c:lineChart>
        <c:grouping val="standard"/>
        <c:varyColors val="0"/>
        <c:ser>
          <c:idx val="0"/>
          <c:order val="0"/>
          <c:tx>
            <c:strRef>
              <c:f>Notes!$AA$4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1-BD6E-49AE-A955-12719828741F}"/>
              </c:ext>
            </c:extLst>
          </c:dPt>
          <c:cat>
            <c:strRef>
              <c:f>Notes!$Z$5:$Z$69</c:f>
              <c:strCach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56</c:v>
                </c:pt>
                <c:pt idx="55">
                  <c:v>57</c:v>
                </c:pt>
                <c:pt idx="56">
                  <c:v>58</c:v>
                </c:pt>
                <c:pt idx="57">
                  <c:v>59</c:v>
                </c:pt>
                <c:pt idx="58">
                  <c:v>60</c:v>
                </c:pt>
                <c:pt idx="59">
                  <c:v>61</c:v>
                </c:pt>
                <c:pt idx="60">
                  <c:v>62</c:v>
                </c:pt>
                <c:pt idx="61">
                  <c:v>63</c:v>
                </c:pt>
                <c:pt idx="62">
                  <c:v>64</c:v>
                </c:pt>
                <c:pt idx="63">
                  <c:v>65</c:v>
                </c:pt>
              </c:strCache>
            </c:strRef>
          </c:cat>
          <c:val>
            <c:numRef>
              <c:f>Notes!$AA$5:$AA$69</c:f>
              <c:numCache>
                <c:formatCode>General</c:formatCode>
                <c:ptCount val="64"/>
                <c:pt idx="0">
                  <c:v>-103.09</c:v>
                </c:pt>
                <c:pt idx="1">
                  <c:v>216.82000000000002</c:v>
                </c:pt>
                <c:pt idx="2">
                  <c:v>86.730000000000018</c:v>
                </c:pt>
                <c:pt idx="3">
                  <c:v>171.69</c:v>
                </c:pt>
                <c:pt idx="4">
                  <c:v>308.44</c:v>
                </c:pt>
                <c:pt idx="5">
                  <c:v>258.31</c:v>
                </c:pt>
                <c:pt idx="6">
                  <c:v>259.74</c:v>
                </c:pt>
                <c:pt idx="7">
                  <c:v>259.54000000000002</c:v>
                </c:pt>
                <c:pt idx="8">
                  <c:v>526.99</c:v>
                </c:pt>
                <c:pt idx="9">
                  <c:v>413.54</c:v>
                </c:pt>
                <c:pt idx="10">
                  <c:v>653.19000000000005</c:v>
                </c:pt>
                <c:pt idx="11">
                  <c:v>653.19000000000005</c:v>
                </c:pt>
                <c:pt idx="12">
                  <c:v>661.30000000000007</c:v>
                </c:pt>
                <c:pt idx="13">
                  <c:v>692.67000000000007</c:v>
                </c:pt>
                <c:pt idx="14">
                  <c:v>582.30000000000007</c:v>
                </c:pt>
                <c:pt idx="15">
                  <c:v>479.28000000000009</c:v>
                </c:pt>
                <c:pt idx="16">
                  <c:v>373.44890000000009</c:v>
                </c:pt>
                <c:pt idx="17">
                  <c:v>423.32890000000009</c:v>
                </c:pt>
                <c:pt idx="18">
                  <c:v>695.76890000000003</c:v>
                </c:pt>
                <c:pt idx="19">
                  <c:v>573.89890000000003</c:v>
                </c:pt>
                <c:pt idx="20">
                  <c:v>499.91890000000001</c:v>
                </c:pt>
                <c:pt idx="21">
                  <c:v>746.83889999999997</c:v>
                </c:pt>
                <c:pt idx="22">
                  <c:v>768.75889999999993</c:v>
                </c:pt>
                <c:pt idx="23">
                  <c:v>634.6588999999999</c:v>
                </c:pt>
                <c:pt idx="24">
                  <c:v>871.98889999999994</c:v>
                </c:pt>
                <c:pt idx="25">
                  <c:v>909.5388999999999</c:v>
                </c:pt>
                <c:pt idx="26">
                  <c:v>820.31889999999987</c:v>
                </c:pt>
                <c:pt idx="27">
                  <c:v>1067.2088999999999</c:v>
                </c:pt>
                <c:pt idx="28">
                  <c:v>1029.0989</c:v>
                </c:pt>
                <c:pt idx="29">
                  <c:v>924.00889999999993</c:v>
                </c:pt>
                <c:pt idx="30">
                  <c:v>1053.0088999999998</c:v>
                </c:pt>
                <c:pt idx="31">
                  <c:v>1061.8488999999997</c:v>
                </c:pt>
                <c:pt idx="32">
                  <c:v>1061.6988999999996</c:v>
                </c:pt>
                <c:pt idx="33">
                  <c:v>935.58889999999963</c:v>
                </c:pt>
                <c:pt idx="34">
                  <c:v>1149.2688999999996</c:v>
                </c:pt>
                <c:pt idx="35">
                  <c:v>1395.8388999999995</c:v>
                </c:pt>
                <c:pt idx="36">
                  <c:v>1415.7788999999996</c:v>
                </c:pt>
                <c:pt idx="37">
                  <c:v>1448.8588999999995</c:v>
                </c:pt>
                <c:pt idx="38">
                  <c:v>1451.6188999999995</c:v>
                </c:pt>
                <c:pt idx="39">
                  <c:v>1343.9988999999996</c:v>
                </c:pt>
                <c:pt idx="40">
                  <c:v>1676.9788999999996</c:v>
                </c:pt>
                <c:pt idx="41">
                  <c:v>1843.3488999999995</c:v>
                </c:pt>
                <c:pt idx="42">
                  <c:v>1719.7488999999996</c:v>
                </c:pt>
                <c:pt idx="43">
                  <c:v>1614.2088999999996</c:v>
                </c:pt>
                <c:pt idx="44">
                  <c:v>1515.6288999999997</c:v>
                </c:pt>
                <c:pt idx="45">
                  <c:v>1595.6488999999997</c:v>
                </c:pt>
                <c:pt idx="46">
                  <c:v>1759.3888999999997</c:v>
                </c:pt>
                <c:pt idx="47">
                  <c:v>1762.4288999999997</c:v>
                </c:pt>
                <c:pt idx="48">
                  <c:v>1659.3388999999997</c:v>
                </c:pt>
                <c:pt idx="49">
                  <c:v>1883.9688999999998</c:v>
                </c:pt>
                <c:pt idx="50">
                  <c:v>1787.3388999999997</c:v>
                </c:pt>
                <c:pt idx="51">
                  <c:v>2447.5388999999996</c:v>
                </c:pt>
                <c:pt idx="52">
                  <c:v>2231.9088999999994</c:v>
                </c:pt>
                <c:pt idx="53">
                  <c:v>2020.4588999999994</c:v>
                </c:pt>
                <c:pt idx="54">
                  <c:v>1690.3288999999995</c:v>
                </c:pt>
                <c:pt idx="55">
                  <c:v>1355.7988999999995</c:v>
                </c:pt>
                <c:pt idx="56">
                  <c:v>979.79889999999955</c:v>
                </c:pt>
                <c:pt idx="57">
                  <c:v>732.19889999999953</c:v>
                </c:pt>
                <c:pt idx="58">
                  <c:v>1325.8788999999995</c:v>
                </c:pt>
                <c:pt idx="59">
                  <c:v>1033.3388999999995</c:v>
                </c:pt>
                <c:pt idx="60">
                  <c:v>785.21889999999951</c:v>
                </c:pt>
                <c:pt idx="61">
                  <c:v>656.43889999999953</c:v>
                </c:pt>
                <c:pt idx="62">
                  <c:v>467.00889999999953</c:v>
                </c:pt>
                <c:pt idx="63">
                  <c:v>277.57889999999952</c:v>
                </c:pt>
              </c:numCache>
            </c:numRef>
          </c:val>
          <c:smooth val="0"/>
          <c:extLst>
            <c:ext xmlns:c16="http://schemas.microsoft.com/office/drawing/2014/chart" uri="{C3380CC4-5D6E-409C-BE32-E72D297353CC}">
              <c16:uniqueId val="{00000000-BD6E-49AE-A955-12719828741F}"/>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4.xlsx]Notes!PivotTable2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Notes!$AD$4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Notes!$AC$5:$AC$15</c:f>
              <c:strCache>
                <c:ptCount val="10"/>
                <c:pt idx="0">
                  <c:v>1</c:v>
                </c:pt>
                <c:pt idx="1">
                  <c:v>2</c:v>
                </c:pt>
                <c:pt idx="2">
                  <c:v>3</c:v>
                </c:pt>
                <c:pt idx="3">
                  <c:v>4</c:v>
                </c:pt>
                <c:pt idx="4">
                  <c:v>5</c:v>
                </c:pt>
                <c:pt idx="5">
                  <c:v>6</c:v>
                </c:pt>
                <c:pt idx="6">
                  <c:v>7</c:v>
                </c:pt>
                <c:pt idx="7">
                  <c:v>8</c:v>
                </c:pt>
                <c:pt idx="8">
                  <c:v>9</c:v>
                </c:pt>
                <c:pt idx="9">
                  <c:v>10</c:v>
                </c:pt>
              </c:strCache>
            </c:strRef>
          </c:cat>
          <c:val>
            <c:numRef>
              <c:f>Notes!$AD$5:$AD$15</c:f>
              <c:numCache>
                <c:formatCode>General</c:formatCode>
                <c:ptCount val="10"/>
                <c:pt idx="0">
                  <c:v>232</c:v>
                </c:pt>
                <c:pt idx="1">
                  <c:v>232</c:v>
                </c:pt>
                <c:pt idx="2">
                  <c:v>232</c:v>
                </c:pt>
                <c:pt idx="3">
                  <c:v>232</c:v>
                </c:pt>
                <c:pt idx="4">
                  <c:v>232</c:v>
                </c:pt>
                <c:pt idx="5">
                  <c:v>232</c:v>
                </c:pt>
                <c:pt idx="6">
                  <c:v>232</c:v>
                </c:pt>
                <c:pt idx="7">
                  <c:v>232</c:v>
                </c:pt>
                <c:pt idx="8">
                  <c:v>232</c:v>
                </c:pt>
                <c:pt idx="9">
                  <c:v>232</c:v>
                </c:pt>
              </c:numCache>
            </c:numRef>
          </c:val>
          <c:smooth val="0"/>
          <c:extLst>
            <c:ext xmlns:c16="http://schemas.microsoft.com/office/drawing/2014/chart" uri="{C3380CC4-5D6E-409C-BE32-E72D297353CC}">
              <c16:uniqueId val="{00000000-F543-4F8D-A300-EC4FEB7EA6A9}"/>
            </c:ext>
          </c:extLst>
        </c:ser>
        <c:dLbls>
          <c:showLegendKey val="0"/>
          <c:showVal val="0"/>
          <c:showCatName val="0"/>
          <c:showSerName val="0"/>
          <c:showPercent val="0"/>
          <c:showBubbleSize val="0"/>
        </c:dLbls>
        <c:marker val="1"/>
        <c:smooth val="0"/>
        <c:axId val="611336464"/>
        <c:axId val="611335808"/>
      </c:lineChart>
      <c:catAx>
        <c:axId val="6113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5808"/>
        <c:crosses val="autoZero"/>
        <c:auto val="1"/>
        <c:lblAlgn val="ctr"/>
        <c:lblOffset val="100"/>
        <c:noMultiLvlLbl val="0"/>
      </c:catAx>
      <c:valAx>
        <c:axId val="6113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4.xlsx]lvl 2 Notes!PivotTable2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'lvl 2 Notes'!$C$10</c:f>
              <c:strCache>
                <c:ptCount val="1"/>
                <c:pt idx="0">
                  <c:v>Total</c:v>
                </c:pt>
              </c:strCache>
            </c:strRef>
          </c:tx>
          <c:spPr>
            <a:solidFill>
              <a:schemeClr val="accent1"/>
            </a:solidFill>
            <a:ln>
              <a:noFill/>
            </a:ln>
            <a:effectLst/>
          </c:spPr>
          <c:invertIfNegative val="0"/>
          <c:cat>
            <c:strRef>
              <c:f>'lvl 2 Notes'!$B$11:$B$75</c:f>
              <c:strCach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56</c:v>
                </c:pt>
                <c:pt idx="55">
                  <c:v>57</c:v>
                </c:pt>
                <c:pt idx="56">
                  <c:v>58</c:v>
                </c:pt>
                <c:pt idx="57">
                  <c:v>59</c:v>
                </c:pt>
                <c:pt idx="58">
                  <c:v>60</c:v>
                </c:pt>
                <c:pt idx="59">
                  <c:v>61</c:v>
                </c:pt>
                <c:pt idx="60">
                  <c:v>62</c:v>
                </c:pt>
                <c:pt idx="61">
                  <c:v>63</c:v>
                </c:pt>
                <c:pt idx="62">
                  <c:v>64</c:v>
                </c:pt>
                <c:pt idx="63">
                  <c:v>65</c:v>
                </c:pt>
              </c:strCache>
            </c:strRef>
          </c:cat>
          <c:val>
            <c:numRef>
              <c:f>'lvl 2 Notes'!$C$11:$C$75</c:f>
              <c:numCache>
                <c:formatCode>General</c:formatCode>
                <c:ptCount val="64"/>
                <c:pt idx="0">
                  <c:v>-0.97500000000000275</c:v>
                </c:pt>
                <c:pt idx="1">
                  <c:v>-0.65000000000000258</c:v>
                </c:pt>
                <c:pt idx="2">
                  <c:v>-1.150000000000001</c:v>
                </c:pt>
                <c:pt idx="3">
                  <c:v>-5.0000000000001169E-2</c:v>
                </c:pt>
                <c:pt idx="4">
                  <c:v>0</c:v>
                </c:pt>
                <c:pt idx="5">
                  <c:v>-0.7</c:v>
                </c:pt>
                <c:pt idx="6">
                  <c:v>-0.35</c:v>
                </c:pt>
                <c:pt idx="7">
                  <c:v>-0.5</c:v>
                </c:pt>
                <c:pt idx="8">
                  <c:v>-0.25641025641025511</c:v>
                </c:pt>
                <c:pt idx="9">
                  <c:v>-1.1599999999999999</c:v>
                </c:pt>
                <c:pt idx="10">
                  <c:v>-3.3333333333334075E-2</c:v>
                </c:pt>
                <c:pt idx="11">
                  <c:v>-0.35999999999999716</c:v>
                </c:pt>
                <c:pt idx="12">
                  <c:v>-5.7142857142857141E-2</c:v>
                </c:pt>
                <c:pt idx="13">
                  <c:v>-0.89333333333333609</c:v>
                </c:pt>
                <c:pt idx="14">
                  <c:v>-1.1250000000000027</c:v>
                </c:pt>
                <c:pt idx="15">
                  <c:v>-1.0305343511450376</c:v>
                </c:pt>
                <c:pt idx="16">
                  <c:v>-0.99999999999999634</c:v>
                </c:pt>
                <c:pt idx="17">
                  <c:v>-0.7142857142857143</c:v>
                </c:pt>
                <c:pt idx="18">
                  <c:v>-0.35333333333333361</c:v>
                </c:pt>
                <c:pt idx="19">
                  <c:v>-1.049999999999998</c:v>
                </c:pt>
                <c:pt idx="20">
                  <c:v>-0.55666666666666598</c:v>
                </c:pt>
                <c:pt idx="21">
                  <c:v>-0.4499999999999999</c:v>
                </c:pt>
                <c:pt idx="22">
                  <c:v>0</c:v>
                </c:pt>
                <c:pt idx="23">
                  <c:v>-1.2857142857142898</c:v>
                </c:pt>
                <c:pt idx="24">
                  <c:v>-0.35000000000000048</c:v>
                </c:pt>
                <c:pt idx="25">
                  <c:v>-0.16666666666666682</c:v>
                </c:pt>
                <c:pt idx="26">
                  <c:v>-0.86000000000000221</c:v>
                </c:pt>
                <c:pt idx="27">
                  <c:v>-0.4500000000000009</c:v>
                </c:pt>
                <c:pt idx="28">
                  <c:v>-0.50000000000000444</c:v>
                </c:pt>
                <c:pt idx="29">
                  <c:v>-1</c:v>
                </c:pt>
                <c:pt idx="30">
                  <c:v>-0.5</c:v>
                </c:pt>
                <c:pt idx="31">
                  <c:v>-0.23000000000000145</c:v>
                </c:pt>
                <c:pt idx="32">
                  <c:v>-0.6</c:v>
                </c:pt>
                <c:pt idx="33">
                  <c:v>-1.1928571428571366</c:v>
                </c:pt>
                <c:pt idx="34">
                  <c:v>-0.87500000000000255</c:v>
                </c:pt>
                <c:pt idx="35">
                  <c:v>-0.10000000000000089</c:v>
                </c:pt>
                <c:pt idx="36">
                  <c:v>-0.48148148148148018</c:v>
                </c:pt>
                <c:pt idx="37">
                  <c:v>-0.66666666666666663</c:v>
                </c:pt>
                <c:pt idx="38">
                  <c:v>-0.16666666666666666</c:v>
                </c:pt>
                <c:pt idx="39">
                  <c:v>-1</c:v>
                </c:pt>
                <c:pt idx="40">
                  <c:v>0</c:v>
                </c:pt>
                <c:pt idx="41">
                  <c:v>-0.33333333333333331</c:v>
                </c:pt>
                <c:pt idx="42">
                  <c:v>-1.325688073394498</c:v>
                </c:pt>
                <c:pt idx="43">
                  <c:v>-0.9857142857142841</c:v>
                </c:pt>
                <c:pt idx="44">
                  <c:v>-0.85714285714285399</c:v>
                </c:pt>
                <c:pt idx="45">
                  <c:v>-0.10000000000000223</c:v>
                </c:pt>
                <c:pt idx="46">
                  <c:v>-0.23333333333333334</c:v>
                </c:pt>
                <c:pt idx="47">
                  <c:v>-0.73333333333333461</c:v>
                </c:pt>
                <c:pt idx="48">
                  <c:v>-1</c:v>
                </c:pt>
                <c:pt idx="49">
                  <c:v>-0.25</c:v>
                </c:pt>
                <c:pt idx="50">
                  <c:v>-1.0333333333333341</c:v>
                </c:pt>
                <c:pt idx="51">
                  <c:v>-0.19000000000000111</c:v>
                </c:pt>
                <c:pt idx="52">
                  <c:v>-1.0499999999999989</c:v>
                </c:pt>
                <c:pt idx="53">
                  <c:v>-0.97857142857142776</c:v>
                </c:pt>
                <c:pt idx="54">
                  <c:v>-1.0833333333333346</c:v>
                </c:pt>
                <c:pt idx="55">
                  <c:v>-1.2415094339622643</c:v>
                </c:pt>
                <c:pt idx="56">
                  <c:v>-1</c:v>
                </c:pt>
                <c:pt idx="57">
                  <c:v>-1.042499999999998</c:v>
                </c:pt>
                <c:pt idx="58">
                  <c:v>-0.2</c:v>
                </c:pt>
                <c:pt idx="59">
                  <c:v>-1.0979310344827586</c:v>
                </c:pt>
                <c:pt idx="60">
                  <c:v>-1.0909090909090911</c:v>
                </c:pt>
                <c:pt idx="61">
                  <c:v>-0.51500000000000068</c:v>
                </c:pt>
                <c:pt idx="62">
                  <c:v>-0.99166666666666536</c:v>
                </c:pt>
                <c:pt idx="63">
                  <c:v>-1</c:v>
                </c:pt>
              </c:numCache>
            </c:numRef>
          </c:val>
          <c:extLst>
            <c:ext xmlns:c16="http://schemas.microsoft.com/office/drawing/2014/chart" uri="{C3380CC4-5D6E-409C-BE32-E72D297353CC}">
              <c16:uniqueId val="{00000000-D023-4261-9FA8-6122CECB4998}"/>
            </c:ext>
          </c:extLst>
        </c:ser>
        <c:dLbls>
          <c:showLegendKey val="0"/>
          <c:showVal val="0"/>
          <c:showCatName val="0"/>
          <c:showSerName val="0"/>
          <c:showPercent val="0"/>
          <c:showBubbleSize val="0"/>
        </c:dLbls>
        <c:gapWidth val="219"/>
        <c:overlap val="-27"/>
        <c:axId val="282828720"/>
        <c:axId val="282829048"/>
      </c:barChart>
      <c:catAx>
        <c:axId val="28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9048"/>
        <c:crosses val="autoZero"/>
        <c:auto val="1"/>
        <c:lblAlgn val="ctr"/>
        <c:lblOffset val="100"/>
        <c:noMultiLvlLbl val="0"/>
      </c:catAx>
      <c:valAx>
        <c:axId val="2828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545952</xdr:colOff>
      <xdr:row>14</xdr:row>
      <xdr:rowOff>133349</xdr:rowOff>
    </xdr:from>
    <xdr:to>
      <xdr:col>11</xdr:col>
      <xdr:colOff>714376</xdr:colOff>
      <xdr:row>33</xdr:row>
      <xdr:rowOff>175259</xdr:rowOff>
    </xdr:to>
    <xdr:graphicFrame macro="">
      <xdr:nvGraphicFramePr>
        <xdr:cNvPr id="4" name="תרשים 3">
          <a:extLst>
            <a:ext uri="{FF2B5EF4-FFF2-40B4-BE49-F238E27FC236}">
              <a16:creationId xmlns:a16="http://schemas.microsoft.com/office/drawing/2014/main" id="{0AFA0A32-6716-4D8F-AB30-88FCDECC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472440</xdr:colOff>
      <xdr:row>48</xdr:row>
      <xdr:rowOff>125730</xdr:rowOff>
    </xdr:from>
    <xdr:to>
      <xdr:col>13</xdr:col>
      <xdr:colOff>167640</xdr:colOff>
      <xdr:row>63</xdr:row>
      <xdr:rowOff>125730</xdr:rowOff>
    </xdr:to>
    <xdr:graphicFrame macro="">
      <xdr:nvGraphicFramePr>
        <xdr:cNvPr id="2" name="תרשים 1">
          <a:extLst>
            <a:ext uri="{FF2B5EF4-FFF2-40B4-BE49-F238E27FC236}">
              <a16:creationId xmlns:a16="http://schemas.microsoft.com/office/drawing/2014/main" id="{9F914F2A-6D30-4818-9713-1B9223F18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99060</xdr:colOff>
      <xdr:row>24</xdr:row>
      <xdr:rowOff>38100</xdr:rowOff>
    </xdr:from>
    <xdr:to>
      <xdr:col>22</xdr:col>
      <xdr:colOff>708660</xdr:colOff>
      <xdr:row>48</xdr:row>
      <xdr:rowOff>91440</xdr:rowOff>
    </xdr:to>
    <xdr:graphicFrame macro="">
      <xdr:nvGraphicFramePr>
        <xdr:cNvPr id="2" name="תרשים 1">
          <a:extLst>
            <a:ext uri="{FF2B5EF4-FFF2-40B4-BE49-F238E27FC236}">
              <a16:creationId xmlns:a16="http://schemas.microsoft.com/office/drawing/2014/main" id="{2823F39E-9E1B-476B-8FA1-2241E11A9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766762</xdr:colOff>
      <xdr:row>10</xdr:row>
      <xdr:rowOff>114300</xdr:rowOff>
    </xdr:from>
    <xdr:to>
      <xdr:col>32</xdr:col>
      <xdr:colOff>552450</xdr:colOff>
      <xdr:row>27</xdr:row>
      <xdr:rowOff>76201</xdr:rowOff>
    </xdr:to>
    <xdr:graphicFrame macro="">
      <xdr:nvGraphicFramePr>
        <xdr:cNvPr id="4" name="תרשים 3">
          <a:extLst>
            <a:ext uri="{FF2B5EF4-FFF2-40B4-BE49-F238E27FC236}">
              <a16:creationId xmlns:a16="http://schemas.microsoft.com/office/drawing/2014/main" id="{1682BB38-C9BC-403B-AFE1-8DE04609F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4</xdr:row>
      <xdr:rowOff>129540</xdr:rowOff>
    </xdr:from>
    <xdr:to>
      <xdr:col>11</xdr:col>
      <xdr:colOff>68580</xdr:colOff>
      <xdr:row>19</xdr:row>
      <xdr:rowOff>129540</xdr:rowOff>
    </xdr:to>
    <xdr:graphicFrame macro="">
      <xdr:nvGraphicFramePr>
        <xdr:cNvPr id="3" name="תרשים 2">
          <a:extLst>
            <a:ext uri="{FF2B5EF4-FFF2-40B4-BE49-F238E27FC236}">
              <a16:creationId xmlns:a16="http://schemas.microsoft.com/office/drawing/2014/main" id="{D76D9377-DE7B-40A1-A7F2-97FCF737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Live%20day%20trading%203\Live%20day%20trading%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ABLE1"/>
      <sheetName val="table2"/>
      <sheetName val="Pivot Table"/>
      <sheetName val="גיליון1"/>
      <sheetName val="Notes"/>
      <sheetName val="lvl 2 Notes"/>
    </sheetNames>
    <sheetDataSet>
      <sheetData sheetId="0"/>
      <sheetData sheetId="1"/>
      <sheetData sheetId="2"/>
      <sheetData sheetId="3"/>
      <sheetData sheetId="4"/>
      <sheetData sheetId="5" refreshError="1"/>
      <sheetData sheetId="6"/>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ran nochumsohn" refreshedDate="43613.851433796299" backgroundQuery="1" createdVersion="6" refreshedVersion="6" minRefreshableVersion="3" recordCount="0" supportSubquery="1" supportAdvancedDrill="1" xr:uid="{F435AF47-CEA7-4C34-878D-6461C2D04368}">
  <cacheSource type="external" connectionId="1"/>
  <cacheFields count="2">
    <cacheField name="[Measures].[סכום של Sum Gain]" caption="סכום של Sum Gain" numFmtId="0" hierarchy="121" level="32767"/>
    <cacheField name="[TABLE1].[No].[No]" caption="No" numFmtId="0" hierarchy="1" level="1">
      <sharedItems containsSemiMixedTypes="0" containsString="0" containsNumber="1" containsInteger="1" minValue="1" maxValue="65" count="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6"/>
        <n v="57"/>
        <n v="58"/>
        <n v="59"/>
        <n v="60"/>
        <n v="61"/>
        <n v="62"/>
        <n v="63"/>
        <n v="64"/>
        <n v="65"/>
      </sharedItems>
      <extLst>
        <ext xmlns:x15="http://schemas.microsoft.com/office/spreadsheetml/2010/11/main" uri="{4F2E5C28-24EA-4eb8-9CBF-B6C8F9C3D259}">
          <x15:cachedUniqueNames>
            <x15:cachedUniqueName index="0" name="[TABLE1].[No].&amp;[1]"/>
            <x15:cachedUniqueName index="1" name="[TABLE1].[No].&amp;[2]"/>
            <x15:cachedUniqueName index="2" name="[TABLE1].[No].&amp;[3]"/>
            <x15:cachedUniqueName index="3" name="[TABLE1].[No].&amp;[4]"/>
            <x15:cachedUniqueName index="4" name="[TABLE1].[No].&amp;[5]"/>
            <x15:cachedUniqueName index="5" name="[TABLE1].[No].&amp;[6]"/>
            <x15:cachedUniqueName index="6" name="[TABLE1].[No].&amp;[7]"/>
            <x15:cachedUniqueName index="7" name="[TABLE1].[No].&amp;[8]"/>
            <x15:cachedUniqueName index="8" name="[TABLE1].[No].&amp;[9]"/>
            <x15:cachedUniqueName index="9" name="[TABLE1].[No].&amp;[10]"/>
            <x15:cachedUniqueName index="10" name="[TABLE1].[No].&amp;[11]"/>
            <x15:cachedUniqueName index="11" name="[TABLE1].[No].&amp;[12]"/>
            <x15:cachedUniqueName index="12" name="[TABLE1].[No].&amp;[13]"/>
            <x15:cachedUniqueName index="13" name="[TABLE1].[No].&amp;[14]"/>
            <x15:cachedUniqueName index="14" name="[TABLE1].[No].&amp;[15]"/>
            <x15:cachedUniqueName index="15" name="[TABLE1].[No].&amp;[16]"/>
            <x15:cachedUniqueName index="16" name="[TABLE1].[No].&amp;[17]"/>
            <x15:cachedUniqueName index="17" name="[TABLE1].[No].&amp;[18]"/>
            <x15:cachedUniqueName index="18" name="[TABLE1].[No].&amp;[19]"/>
            <x15:cachedUniqueName index="19" name="[TABLE1].[No].&amp;[20]"/>
            <x15:cachedUniqueName index="20" name="[TABLE1].[No].&amp;[21]"/>
            <x15:cachedUniqueName index="21" name="[TABLE1].[No].&amp;[22]"/>
            <x15:cachedUniqueName index="22" name="[TABLE1].[No].&amp;[23]"/>
            <x15:cachedUniqueName index="23" name="[TABLE1].[No].&amp;[24]"/>
            <x15:cachedUniqueName index="24" name="[TABLE1].[No].&amp;[25]"/>
            <x15:cachedUniqueName index="25" name="[TABLE1].[No].&amp;[26]"/>
            <x15:cachedUniqueName index="26" name="[TABLE1].[No].&amp;[27]"/>
            <x15:cachedUniqueName index="27" name="[TABLE1].[No].&amp;[28]"/>
            <x15:cachedUniqueName index="28" name="[TABLE1].[No].&amp;[29]"/>
            <x15:cachedUniqueName index="29" name="[TABLE1].[No].&amp;[30]"/>
            <x15:cachedUniqueName index="30" name="[TABLE1].[No].&amp;[31]"/>
            <x15:cachedUniqueName index="31" name="[TABLE1].[No].&amp;[32]"/>
            <x15:cachedUniqueName index="32" name="[TABLE1].[No].&amp;[33]"/>
            <x15:cachedUniqueName index="33" name="[TABLE1].[No].&amp;[34]"/>
            <x15:cachedUniqueName index="34" name="[TABLE1].[No].&amp;[35]"/>
            <x15:cachedUniqueName index="35" name="[TABLE1].[No].&amp;[36]"/>
            <x15:cachedUniqueName index="36" name="[TABLE1].[No].&amp;[37]"/>
            <x15:cachedUniqueName index="37" name="[TABLE1].[No].&amp;[38]"/>
            <x15:cachedUniqueName index="38" name="[TABLE1].[No].&amp;[39]"/>
            <x15:cachedUniqueName index="39" name="[TABLE1].[No].&amp;[40]"/>
            <x15:cachedUniqueName index="40" name="[TABLE1].[No].&amp;[41]"/>
            <x15:cachedUniqueName index="41" name="[TABLE1].[No].&amp;[42]"/>
            <x15:cachedUniqueName index="42" name="[TABLE1].[No].&amp;[43]"/>
            <x15:cachedUniqueName index="43" name="[TABLE1].[No].&amp;[44]"/>
            <x15:cachedUniqueName index="44" name="[TABLE1].[No].&amp;[45]"/>
            <x15:cachedUniqueName index="45" name="[TABLE1].[No].&amp;[46]"/>
            <x15:cachedUniqueName index="46" name="[TABLE1].[No].&amp;[47]"/>
            <x15:cachedUniqueName index="47" name="[TABLE1].[No].&amp;[48]"/>
            <x15:cachedUniqueName index="48" name="[TABLE1].[No].&amp;[49]"/>
            <x15:cachedUniqueName index="49" name="[TABLE1].[No].&amp;[50]"/>
            <x15:cachedUniqueName index="50" name="[TABLE1].[No].&amp;[51]"/>
            <x15:cachedUniqueName index="51" name="[TABLE1].[No].&amp;[52]"/>
            <x15:cachedUniqueName index="52" name="[TABLE1].[No].&amp;[53]"/>
            <x15:cachedUniqueName index="53" name="[TABLE1].[No].&amp;[54]"/>
            <x15:cachedUniqueName index="54" name="[TABLE1].[No].&amp;[56]"/>
            <x15:cachedUniqueName index="55" name="[TABLE1].[No].&amp;[57]"/>
            <x15:cachedUniqueName index="56" name="[TABLE1].[No].&amp;[58]"/>
            <x15:cachedUniqueName index="57" name="[TABLE1].[No].&amp;[59]"/>
            <x15:cachedUniqueName index="58" name="[TABLE1].[No].&amp;[60]"/>
            <x15:cachedUniqueName index="59" name="[TABLE1].[No].&amp;[61]"/>
            <x15:cachedUniqueName index="60" name="[TABLE1].[No].&amp;[62]"/>
            <x15:cachedUniqueName index="61" name="[TABLE1].[No].&amp;[63]"/>
            <x15:cachedUniqueName index="62" name="[TABLE1].[No].&amp;[64]"/>
            <x15:cachedUniqueName index="63" name="[TABLE1].[No].&amp;[65]"/>
          </x15:cachedUniqueNames>
        </ext>
      </extLst>
    </cacheField>
  </cacheFields>
  <cacheHierarchies count="124">
    <cacheHierarchy uniqueName="[TABLE1].[Instrument]" caption="Instrument" attribute="1" defaultMemberUniqueName="[TABLE1].[Instrument].[All]" allUniqueName="[TABLE1].[Instrument].[All]" dimensionUniqueName="[TABLE1]" displayFolder="" count="0" memberValueDatatype="130" unbalanced="0"/>
    <cacheHierarchy uniqueName="[TABLE1].[No]" caption="No" attribute="1" defaultMemberUniqueName="[TABLE1].[No].[All]" allUniqueName="[TABLE1].[No].[All]" dimensionUniqueName="[TABLE1]" displayFolder="" count="2" memberValueDatatype="20" unbalanced="0">
      <fieldsUsage count="2">
        <fieldUsage x="-1"/>
        <fieldUsage x="1"/>
      </fieldsUsage>
    </cacheHierarchy>
    <cacheHierarchy uniqueName="[TABLE1].[Entry Date]" caption="Entry Date" attribute="1" time="1" defaultMemberUniqueName="[TABLE1].[Entry Date].[All]" allUniqueName="[TABLE1].[Entry Date].[All]" dimensionUniqueName="[TABLE1]" displayFolder="" count="0" memberValueDatatype="7" unbalanced="0"/>
    <cacheHierarchy uniqueName="[TABLE1].[Entry Time]" caption="Entry Time" attribute="1" time="1" defaultMemberUniqueName="[TABLE1].[Entry Time].[All]" allUniqueName="[TABLE1].[Entry Time].[All]" dimensionUniqueName="[TABLE1]" displayFolder="" count="0" memberValueDatatype="7" unbalanced="0"/>
    <cacheHierarchy uniqueName="[TABLE1].[Exit Time]" caption="Exit Time" attribute="1" time="1" defaultMemberUniqueName="[TABLE1].[Exit Time].[All]" allUniqueName="[TABLE1].[Exit Time].[All]" dimensionUniqueName="[TABLE1]" displayFolder="" count="0" memberValueDatatype="7" unbalanced="0"/>
    <cacheHierarchy uniqueName="[TABLE1].[Comissions]" caption="Comissions" attribute="1" defaultMemberUniqueName="[TABLE1].[Comissions].[All]" allUniqueName="[TABLE1].[Comissions].[All]" dimensionUniqueName="[TABLE1]" displayFolder="" count="0" memberValueDatatype="5" unbalanced="0"/>
    <cacheHierarchy uniqueName="[TABLE1].[Gain/Loss]" caption="Gain/Loss" attribute="1" defaultMemberUniqueName="[TABLE1].[Gain/Loss].[All]" allUniqueName="[TABLE1].[Gain/Los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tup]" caption="Setup" attribute="1" defaultMemberUniqueName="[TABLE1].[Setup].[All]" allUniqueName="[TABLE1].[Setup].[All]" dimensionUniqueName="[TABLE1]" displayFolder="" count="0" memberValueDatatype="130" unbalanced="0"/>
    <cacheHierarchy uniqueName="[TABLE1].[Buy/Sell]" caption="Buy/Sell" attribute="1" defaultMemberUniqueName="[TABLE1].[Buy/Sell].[All]" allUniqueName="[TABLE1].[Buy/Sell].[All]" dimensionUniqueName="[TABLE1]" displayFolder="" count="0" memberValueDatatype="130" unbalanced="0"/>
    <cacheHierarchy uniqueName="[TABLE1].[Intended Entry]" caption="Intended Entry" attribute="1" defaultMemberUniqueName="[TABLE1].[Intended Entry].[All]" allUniqueName="[TABLE1].[Intended Entry].[All]" dimensionUniqueName="[TABLE1]" displayFolder="" count="0" memberValueDatatype="5" unbalanced="0"/>
    <cacheHierarchy uniqueName="[TABLE1].[Entry Price]" caption="Entry Price" attribute="1" defaultMemberUniqueName="[TABLE1].[Entry Price].[All]" allUniqueName="[TABLE1].[Entry Price].[All]" dimensionUniqueName="[TABLE1]" displayFolder="" count="0" memberValueDatatype="5" unbalanced="0"/>
    <cacheHierarchy uniqueName="[TABLE1].[SL Price]" caption="SL Price" attribute="1" defaultMemberUniqueName="[TABLE1].[SL Price].[All]" allUniqueName="[TABLE1].[SL Price].[All]" dimensionUniqueName="[TABLE1]" displayFolder="" count="0" memberValueDatatype="5" unbalanced="0"/>
    <cacheHierarchy uniqueName="[TABLE1].[Exit Price]" caption="Exit Price" attribute="1" defaultMemberUniqueName="[TABLE1].[Exit Price].[All]" allUniqueName="[TABLE1].[Exit Price].[All]" dimensionUniqueName="[TABLE1]" displayFolder="" count="0" memberValueDatatype="5" unbalanced="0"/>
    <cacheHierarchy uniqueName="[TABLE1].[Highest Price]" caption="Highest Price" attribute="1" defaultMemberUniqueName="[TABLE1].[Highest Price].[All]" allUniqueName="[TABLE1].[Highest Price].[All]" dimensionUniqueName="[TABLE1]" displayFolder="" count="0" memberValueDatatype="5" unbalanced="0"/>
    <cacheHierarchy uniqueName="[TABLE1].[Lowest Price]" caption="Lowest Price" attribute="1" defaultMemberUniqueName="[TABLE1].[Lowest Price].[All]" allUniqueName="[TABLE1].[Lowest Price].[All]" dimensionUniqueName="[TABLE1]" displayFolder="" count="0" memberValueDatatype="5" unbalanced="0"/>
    <cacheHierarchy uniqueName="[TABLE1].[Price Before BE]" caption="Price Before BE" attribute="1" defaultMemberUniqueName="[TABLE1].[Price Before BE].[All]" allUniqueName="[TABLE1].[Price Before BE].[All]" dimensionUniqueName="[TABLE1]" displayFolder="" count="0" memberValueDatatype="130" unbalanced="0"/>
    <cacheHierarchy uniqueName="[TABLE1].[Potential Price]" caption="Potential Price" attribute="1" defaultMemberUniqueName="[TABLE1].[Potential Price].[All]" allUniqueName="[TABLE1].[Potential Price].[All]" dimensionUniqueName="[TABLE1]" displayFolder="" count="0" memberValueDatatype="5" unbalanced="0"/>
    <cacheHierarchy uniqueName="[TABLE1].[Pattern SL]" caption="Pattern SL" attribute="1" defaultMemberUniqueName="[TABLE1].[Pattern SL].[All]" allUniqueName="[TABLE1].[Pattern SL].[All]" dimensionUniqueName="[TABLE1]" displayFolder="" count="0" memberValueDatatype="130" unbalanced="0"/>
    <cacheHierarchy uniqueName="[TABLE1].[Retest Price]" caption="Retest Price" attribute="1" defaultMemberUniqueName="[TABLE1].[Retest Price].[All]" allUniqueName="[TABLE1].[Retest Price].[All]" dimensionUniqueName="[TABLE1]" displayFolder="" count="0" memberValueDatatype="130" unbalanced="0"/>
    <cacheHierarchy uniqueName="[TABLE1].[TP Hit]" caption="TP Hit" attribute="1" defaultMemberUniqueName="[TABLE1].[TP Hit].[All]" allUniqueName="[TABLE1].[TP Hit].[All]" dimensionUniqueName="[TABLE1]" displayFolder="" count="0" memberValueDatatype="11" unbalanced="0"/>
    <cacheHierarchy uniqueName="[TABLE1].[Back to BE]" caption="Back to BE" attribute="1" defaultMemberUniqueName="[TABLE1].[Back to BE].[All]" allUniqueName="[TABLE1].[Back to BE].[All]" dimensionUniqueName="[TABLE1]" displayFolder="" count="0" memberValueDatatype="11" unbalanced="0"/>
    <cacheHierarchy uniqueName="[TABLE1].[Volume Exit]" caption="Volume Exit" attribute="1" defaultMemberUniqueName="[TABLE1].[Volume Exit].[All]" allUniqueName="[TABLE1].[Volume Exit].[All]" dimensionUniqueName="[TABLE1]" displayFolder="" count="0" memberValueDatatype="130" unbalanced="0"/>
    <cacheHierarchy uniqueName="[TABLE1].[Volume Exit RRR Reach]" caption="Volume Exit RRR Reach" attribute="1" defaultMemberUniqueName="[TABLE1].[Volume Exit RRR Reach].[All]" allUniqueName="[TABLE1].[Volume Exit RRR Reach].[All]" dimensionUniqueName="[TABLE1]" displayFolder="" count="0" memberValueDatatype="130" unbalanced="0"/>
    <cacheHierarchy uniqueName="[TABLE1].[Volume Exit BE]" caption="Volume Exit BE" attribute="1" defaultMemberUniqueName="[TABLE1].[Volume Exit BE].[All]" allUniqueName="[TABLE1].[Volume Exit BE].[All]" dimensionUniqueName="[TABLE1]" displayFolder="" count="0" memberValueDatatype="130" unbalanced="0"/>
    <cacheHierarchy uniqueName="[TABLE1].[Candle Exit]" caption="Candle Exit" attribute="1" defaultMemberUniqueName="[TABLE1].[Candle Exit].[All]" allUniqueName="[TABLE1].[Candle Exit].[All]" dimensionUniqueName="[TABLE1]" displayFolder="" count="0" memberValueDatatype="130" unbalanced="0"/>
    <cacheHierarchy uniqueName="[TABLE1].[Wick Exit]" caption="Wick Exit" attribute="1" defaultMemberUniqueName="[TABLE1].[Wick Exit].[All]" allUniqueName="[TABLE1].[Wick Exit].[All]" dimensionUniqueName="[TABLE1]" displayFolder="" count="0" memberValueDatatype="130" unbalanced="0"/>
    <cacheHierarchy uniqueName="[TABLE1].[Price Behaviour]" caption="Price Behaviour" attribute="1" defaultMemberUniqueName="[TABLE1].[Price Behaviour].[All]" allUniqueName="[TABLE1].[Price Behaviour].[All]" dimensionUniqueName="[TABLE1]" displayFolder="" count="0" memberValueDatatype="130" unbalanced="0"/>
    <cacheHierarchy uniqueName="[TABLE1].[VPA]" caption="VPA" attribute="1" defaultMemberUniqueName="[TABLE1].[VPA].[All]" allUniqueName="[TABLE1].[VPA].[All]" dimensionUniqueName="[TABLE1]" displayFolder="" count="0" memberValueDatatype="130" unbalanced="0"/>
    <cacheHierarchy uniqueName="[TABLE1].[Secotor]" caption="Secotor" attribute="1" defaultMemberUniqueName="[TABLE1].[Secotor].[All]" allUniqueName="[TABLE1].[Secotor].[All]" dimensionUniqueName="[TABLE1]" displayFolder="" count="0" memberValueDatatype="130" unbalanced="0"/>
    <cacheHierarchy uniqueName="[TABLE1].[Relative Volume]" caption="Relative Volume" attribute="1" defaultMemberUniqueName="[TABLE1].[Relative Volume].[All]" allUniqueName="[TABLE1].[Relative Volume].[All]" dimensionUniqueName="[TABLE1]" displayFolder="" count="0" memberValueDatatype="5" unbalanced="0"/>
    <cacheHierarchy uniqueName="[TABLE1].[Daily Volume in Mil]" caption="Daily Volume in Mil" attribute="1" defaultMemberUniqueName="[TABLE1].[Daily Volume in Mil].[All]" allUniqueName="[TABLE1].[Daily Volume in Mil].[All]" dimensionUniqueName="[TABLE1]" displayFolder="" count="0" memberValueDatatype="5" unbalanced="0"/>
    <cacheHierarchy uniqueName="[TABLE1].[Catalyst]" caption="Catalyst" attribute="1" defaultMemberUniqueName="[TABLE1].[Catalyst].[All]" allUniqueName="[TABLE1].[Catalyst].[All]" dimensionUniqueName="[TABLE1]" displayFolder="" count="0" memberValueDatatype="130" unbalanced="0"/>
    <cacheHierarchy uniqueName="[TABLE1].[Pattern]" caption="Pattern" attribute="1" defaultMemberUniqueName="[TABLE1].[Pattern].[All]" allUniqueName="[TABLE1].[Pattern].[All]" dimensionUniqueName="[TABLE1]" displayFolder="" count="0" memberValueDatatype="130" unbalanced="0"/>
    <cacheHierarchy uniqueName="[TABLE1].[Float]" caption="Float" attribute="1" defaultMemberUniqueName="[TABLE1].[Float].[All]" allUniqueName="[TABLE1].[Float].[All]" dimensionUniqueName="[TABLE1]" displayFolder="" count="0" memberValueDatatype="5" unbalanced="0"/>
    <cacheHierarchy uniqueName="[TABLE1].[SPY 4H]" caption="SPY 4H" attribute="1" defaultMemberUniqueName="[TABLE1].[SPY 4H].[All]" allUniqueName="[TABLE1].[SPY 4H].[All]" dimensionUniqueName="[TABLE1]" displayFolder="" count="0" memberValueDatatype="5" unbalanced="0"/>
    <cacheHierarchy uniqueName="[TABLE1].[Short Float]" caption="Short Float" attribute="1" defaultMemberUniqueName="[TABLE1].[Short Float].[All]" allUniqueName="[TABLE1].[Short Float].[All]" dimensionUniqueName="[TABLE1]" displayFolder="" count="0" memberValueDatatype="5" unbalanced="0"/>
    <cacheHierarchy uniqueName="[TABLE1].[Picture]" caption="Picture" attribute="1" defaultMemberUniqueName="[TABLE1].[Picture].[All]" allUniqueName="[TABLE1].[Picture].[All]" dimensionUniqueName="[TABLE1]" displayFolder="" count="0" memberValueDatatype="130" unbalanced="0"/>
    <cacheHierarchy uniqueName="[TABLE1].[RRR in-trade]" caption="RRR in-trade" attribute="1" defaultMemberUniqueName="[TABLE1].[RRR in-trade].[All]" allUniqueName="[TABLE1].[RRR in-trade].[All]" dimensionUniqueName="[TABLE1]" displayFolder="" count="0" memberValueDatatype="5" unbalanced="0"/>
    <cacheHierarchy uniqueName="[TABLE1].[Negative RRR in-trade]" caption="Negative RRR in-trade" attribute="1" defaultMemberUniqueName="[TABLE1].[Negative RRR in-trade].[All]" allUniqueName="[TABLE1].[Negative RRR in-trade].[All]" dimensionUniqueName="[TABLE1]" displayFolder="" count="0" memberValueDatatype="5" unbalanced="0"/>
    <cacheHierarchy uniqueName="[TABLE1].[Outcome]" caption="Outcome" attribute="1" defaultMemberUniqueName="[TABLE1].[Outcome].[All]" allUniqueName="[TABLE1].[Outcome].[All]" dimensionUniqueName="[TABLE1]" displayFolder="" count="0" memberValueDatatype="130" unbalanced="0"/>
    <cacheHierarchy uniqueName="[TABLE1].[Net Gain/Loss]" caption="Net Gain/Loss" attribute="1" defaultMemberUniqueName="[TABLE1].[Net Gain/Loss].[All]" allUniqueName="[TABLE1].[Net Gain/Loss].[All]" dimensionUniqueName="[TABLE1]" displayFolder="" count="0" memberValueDatatype="5" unbalanced="0"/>
    <cacheHierarchy uniqueName="[TABLE1].[Time]" caption="Time" attribute="1" defaultMemberUniqueName="[TABLE1].[Time].[All]" allUniqueName="[TABLE1].[Time].[All]" dimensionUniqueName="[TABLE1]" displayFolder="" count="0" memberValueDatatype="130" unbalanced="0"/>
    <cacheHierarchy uniqueName="[TABLE1].[Sum Gain]" caption="Sum Gain" attribute="1" defaultMemberUniqueName="[TABLE1].[Sum Gain].[All]" allUniqueName="[TABLE1].[Sum Gain].[All]" dimensionUniqueName="[TABLE1]" displayFolder="" count="0" memberValueDatatype="5" unbalanced="0"/>
    <cacheHierarchy uniqueName="[TABLE1].[Hard RRR Before BE]" caption="Hard RRR Before BE" attribute="1" defaultMemberUniqueName="[TABLE1].[Hard RRR Before BE].[All]" allUniqueName="[TABLE1].[Hard RRR Before BE].[All]" dimensionUniqueName="[TABLE1]" displayFolder="" count="0" memberValueDatatype="130" unbalanced="0"/>
    <cacheHierarchy uniqueName="[TABLE1].[Missed RRR on Entry]" caption="Missed RRR on Entry" attribute="1" defaultMemberUniqueName="[TABLE1].[Missed RRR on Entry].[All]" allUniqueName="[TABLE1].[Missed RRR on Entry].[All]" dimensionUniqueName="[TABLE1]" displayFolder="" count="0" memberValueDatatype="5" unbalanced="0"/>
    <cacheHierarchy uniqueName="[TABLE1].[Missed RRR]" caption="Missed RRR" attribute="1" defaultMemberUniqueName="[TABLE1].[Missed RRR].[All]" allUniqueName="[TABLE1].[Missed RRR].[All]" dimensionUniqueName="[TABLE1]" displayFolder="" count="0" memberValueDatatype="5" unbalanced="0"/>
    <cacheHierarchy uniqueName="[TABLE1].[RRR Potential]" caption="RRR Potential" attribute="1" defaultMemberUniqueName="[TABLE1].[RRR Potential].[All]" allUniqueName="[TABLE1].[RRR Potential].[All]" dimensionUniqueName="[TABLE1]" displayFolder="" count="0" memberValueDatatype="5" unbalanced="0"/>
    <cacheHierarchy uniqueName="[TABLE1].[Hard RRR Potential]" caption="Hard RRR Potential" attribute="1" defaultMemberUniqueName="[TABLE1].[Hard RRR Potential].[All]" allUniqueName="[TABLE1].[Hard RRR Potential].[All]" dimensionUniqueName="[TABLE1]" displayFolder="" count="0" memberValueDatatype="5" unbalanced="0"/>
    <cacheHierarchy uniqueName="[TABLE1].[RRR difference]" caption="RRR difference" attribute="1" defaultMemberUniqueName="[TABLE1].[RRR difference].[All]" allUniqueName="[TABLE1].[RRR difference].[All]" dimensionUniqueName="[TABLE1]" displayFolder="" count="0" memberValueDatatype="5" unbalanced="0"/>
    <cacheHierarchy uniqueName="[TABLE1].[RRR Realized]" caption="RRR Realized" attribute="1" defaultMemberUniqueName="[TABLE1].[RRR Realized].[All]" allUniqueName="[TABLE1].[RRR Realized].[All]" dimensionUniqueName="[TABLE1]" displayFolder="" count="0" memberValueDatatype="5" unbalanced="0"/>
    <cacheHierarchy uniqueName="[TABLE1].[Fast Reversal at 0]" caption="Fast Reversal at 0" attribute="1" defaultMemberUniqueName="[TABLE1].[Fast Reversal at 0].[All]" allUniqueName="[TABLE1].[Fast Reversal at 0].[All]" dimensionUniqueName="[TABLE1]" displayFolder="" count="0" memberValueDatatype="5" unbalanced="0"/>
    <cacheHierarchy uniqueName="[TABLE1].[Fast Reversal at 1]" caption="Fast Reversal at 1" attribute="1" defaultMemberUniqueName="[TABLE1].[Fast Reversal at 1].[All]" allUniqueName="[TABLE1].[Fast Reversal at 1].[All]" dimensionUniqueName="[TABLE1]" displayFolder="" count="0" memberValueDatatype="5" unbalanced="0"/>
    <cacheHierarchy uniqueName="[TABLE1].[Fast Reversal at 1.5]" caption="Fast Reversal at 1.5" attribute="1" defaultMemberUniqueName="[TABLE1].[Fast Reversal at 1.5].[All]" allUniqueName="[TABLE1].[Fast Reversal at 1.5].[All]" dimensionUniqueName="[TABLE1]" displayFolder="" count="0" memberValueDatatype="5" unbalanced="0"/>
    <cacheHierarchy uniqueName="[TABLE1].[Fast Reversal at 2]" caption="Fast Reversal at 2" attribute="1" defaultMemberUniqueName="[TABLE1].[Fast Reversal at 2].[All]" allUniqueName="[TABLE1].[Fast Reversal at 2].[All]" dimensionUniqueName="[TABLE1]" displayFolder="" count="0" memberValueDatatype="5" unbalanced="0"/>
    <cacheHierarchy uniqueName="[TABLE1].[with SL at pattern break]" caption="with SL at pattern break" attribute="1" defaultMemberUniqueName="[TABLE1].[with SL at pattern break].[All]" allUniqueName="[TABLE1].[with SL at pattern break].[All]" dimensionUniqueName="[TABLE1]" displayFolder="" count="0" memberValueDatatype="5" unbalanced="0"/>
    <cacheHierarchy uniqueName="[TABLE1].[with Volume Exit]" caption="with Volume Exit" attribute="1" defaultMemberUniqueName="[TABLE1].[with Volume Exit].[All]" allUniqueName="[TABLE1].[with Volume Exit].[All]" dimensionUniqueName="[TABLE1]" displayFolder="" count="0" memberValueDatatype="5" unbalanced="0"/>
    <cacheHierarchy uniqueName="[TABLE1].[RRR Wick Exit]" caption="RRR Wick Exit" attribute="1" defaultMemberUniqueName="[TABLE1].[RRR Wick Exit].[All]" allUniqueName="[TABLE1].[RRR Wick Exit].[All]" dimensionUniqueName="[TABLE1]" displayFolder="" count="0" memberValueDatatype="5" unbalanced="0"/>
    <cacheHierarchy uniqueName="[TABLE1].[RRR Candle Exit]" caption="RRR Candle Exit" attribute="1" defaultMemberUniqueName="[TABLE1].[RRR Candle Exit].[All]" allUniqueName="[TABLE1].[RRR Candle Exit].[All]" dimensionUniqueName="[TABLE1]" displayFolder="" count="0" memberValueDatatype="5" unbalanced="0"/>
    <cacheHierarchy uniqueName="[TABLE1].[RRR at 2.5]" caption="RRR at 2.5" attribute="1" defaultMemberUniqueName="[TABLE1].[RRR at 2.5].[All]" allUniqueName="[TABLE1].[RRR at 2.5].[All]" dimensionUniqueName="[TABLE1]" displayFolder="" count="0" memberValueDatatype="5" unbalanced="0"/>
    <cacheHierarchy uniqueName="[TABLE1].[RRR at 3]" caption="RRR at 3" attribute="1" defaultMemberUniqueName="[TABLE1].[RRR at 3].[All]" allUniqueName="[TABLE1].[RRR at 3].[All]" dimensionUniqueName="[TABLE1]" displayFolder="" count="0" memberValueDatatype="5" unbalanced="0"/>
    <cacheHierarchy uniqueName="[table2].[Instrument]" caption="Instrument" attribute="1" defaultMemberUniqueName="[table2].[Instrument].[All]" allUniqueName="[table2].[Instrument].[All]" dimensionUniqueName="[table2]" displayFolder="" count="0" memberValueDatatype="130" unbalanced="0"/>
    <cacheHierarchy uniqueName="[table2].[No]" caption="No" attribute="1" defaultMemberUniqueName="[table2].[No].[All]" allUniqueName="[table2].[No].[All]" dimensionUniqueName="[table2]" displayFolder="" count="0" memberValueDatatype="20" unbalanced="0"/>
    <cacheHierarchy uniqueName="[table2].[Entry Date]" caption="Entry Date" attribute="1" time="1" defaultMemberUniqueName="[table2].[Entry Date].[All]" allUniqueName="[table2].[Entry Date].[All]" dimensionUniqueName="[table2]" displayFolder="" count="0" memberValueDatatype="7" unbalanced="0"/>
    <cacheHierarchy uniqueName="[table2].[Entry Time]" caption="Entry Time" attribute="1" time="1" defaultMemberUniqueName="[table2].[Entry Time].[All]" allUniqueName="[table2].[Entry Time].[All]" dimensionUniqueName="[table2]" displayFolder="" count="0" memberValueDatatype="7" unbalanced="0"/>
    <cacheHierarchy uniqueName="[table2].[Exit Time]" caption="Exit Time" attribute="1" time="1" defaultMemberUniqueName="[table2].[Exit Time].[All]" allUniqueName="[table2].[Exit Time].[All]" dimensionUniqueName="[table2]" displayFolder="" count="0" memberValueDatatype="7" unbalanced="0"/>
    <cacheHierarchy uniqueName="[table2].[Setup]" caption="Setup" attribute="1" defaultMemberUniqueName="[table2].[Setup].[All]" allUniqueName="[table2].[Setup].[All]" dimensionUniqueName="[table2]" displayFolder="" count="0" memberValueDatatype="130" unbalanced="0"/>
    <cacheHierarchy uniqueName="[table2].[Buy/Sell]" caption="Buy/Sell" attribute="1" defaultMemberUniqueName="[table2].[Buy/Sell].[All]" allUniqueName="[table2].[Buy/Sell].[All]" dimensionUniqueName="[table2]" displayFolder="" count="0" memberValueDatatype="130" unbalanced="0"/>
    <cacheHierarchy uniqueName="[table2].[Intended Entry]" caption="Intended Entry" attribute="1" defaultMemberUniqueName="[table2].[Intended Entry].[All]" allUniqueName="[table2].[Intended Entry].[All]" dimensionUniqueName="[table2]" displayFolder="" count="0" memberValueDatatype="5" unbalanced="0"/>
    <cacheHierarchy uniqueName="[table2].[Entry Price]" caption="Entry Price" attribute="1" defaultMemberUniqueName="[table2].[Entry Price].[All]" allUniqueName="[table2].[Entry Price].[All]" dimensionUniqueName="[table2]" displayFolder="" count="0" memberValueDatatype="5" unbalanced="0"/>
    <cacheHierarchy uniqueName="[table2].[SL Price]" caption="SL Price" attribute="1" defaultMemberUniqueName="[table2].[SL Price].[All]" allUniqueName="[table2].[SL Price].[All]" dimensionUniqueName="[table2]" displayFolder="" count="0" memberValueDatatype="5" unbalanced="0"/>
    <cacheHierarchy uniqueName="[table2].[Exit Price]" caption="Exit Price" attribute="1" defaultMemberUniqueName="[table2].[Exit Price].[All]" allUniqueName="[table2].[Exit Price].[All]" dimensionUniqueName="[table2]" displayFolder="" count="0" memberValueDatatype="5" unbalanced="0"/>
    <cacheHierarchy uniqueName="[table2].[Highest Price]" caption="Highest Price" attribute="1" defaultMemberUniqueName="[table2].[Highest Price].[All]" allUniqueName="[table2].[Highest Price].[All]" dimensionUniqueName="[table2]" displayFolder="" count="0" memberValueDatatype="5" unbalanced="0"/>
    <cacheHierarchy uniqueName="[table2].[Lowest Price]" caption="Lowest Price" attribute="1" defaultMemberUniqueName="[table2].[Lowest Price].[All]" allUniqueName="[table2].[Lowest Price].[All]" dimensionUniqueName="[table2]" displayFolder="" count="0" memberValueDatatype="5" unbalanced="0"/>
    <cacheHierarchy uniqueName="[table2].[Price Before BE]" caption="Price Before BE" attribute="1" defaultMemberUniqueName="[table2].[Price Before BE].[All]" allUniqueName="[table2].[Price Before BE].[All]" dimensionUniqueName="[table2]" displayFolder="" count="0" memberValueDatatype="130" unbalanced="0"/>
    <cacheHierarchy uniqueName="[table2].[Potential Price]" caption="Potential Price" attribute="1" defaultMemberUniqueName="[table2].[Potential Price].[All]" allUniqueName="[table2].[Potential Price].[All]" dimensionUniqueName="[table2]" displayFolder="" count="0" memberValueDatatype="5" unbalanced="0"/>
    <cacheHierarchy uniqueName="[table2].[Pattern SL]" caption="Pattern SL" attribute="1" defaultMemberUniqueName="[table2].[Pattern SL].[All]" allUniqueName="[table2].[Pattern SL].[All]" dimensionUniqueName="[table2]" displayFolder="" count="0" memberValueDatatype="130" unbalanced="0"/>
    <cacheHierarchy uniqueName="[table2].[Retest Price]" caption="Retest Price" attribute="1" defaultMemberUniqueName="[table2].[Retest Price].[All]" allUniqueName="[table2].[Retest Price].[All]" dimensionUniqueName="[table2]" displayFolder="" count="0" memberValueDatatype="130" unbalanced="0"/>
    <cacheHierarchy uniqueName="[table2].[TP Hit]" caption="TP Hit" attribute="1" defaultMemberUniqueName="[table2].[TP Hit].[All]" allUniqueName="[table2].[TP Hit].[All]" dimensionUniqueName="[table2]" displayFolder="" count="0" memberValueDatatype="11" unbalanced="0"/>
    <cacheHierarchy uniqueName="[table2].[Back to BE]" caption="Back to BE" attribute="1" defaultMemberUniqueName="[table2].[Back to BE].[All]" allUniqueName="[table2].[Back to BE].[All]" dimensionUniqueName="[table2]" displayFolder="" count="0" memberValueDatatype="11" unbalanced="0"/>
    <cacheHierarchy uniqueName="[table2].[Volume Exit]" caption="Volume Exit" attribute="1" defaultMemberUniqueName="[table2].[Volume Exit].[All]" allUniqueName="[table2].[Volume Exit].[All]" dimensionUniqueName="[table2]" displayFolder="" count="0" memberValueDatatype="130" unbalanced="0"/>
    <cacheHierarchy uniqueName="[table2].[Volume Exit RRR Reach]" caption="Volume Exit RRR Reach" attribute="1" defaultMemberUniqueName="[table2].[Volume Exit RRR Reach].[All]" allUniqueName="[table2].[Volume Exit RRR Reach].[All]" dimensionUniqueName="[table2]" displayFolder="" count="0" memberValueDatatype="5" unbalanced="0"/>
    <cacheHierarchy uniqueName="[table2].[Volume Exit BE]" caption="Volume Exit BE" attribute="1" defaultMemberUniqueName="[table2].[Volume Exit BE].[All]" allUniqueName="[table2].[Volume Exit BE].[All]" dimensionUniqueName="[table2]" displayFolder="" count="0" memberValueDatatype="11" unbalanced="0"/>
    <cacheHierarchy uniqueName="[table2].[Candle Exit]" caption="Candle Exit" attribute="1" defaultMemberUniqueName="[table2].[Candle Exit].[All]" allUniqueName="[table2].[Candle Exit].[All]" dimensionUniqueName="[table2]" displayFolder="" count="0" memberValueDatatype="130" unbalanced="0"/>
    <cacheHierarchy uniqueName="[table2].[Wick Exit]" caption="Wick Exit" attribute="1" defaultMemberUniqueName="[table2].[Wick Exit].[All]" allUniqueName="[table2].[Wick Exit].[All]" dimensionUniqueName="[table2]" displayFolder="" count="0" memberValueDatatype="11" unbalanced="0"/>
    <cacheHierarchy uniqueName="[table2].[Price Behaviour]" caption="Price Behaviour" attribute="1" defaultMemberUniqueName="[table2].[Price Behaviour].[All]" allUniqueName="[table2].[Price Behaviour].[All]" dimensionUniqueName="[table2]" displayFolder="" count="0" memberValueDatatype="130" unbalanced="0"/>
    <cacheHierarchy uniqueName="[table2].[VPA]" caption="VPA" attribute="1" defaultMemberUniqueName="[table2].[VPA].[All]" allUniqueName="[table2].[VPA].[All]" dimensionUniqueName="[table2]" displayFolder="" count="0" memberValueDatatype="130" unbalanced="0"/>
    <cacheHierarchy uniqueName="[table2].[Secotor]" caption="Secotor" attribute="1" defaultMemberUniqueName="[table2].[Secotor].[All]" allUniqueName="[table2].[Secotor].[All]" dimensionUniqueName="[table2]" displayFolder="" count="0" memberValueDatatype="130" unbalanced="0"/>
    <cacheHierarchy uniqueName="[table2].[Relative Volume]" caption="Relative Volume" attribute="1" defaultMemberUniqueName="[table2].[Relative Volume].[All]" allUniqueName="[table2].[Relative Volume].[All]" dimensionUniqueName="[table2]" displayFolder="" count="0" memberValueDatatype="5" unbalanced="0"/>
    <cacheHierarchy uniqueName="[table2].[Outcome]" caption="Outcome" attribute="1" defaultMemberUniqueName="[table2].[Outcome].[All]" allUniqueName="[table2].[Outcome].[All]" dimensionUniqueName="[table2]" displayFolder="" count="0" memberValueDatatype="130" unbalanced="0"/>
    <cacheHierarchy uniqueName="[table2].[Daily Volume in Mil]" caption="Daily Volume in Mil" attribute="1" defaultMemberUniqueName="[table2].[Daily Volume in Mil].[All]" allUniqueName="[table2].[Daily Volume in Mil].[All]" dimensionUniqueName="[table2]" displayFolder="" count="0" memberValueDatatype="5" unbalanced="0"/>
    <cacheHierarchy uniqueName="[table2].[Catalyst]" caption="Catalyst" attribute="1" defaultMemberUniqueName="[table2].[Catalyst].[All]" allUniqueName="[table2].[Catalyst].[All]" dimensionUniqueName="[table2]" displayFolder="" count="0" memberValueDatatype="130" unbalanced="0"/>
    <cacheHierarchy uniqueName="[table2].[Percent Gain]" caption="Percent Gain" attribute="1" defaultMemberUniqueName="[table2].[Percent Gain].[All]" allUniqueName="[table2].[Percent Gain].[All]" dimensionUniqueName="[table2]" displayFolder="" count="0" memberValueDatatype="5" unbalanced="0"/>
    <cacheHierarchy uniqueName="[table2].[Float]" caption="Float" attribute="1" defaultMemberUniqueName="[table2].[Float].[All]" allUniqueName="[table2].[Float].[All]" dimensionUniqueName="[table2]" displayFolder="" count="0" memberValueDatatype="5" unbalanced="0"/>
    <cacheHierarchy uniqueName="[table2].[Short Float]" caption="Short Float" attribute="1" defaultMemberUniqueName="[table2].[Short Float].[All]" allUniqueName="[table2].[Short Float].[All]" dimensionUniqueName="[table2]" displayFolder="" count="0" memberValueDatatype="5" unbalanced="0"/>
    <cacheHierarchy uniqueName="[table2].[Picture]" caption="Picture" attribute="1" defaultMemberUniqueName="[table2].[Picture].[All]" allUniqueName="[table2].[Picture].[All]" dimensionUniqueName="[table2]" displayFolder="" count="0" memberValueDatatype="130" unbalanced="0"/>
    <cacheHierarchy uniqueName="[table2].[RRR in-trade]" caption="RRR in-trade" attribute="1" defaultMemberUniqueName="[table2].[RRR in-trade].[All]" allUniqueName="[table2].[RRR in-trade].[All]" dimensionUniqueName="[table2]" displayFolder="" count="0" memberValueDatatype="5" unbalanced="0"/>
    <cacheHierarchy uniqueName="[table2].[Negative RRR in-trade]" caption="Negative RRR in-trade" attribute="1" defaultMemberUniqueName="[table2].[Negative RRR in-trade].[All]" allUniqueName="[table2].[Negative RRR in-trade].[All]" dimensionUniqueName="[table2]" displayFolder="" count="0" memberValueDatatype="5" unbalanced="0"/>
    <cacheHierarchy uniqueName="[table2].[Time]" caption="Time" attribute="1" time="1" defaultMemberUniqueName="[table2].[Time].[All]" allUniqueName="[table2].[Time].[All]" dimensionUniqueName="[table2]" displayFolder="" count="0" memberValueDatatype="7" unbalanced="0"/>
    <cacheHierarchy uniqueName="[table2].[RRR Closing Price]" caption="RRR Closing Price" attribute="1" defaultMemberUniqueName="[table2].[RRR Closing Price].[All]" allUniqueName="[table2].[RRR Closing Price].[All]" dimensionUniqueName="[table2]" displayFolder="" count="0" memberValueDatatype="130" unbalanced="0"/>
    <cacheHierarchy uniqueName="[table2].[Sum Gain]" caption="Sum Gain" attribute="1" defaultMemberUniqueName="[table2].[Sum Gain].[All]" allUniqueName="[table2].[Sum Gain].[All]" dimensionUniqueName="[table2]" displayFolder="" count="0" memberValueDatatype="20" unbalanced="0"/>
    <cacheHierarchy uniqueName="[table2].[Hard RRR Before BE]" caption="Hard RRR Before BE" attribute="1" defaultMemberUniqueName="[table2].[Hard RRR Before BE].[All]" allUniqueName="[table2].[Hard RRR Before BE].[All]" dimensionUniqueName="[table2]" displayFolder="" count="0" memberValueDatatype="130" unbalanced="0"/>
    <cacheHierarchy uniqueName="[table2].[Missed RRR on Entry]" caption="Missed RRR on Entry" attribute="1" defaultMemberUniqueName="[table2].[Missed RRR on Entry].[All]" allUniqueName="[table2].[Missed RRR on Entry].[All]" dimensionUniqueName="[table2]" displayFolder="" count="0" memberValueDatatype="5" unbalanced="0"/>
    <cacheHierarchy uniqueName="[table2].[Missed RRR]" caption="Missed RRR" attribute="1" defaultMemberUniqueName="[table2].[Missed RRR].[All]" allUniqueName="[table2].[Missed RRR].[All]" dimensionUniqueName="[table2]" displayFolder="" count="0" memberValueDatatype="5" unbalanced="0"/>
    <cacheHierarchy uniqueName="[table2].[RRR Potential]" caption="RRR Potential" attribute="1" defaultMemberUniqueName="[table2].[RRR Potential].[All]" allUniqueName="[table2].[RRR Potential].[All]" dimensionUniqueName="[table2]" displayFolder="" count="0" memberValueDatatype="5" unbalanced="0"/>
    <cacheHierarchy uniqueName="[table2].[Hard RRR Potential]" caption="Hard RRR Potential" attribute="1" defaultMemberUniqueName="[table2].[Hard RRR Potential].[All]" allUniqueName="[table2].[Hard RRR Potential].[All]" dimensionUniqueName="[table2]" displayFolder="" count="0" memberValueDatatype="5" unbalanced="0"/>
    <cacheHierarchy uniqueName="[table2].[RRR difference]" caption="RRR difference" attribute="1" defaultMemberUniqueName="[table2].[RRR difference].[All]" allUniqueName="[table2].[RRR difference].[All]" dimensionUniqueName="[table2]" displayFolder="" count="0" memberValueDatatype="5" unbalanced="0"/>
    <cacheHierarchy uniqueName="[table2].[RRR Realized]" caption="RRR Realized" attribute="1" defaultMemberUniqueName="[table2].[RRR Realized].[All]" allUniqueName="[table2].[RRR Realized].[All]" dimensionUniqueName="[table2]" displayFolder="" count="0" memberValueDatatype="5" unbalanced="0"/>
    <cacheHierarchy uniqueName="[table2].[Fast Reversal at 0]" caption="Fast Reversal at 0" attribute="1" defaultMemberUniqueName="[table2].[Fast Reversal at 0].[All]" allUniqueName="[table2].[Fast Reversal at 0].[All]" dimensionUniqueName="[table2]" displayFolder="" count="0" memberValueDatatype="5" unbalanced="0"/>
    <cacheHierarchy uniqueName="[table2].[Fast Reversal at 1]" caption="Fast Reversal at 1" attribute="1" defaultMemberUniqueName="[table2].[Fast Reversal at 1].[All]" allUniqueName="[table2].[Fast Reversal at 1].[All]" dimensionUniqueName="[table2]" displayFolder="" count="0" memberValueDatatype="5" unbalanced="0"/>
    <cacheHierarchy uniqueName="[table2].[Fast Reversal at 1.5]" caption="Fast Reversal at 1.5" attribute="1" defaultMemberUniqueName="[table2].[Fast Reversal at 1.5].[All]" allUniqueName="[table2].[Fast Reversal at 1.5].[All]" dimensionUniqueName="[table2]" displayFolder="" count="0" memberValueDatatype="5" unbalanced="0"/>
    <cacheHierarchy uniqueName="[table2].[Fast Reversal at 2]" caption="Fast Reversal at 2" attribute="1" defaultMemberUniqueName="[table2].[Fast Reversal at 2].[All]" allUniqueName="[table2].[Fast Reversal at 2].[All]" dimensionUniqueName="[table2]" displayFolder="" count="0" memberValueDatatype="5" unbalanced="0"/>
    <cacheHierarchy uniqueName="[table2].[with SL at pattern break]" caption="with SL at pattern break" attribute="1" defaultMemberUniqueName="[table2].[with SL at pattern break].[All]" allUniqueName="[table2].[with SL at pattern break].[All]" dimensionUniqueName="[table2]" displayFolder="" count="0" memberValueDatatype="5" unbalanced="0"/>
    <cacheHierarchy uniqueName="[table2].[with Volume Exit]" caption="with Volume Exit" attribute="1" defaultMemberUniqueName="[table2].[with Volume Exit].[All]" allUniqueName="[table2].[with Volume Exit].[All]" dimensionUniqueName="[table2]" displayFolder="" count="0" memberValueDatatype="5" unbalanced="0"/>
    <cacheHierarchy uniqueName="[table2].[RRR Wick Exit]" caption="RRR Wick Exit" attribute="1" defaultMemberUniqueName="[table2].[RRR Wick Exit].[All]" allUniqueName="[table2].[RRR Wick Exit].[All]" dimensionUniqueName="[table2]" displayFolder="" count="0" memberValueDatatype="5" unbalanced="0"/>
    <cacheHierarchy uniqueName="[table2].[RRR Candle Exit]" caption="RRR Candle Exit" attribute="1" defaultMemberUniqueName="[table2].[RRR Candle Exit].[All]" allUniqueName="[table2].[RRR Candle Exit].[All]" dimensionUniqueName="[table2]" displayFolder="" count="0" memberValueDatatype="5" unbalanced="0"/>
    <cacheHierarchy uniqueName="[table2].[RRR at 2.5]" caption="RRR at 2.5" attribute="1" defaultMemberUniqueName="[table2].[RRR at 2.5].[All]" allUniqueName="[table2].[RRR at 2.5].[All]" dimensionUniqueName="[table2]" displayFolder="" count="0" memberValueDatatype="5" unbalanced="0"/>
    <cacheHierarchy uniqueName="[table2].[RRR at 3]" caption="RRR at 3" attribute="1" defaultMemberUniqueName="[table2].[RRR at 3].[All]" allUniqueName="[table2].[RRR at 3].[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סכום של Sum Gain]" caption="סכום של Sum Gain" measure="1" displayFolder="" measureGroup="TABLE1" count="0" oneField="1" hidden="1">
      <fieldsUsage count="1">
        <fieldUsage x="0"/>
      </fieldsUsage>
      <extLst>
        <ext xmlns:x15="http://schemas.microsoft.com/office/spreadsheetml/2010/11/main" uri="{B97F6D7D-B522-45F9-BDA1-12C45D357490}">
          <x15:cacheHierarchy aggregatedColumn="43"/>
        </ext>
      </extLst>
    </cacheHierarchy>
    <cacheHierarchy uniqueName="[Measures].[סכום של Sum Gain 2]" caption="סכום של Sum Gain 2" measure="1" displayFolder="" measureGroup="table2" count="0" hidden="1">
      <extLst>
        <ext xmlns:x15="http://schemas.microsoft.com/office/spreadsheetml/2010/11/main" uri="{B97F6D7D-B522-45F9-BDA1-12C45D357490}">
          <x15:cacheHierarchy aggregatedColumn="100"/>
        </ext>
      </extLst>
    </cacheHierarchy>
    <cacheHierarchy uniqueName="[Measures].[סכום של No]" caption="סכום של No" measure="1" displayFolder="" measureGroup="table2"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3.851434374999" createdVersion="6" refreshedVersion="6" minRefreshableVersion="3" recordCount="64" xr:uid="{100F9A84-A1C9-49C0-BB25-A0EBE6EFBC09}">
  <cacheSource type="worksheet">
    <worksheetSource name="TABLE1"/>
  </cacheSource>
  <cacheFields count="61">
    <cacheField name="Instrument" numFmtId="0">
      <sharedItems/>
    </cacheField>
    <cacheField name="No" numFmtId="0">
      <sharedItems containsSemiMixedTypes="0" containsString="0" containsNumber="1" minValue="0.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6"/>
        <n v="57"/>
        <n v="58"/>
        <n v="59"/>
        <n v="60"/>
        <n v="61"/>
        <n v="62"/>
        <n v="63"/>
        <n v="64"/>
        <n v="65"/>
        <n v="69" u="1"/>
        <n v="82" u="1"/>
        <n v="95" u="1"/>
        <n v="68" u="1"/>
        <n v="81" u="1"/>
        <n v="94" u="1"/>
        <n v="67" u="1"/>
        <n v="80" u="1"/>
        <n v="93" u="1"/>
        <n v="66" u="1"/>
        <n v="79" u="1"/>
        <n v="92" u="1"/>
        <n v="78" u="1"/>
        <n v="91" u="1"/>
        <n v="77" u="1"/>
        <n v="90" u="1"/>
        <n v="76" u="1"/>
        <n v="89" u="1"/>
        <n v="75" u="1"/>
        <n v="88" u="1"/>
        <n v="74" u="1"/>
        <n v="87" u="1"/>
        <n v="73" u="1"/>
        <n v="0.1" u="1"/>
        <n v="86" u="1"/>
        <n v="55" u="1"/>
        <n v="72" u="1"/>
        <n v="85" u="1"/>
        <n v="71" u="1"/>
        <n v="84" u="1"/>
        <n v="70" u="1"/>
        <n v="83" u="1"/>
        <n v="96" u="1"/>
      </sharedItems>
    </cacheField>
    <cacheField name="Entry Date" numFmtId="165">
      <sharedItems containsSemiMixedTypes="0" containsNonDate="0" containsDate="1" containsString="0" minDate="2019-03-14T00:00:00" maxDate="2019-05-26T00:00:00"/>
    </cacheField>
    <cacheField name="Entry Time" numFmtId="164">
      <sharedItems containsSemiMixedTypes="0" containsNonDate="0" containsDate="1" containsString="0" minDate="1899-12-30T09:35:00" maxDate="1899-12-30T11:01:00"/>
    </cacheField>
    <cacheField name="Exit Time" numFmtId="164">
      <sharedItems containsSemiMixedTypes="0" containsNonDate="0" containsDate="1" containsString="0" minDate="1899-12-30T09:39:00" maxDate="1899-12-30T11:29:00"/>
    </cacheField>
    <cacheField name="Comissions" numFmtId="0">
      <sharedItems containsSemiMixedTypes="0" containsString="0" containsNumber="1" minValue="2.02" maxValue="76"/>
    </cacheField>
    <cacheField name="Gain/Loss" numFmtId="0">
      <sharedItems containsSemiMixedTypes="0" containsString="0" containsNumber="1" minValue="-331.4" maxValue="680.54"/>
    </cacheField>
    <cacheField name="Quantity" numFmtId="1">
      <sharedItems containsSemiMixedTypes="0" containsString="0" containsNumber="1" containsInteger="1" minValue="75" maxValue="7500"/>
    </cacheField>
    <cacheField name="Setup" numFmtId="0">
      <sharedItems/>
    </cacheField>
    <cacheField name="Buy/Sell" numFmtId="0">
      <sharedItems/>
    </cacheField>
    <cacheField name="Intended Entry" numFmtId="0">
      <sharedItems containsSemiMixedTypes="0" containsString="0" containsNumber="1" minValue="0.2898" maxValue="15.18"/>
    </cacheField>
    <cacheField name="Entry Price" numFmtId="0">
      <sharedItems containsSemiMixedTypes="0" containsString="0" containsNumber="1" minValue="0.28999999999999998" maxValue="15.18"/>
    </cacheField>
    <cacheField name="SL Price" numFmtId="0">
      <sharedItems containsSemiMixedTypes="0" containsString="0" containsNumber="1" minValue="0.25979999999999998" maxValue="13.87"/>
    </cacheField>
    <cacheField name="Exit Price" numFmtId="0">
      <sharedItems containsSemiMixedTypes="0" containsString="0" containsNumber="1" minValue="0.27400000000000002" maxValue="13.83"/>
    </cacheField>
    <cacheField name="Highest Price" numFmtId="0">
      <sharedItems containsSemiMixedTypes="0" containsString="0" containsNumber="1" minValue="0.31" maxValue="15.18"/>
    </cacheField>
    <cacheField name="Lowest Price" numFmtId="0">
      <sharedItems containsSemiMixedTypes="0" containsString="0" containsNumber="1" minValue="0.27329999999999999" maxValue="13.83"/>
    </cacheField>
    <cacheField name="Price Before BE" numFmtId="0">
      <sharedItems containsMixedTypes="1" containsNumber="1" minValue="0.31" maxValue="15.18"/>
    </cacheField>
    <cacheField name="Potential Price" numFmtId="0">
      <sharedItems containsSemiMixedTypes="0" containsString="0" containsNumber="1" minValue="0.31" maxValue="15.18"/>
    </cacheField>
    <cacheField name="Pattern SL" numFmtId="0">
      <sharedItems containsMixedTypes="1" containsNumber="1" minValue="1.23" maxValue="4.78"/>
    </cacheField>
    <cacheField name="Retest Price" numFmtId="0">
      <sharedItems containsMixedTypes="1" containsNumber="1" minValue="2.0499999999999998" maxValue="13.87"/>
    </cacheField>
    <cacheField name="TP Hit" numFmtId="0">
      <sharedItems/>
    </cacheField>
    <cacheField name="Back to BE" numFmtId="0">
      <sharedItems containsBlank="1"/>
    </cacheField>
    <cacheField name="Volume Exit" numFmtId="0">
      <sharedItems containsMixedTypes="1" containsNumber="1" minValue="0.27400000000000002" maxValue="8.33"/>
    </cacheField>
    <cacheField name="Volume Exit RRR Reach" numFmtId="0">
      <sharedItems containsBlank="1" containsMixedTypes="1" containsNumber="1" minValue="1.2" maxValue="7.5"/>
    </cacheField>
    <cacheField name="Volume Exit BE" numFmtId="0">
      <sharedItems containsBlank="1" containsMixedTypes="1" containsNumber="1" minValue="1.5" maxValue="1.95"/>
    </cacheField>
    <cacheField name="Candle Exit" numFmtId="0">
      <sharedItems containsMixedTypes="1" containsNumber="1" minValue="0.27400000000000002" maxValue="8.4499999999999993"/>
    </cacheField>
    <cacheField name="Wick Exit" numFmtId="0">
      <sharedItems containsMixedTypes="1" containsNumber="1" minValue="0.80500000000000005" maxValue="12.66"/>
    </cacheField>
    <cacheField name="Price Behaviour" numFmtId="0">
      <sharedItems containsBlank="1" count="6">
        <s v="Fast Reversal"/>
        <s v="Strong BO"/>
        <s v="Moderate Move"/>
        <m u="1"/>
        <s v="Quick SL" u="1"/>
        <s v="Stuck and Slow" u="1"/>
      </sharedItems>
    </cacheField>
    <cacheField name="VPA" numFmtId="0">
      <sharedItems containsBlank="1" count="5">
        <s v="NONE"/>
        <s v="Good"/>
        <s v="Medium"/>
        <s v="Bad"/>
        <m u="1"/>
      </sharedItems>
    </cacheField>
    <cacheField name="Secotor" numFmtId="0">
      <sharedItems/>
    </cacheField>
    <cacheField name="Relative Volume" numFmtId="0">
      <sharedItems containsString="0" containsBlank="1" containsNumber="1" minValue="2.72" maxValue="1216"/>
    </cacheField>
    <cacheField name="Daily Volume in Mil" numFmtId="0">
      <sharedItems containsString="0" containsBlank="1" containsNumber="1" minValue="2" maxValue="147"/>
    </cacheField>
    <cacheField name="Catalyst" numFmtId="0">
      <sharedItems containsBlank="1"/>
    </cacheField>
    <cacheField name="Pattern" numFmtId="0">
      <sharedItems/>
    </cacheField>
    <cacheField name="Float" numFmtId="0">
      <sharedItems containsSemiMixedTypes="0" containsString="0" containsNumber="1" minValue="0.04" maxValue="78"/>
    </cacheField>
    <cacheField name="SPY 4H" numFmtId="0">
      <sharedItems containsSemiMixedTypes="0" containsString="0" containsNumber="1" minValue="-1" maxValue="1.32"/>
    </cacheField>
    <cacheField name="Short Float" numFmtId="0">
      <sharedItems containsString="0" containsBlank="1" containsNumber="1" minValue="0.3" maxValue="39.979999999999997"/>
    </cacheField>
    <cacheField name="Picture" numFmtId="0">
      <sharedItems/>
    </cacheField>
    <cacheField name="RRR in-trade" numFmtId="0">
      <sharedItems containsSemiMixedTypes="0" containsString="0" containsNumber="1" minValue="-1" maxValue="6.0099999999999945"/>
    </cacheField>
    <cacheField name="Negative RRR in-trade" numFmtId="167">
      <sharedItems containsSemiMixedTypes="0" containsString="0" containsNumber="1" minValue="-1.325688073394498" maxValue="0"/>
    </cacheField>
    <cacheField name="Outcome" numFmtId="0">
      <sharedItems count="2">
        <s v="LOSER"/>
        <s v="WINNER"/>
      </sharedItems>
    </cacheField>
    <cacheField name="Net Gain/Loss" numFmtId="0">
      <sharedItems containsSemiMixedTypes="0" containsString="0" containsNumber="1" minValue="-376" maxValue="660.19999999999993"/>
    </cacheField>
    <cacheField name="Time" numFmtId="21">
      <sharedItems containsSemiMixedTypes="0" containsDate="1" containsString="0" containsMixedTypes="1" minDate="1899-12-30T00:01:00" maxDate="1899-12-30T01:04:00"/>
    </cacheField>
    <cacheField name="Sum Gain" numFmtId="0">
      <sharedItems containsSemiMixedTypes="0" containsString="0" containsNumber="1" minValue="-103.09" maxValue="2447.5388999999996"/>
    </cacheField>
    <cacheField name="Hard RRR Before BE" numFmtId="0">
      <sharedItems containsMixedTypes="1" containsNumber="1" minValue="-7.1428571428569843E-2" maxValue="5.9999999999999956"/>
    </cacheField>
    <cacheField name="Missed RRR on Entry" numFmtId="0">
      <sharedItems containsSemiMixedTypes="0" containsString="0" containsNumber="1" minValue="-0.20333333333333325" maxValue="0.33333333333333326"/>
    </cacheField>
    <cacheField name="Missed RRR" numFmtId="167">
      <sharedItems containsSemiMixedTypes="0" containsString="0" containsNumber="1" minValue="-0.20333333333333325" maxValue="0.33333333333333326"/>
    </cacheField>
    <cacheField name="RRR Potential" numFmtId="167">
      <sharedItems containsSemiMixedTypes="0" containsString="0" containsNumber="1" minValue="0" maxValue="8.75"/>
    </cacheField>
    <cacheField name="Hard RRR Potential" numFmtId="167">
      <sharedItems containsSemiMixedTypes="0" containsString="0" containsNumber="1" minValue="-7.1400000000000005E-2" maxValue="8.75"/>
    </cacheField>
    <cacheField name="RRR difference" numFmtId="167">
      <sharedItems containsSemiMixedTypes="0" containsString="0" containsNumber="1" minValue="4.9999999999999822E-2" maxValue="8.5"/>
    </cacheField>
    <cacheField name="RRR Realized" numFmtId="0">
      <sharedItems containsSemiMixedTypes="0" containsString="0" containsNumber="1" minValue="-1.3257000000000001" maxValue="3.5"/>
    </cacheField>
    <cacheField name=" Fast Reversal at 0" numFmtId="0">
      <sharedItems containsSemiMixedTypes="0" containsString="0" containsNumber="1" minValue="-1.3257000000000001" maxValue="3.5"/>
    </cacheField>
    <cacheField name=" Fast Reversal at 1" numFmtId="0">
      <sharedItems containsSemiMixedTypes="0" containsString="0" containsNumber="1" minValue="-1.3257000000000001" maxValue="3.5"/>
    </cacheField>
    <cacheField name=" Fast Reversal at 1.5" numFmtId="0">
      <sharedItems containsSemiMixedTypes="0" containsString="0" containsNumber="1" minValue="-1.3257000000000001" maxValue="3.5"/>
    </cacheField>
    <cacheField name=" Fast Reversal at 2" numFmtId="0">
      <sharedItems containsSemiMixedTypes="0" containsString="0" containsNumber="1" minValue="-1.3257000000000001" maxValue="3.5"/>
    </cacheField>
    <cacheField name=" with SL at pattern break" numFmtId="0">
      <sharedItems containsSemiMixedTypes="0" containsString="0" containsNumber="1" minValue="-1.3257000000000001" maxValue="3.5"/>
    </cacheField>
    <cacheField name=" with Volume Exit" numFmtId="0">
      <sharedItems containsSemiMixedTypes="0" containsString="0" containsNumber="1" minValue="-1.3257000000000001" maxValue="3.5"/>
    </cacheField>
    <cacheField name="RRR Wick Exit" numFmtId="0">
      <sharedItems containsSemiMixedTypes="0" containsString="0" containsNumber="1" minValue="-1.3257000000000001" maxValue="3.5"/>
    </cacheField>
    <cacheField name="RRR Candle Exit" numFmtId="0">
      <sharedItems containsSemiMixedTypes="0" containsString="0" containsNumber="1" minValue="-1.3257000000000001" maxValue="8.9421487603305767"/>
    </cacheField>
    <cacheField name="RRR at 2.5" numFmtId="0">
      <sharedItems containsSemiMixedTypes="0" containsString="0" containsNumber="1" minValue="-1.3257000000000001" maxValue="2.600000000000001"/>
    </cacheField>
    <cacheField name="RRR at 3" numFmtId="0">
      <sharedItems containsSemiMixedTypes="0" containsString="0" containsNumber="1" minValue="-1.3257000000000001" maxValue="3.049999999999998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3.85143599537" createdVersion="6" refreshedVersion="6" minRefreshableVersion="3" recordCount="10" xr:uid="{21A624EC-80EB-4FB4-88DB-9CF6A3E3D662}">
  <cacheSource type="worksheet">
    <worksheetSource name="table2"/>
  </cacheSource>
  <cacheFields count="57">
    <cacheField name="Instrument" numFmtId="0">
      <sharedItems/>
    </cacheField>
    <cacheField name="No" numFmtId="0">
      <sharedItems containsSemiMixedTypes="0" containsString="0" containsNumber="1" containsInteger="1" minValue="1" maxValue="10" count="10">
        <n v="1"/>
        <n v="2"/>
        <n v="3"/>
        <n v="4"/>
        <n v="5"/>
        <n v="6"/>
        <n v="7"/>
        <n v="8"/>
        <n v="9"/>
        <n v="10"/>
      </sharedItems>
    </cacheField>
    <cacheField name="Entry Date" numFmtId="165">
      <sharedItems containsSemiMixedTypes="0" containsNonDate="0" containsDate="1" containsString="0" minDate="2019-05-07T00:00:00" maxDate="2019-05-25T00:00:00"/>
    </cacheField>
    <cacheField name="Entry Time" numFmtId="164">
      <sharedItems containsSemiMixedTypes="0" containsNonDate="0" containsDate="1" containsString="0" minDate="1899-12-30T10:34:00" maxDate="1899-12-30T12:00:00"/>
    </cacheField>
    <cacheField name="Exit Time" numFmtId="164">
      <sharedItems containsSemiMixedTypes="0" containsNonDate="0" containsDate="1" containsString="0" minDate="1899-12-30T10:49:00" maxDate="1899-12-30T15:53:00"/>
    </cacheField>
    <cacheField name="Setup" numFmtId="0">
      <sharedItems/>
    </cacheField>
    <cacheField name="Buy/Sell" numFmtId="0">
      <sharedItems/>
    </cacheField>
    <cacheField name="Intended Entry" numFmtId="0">
      <sharedItems containsSemiMixedTypes="0" containsString="0" containsNumber="1" minValue="0.376" maxValue="6.37"/>
    </cacheField>
    <cacheField name="Entry Price" numFmtId="0">
      <sharedItems containsSemiMixedTypes="0" containsString="0" containsNumber="1" minValue="0.376" maxValue="6.36"/>
    </cacheField>
    <cacheField name="SL Price" numFmtId="0">
      <sharedItems containsSemiMixedTypes="0" containsString="0" containsNumber="1" minValue="0.41599999999999998" maxValue="6.59"/>
    </cacheField>
    <cacheField name="Exit Price" numFmtId="0">
      <sharedItems containsSemiMixedTypes="0" containsString="0" containsNumber="1" minValue="0.41599999999999998" maxValue="6.6"/>
    </cacheField>
    <cacheField name="Highest Price" numFmtId="0">
      <sharedItems containsSemiMixedTypes="0" containsString="0" containsNumber="1" minValue="0.41599999999999998" maxValue="6.6"/>
    </cacheField>
    <cacheField name="Lowest Price" numFmtId="0">
      <sharedItems containsSemiMixedTypes="0" containsString="0" containsNumber="1" minValue="0.32" maxValue="6.24"/>
    </cacheField>
    <cacheField name="Price Before BE" numFmtId="0">
      <sharedItems containsMixedTypes="1" containsNumber="1" minValue="0.32" maxValue="6.24"/>
    </cacheField>
    <cacheField name="Potential Price" numFmtId="0">
      <sharedItems containsSemiMixedTypes="0" containsString="0" containsNumber="1" minValue="0.32" maxValue="6.24"/>
    </cacheField>
    <cacheField name="Pattern SL" numFmtId="0">
      <sharedItems containsMixedTypes="1" containsNumber="1" minValue="6.16" maxValue="6.16"/>
    </cacheField>
    <cacheField name="Retest Price" numFmtId="0">
      <sharedItems containsMixedTypes="1" containsNumber="1" minValue="6.43" maxValue="6.5"/>
    </cacheField>
    <cacheField name="TP Hit" numFmtId="0">
      <sharedItems/>
    </cacheField>
    <cacheField name="Back to BE" numFmtId="0">
      <sharedItems containsBlank="1"/>
    </cacheField>
    <cacheField name="Volume Exit" numFmtId="0">
      <sharedItems containsBlank="1" containsMixedTypes="1" containsNumber="1" minValue="0.98" maxValue="6.6"/>
    </cacheField>
    <cacheField name="Volume Exit RRR Reach" numFmtId="0">
      <sharedItems containsString="0" containsBlank="1" containsNumber="1" minValue="1.5" maxValue="2.66"/>
    </cacheField>
    <cacheField name="Volume Exit BE" numFmtId="0">
      <sharedItems containsBlank="1"/>
    </cacheField>
    <cacheField name="Candle Exit" numFmtId="0">
      <sharedItems containsMixedTypes="1" containsNumber="1" minValue="6.37" maxValue="6.4"/>
    </cacheField>
    <cacheField name="Wick Exit" numFmtId="0">
      <sharedItems/>
    </cacheField>
    <cacheField name="Price Behaviour" numFmtId="0">
      <sharedItems/>
    </cacheField>
    <cacheField name="VPA" numFmtId="0">
      <sharedItems/>
    </cacheField>
    <cacheField name="Secotor" numFmtId="0">
      <sharedItems/>
    </cacheField>
    <cacheField name="Relative Volume" numFmtId="0">
      <sharedItems containsSemiMixedTypes="0" containsString="0" containsNumber="1" minValue="1.26" maxValue="23"/>
    </cacheField>
    <cacheField name="Outcome" numFmtId="0">
      <sharedItems/>
    </cacheField>
    <cacheField name="Daily Volume in Mil" numFmtId="0">
      <sharedItems containsString="0" containsBlank="1" containsNumber="1" minValue="1.1000000000000001" maxValue="30"/>
    </cacheField>
    <cacheField name="Catalyst" numFmtId="0">
      <sharedItems/>
    </cacheField>
    <cacheField name="Percent Gain" numFmtId="0">
      <sharedItems containsSemiMixedTypes="0" containsString="0" containsNumber="1" minValue="9.2799999999999994" maxValue="155"/>
    </cacheField>
    <cacheField name="Float" numFmtId="0">
      <sharedItems containsSemiMixedTypes="0" containsString="0" containsNumber="1" minValue="3.66" maxValue="23.4"/>
    </cacheField>
    <cacheField name="Short Float" numFmtId="0">
      <sharedItems containsSemiMixedTypes="0" containsString="0" containsNumber="1" minValue="0.5" maxValue="17.8"/>
    </cacheField>
    <cacheField name="Picture" numFmtId="0">
      <sharedItems/>
    </cacheField>
    <cacheField name="RRR in-trade" numFmtId="0">
      <sharedItems containsSemiMixedTypes="0" containsString="0" containsNumber="1" minValue="0.14285714285714649" maxValue="2.6666666666666767"/>
    </cacheField>
    <cacheField name="Negative RRR in-trade" numFmtId="167">
      <sharedItems containsSemiMixedTypes="0" containsString="0" containsNumber="1" minValue="-1.3333333333333259" maxValue="0"/>
    </cacheField>
    <cacheField name="Time" numFmtId="21">
      <sharedItems containsSemiMixedTypes="0" containsNonDate="0" containsDate="1" containsString="0" minDate="1899-12-30T00:09:00" maxDate="1899-12-30T04:59:00"/>
    </cacheField>
    <cacheField name="RRR Closing Price" numFmtId="167">
      <sharedItems containsMixedTypes="1" containsNumber="1" minValue="-0.77780000000000005" maxValue="-0.55449999999999999"/>
    </cacheField>
    <cacheField name="Sum Gain" numFmtId="0">
      <sharedItems containsSemiMixedTypes="0" containsString="0" containsNumber="1" containsInteger="1" minValue="232" maxValue="232"/>
    </cacheField>
    <cacheField name="Hard RRR Before BE" numFmtId="0">
      <sharedItems containsMixedTypes="1" containsNumber="1" minValue="0.14285714285714649" maxValue="2.0000000000000075"/>
    </cacheField>
    <cacheField name="Missed RRR on Entry" numFmtId="0">
      <sharedItems containsSemiMixedTypes="0" containsString="0" containsNumber="1" minValue="-3.6363636363636487E-2" maxValue="0.66666666666665919"/>
    </cacheField>
    <cacheField name="Missed RRR" numFmtId="167">
      <sharedItems containsSemiMixedTypes="0" containsString="0" containsNumber="1" minValue="-3.6363636363636487E-2" maxValue="0.66666666666665919"/>
    </cacheField>
    <cacheField name="RRR Potential" numFmtId="167">
      <sharedItems containsSemiMixedTypes="0" containsString="0" containsNumber="1" minValue="0.1429" maxValue="3.75"/>
    </cacheField>
    <cacheField name="Hard RRR Potential" numFmtId="167">
      <sharedItems containsSemiMixedTypes="0" containsString="0" containsNumber="1" minValue="0.1429" maxValue="3.75"/>
    </cacheField>
    <cacheField name="RRR difference" numFmtId="167">
      <sharedItems containsSemiMixedTypes="0" containsString="0" containsNumber="1" minValue="0" maxValue="2.4"/>
    </cacheField>
    <cacheField name="RRR Realized" numFmtId="0">
      <sharedItems containsSemiMixedTypes="0" containsString="0" containsNumber="1" minValue="-1.0909" maxValue="2.6667000000000001"/>
    </cacheField>
    <cacheField name=" Fast Reversal at 0" numFmtId="0">
      <sharedItems containsSemiMixedTypes="0" containsString="0" containsNumber="1" minValue="-1.0909" maxValue="2.6667000000000001"/>
    </cacheField>
    <cacheField name=" Fast Reversal at 1" numFmtId="0">
      <sharedItems containsSemiMixedTypes="0" containsString="0" containsNumber="1" minValue="-1.0909" maxValue="2.6667000000000001"/>
    </cacheField>
    <cacheField name=" Fast Reversal at 1.5" numFmtId="0">
      <sharedItems containsSemiMixedTypes="0" containsString="0" containsNumber="1" minValue="-1.0909" maxValue="2.6667000000000001"/>
    </cacheField>
    <cacheField name=" Fast Reversal at 2" numFmtId="0">
      <sharedItems containsSemiMixedTypes="0" containsString="0" containsNumber="1" minValue="-1.0909" maxValue="2.6667000000000001"/>
    </cacheField>
    <cacheField name=" with SL at pattern break" numFmtId="0">
      <sharedItems containsSemiMixedTypes="0" containsString="0" containsNumber="1" minValue="-1.0909" maxValue="2.6667000000000001"/>
    </cacheField>
    <cacheField name=" with Volume Exit" numFmtId="0">
      <sharedItems containsSemiMixedTypes="0" containsString="0" containsNumber="1" minValue="-1.0909" maxValue="2.6667000000000001"/>
    </cacheField>
    <cacheField name="RRR Wick Exit" numFmtId="0">
      <sharedItems containsSemiMixedTypes="0" containsString="0" containsNumber="1" minValue="-1.0909" maxValue="2.6667000000000001"/>
    </cacheField>
    <cacheField name="RRR Candle Exit" numFmtId="0">
      <sharedItems containsSemiMixedTypes="0" containsString="0" containsNumber="1" minValue="-1" maxValue="2.6667000000000001"/>
    </cacheField>
    <cacheField name="RRR at 2.5" numFmtId="0">
      <sharedItems containsSemiMixedTypes="0" containsString="0" containsNumber="1" minValue="-1.0909" maxValue="2.5"/>
    </cacheField>
    <cacheField name="RRR at 3" numFmtId="0">
      <sharedItems containsSemiMixedTypes="0" containsString="0" containsNumber="1" minValue="-1.0909"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ATOS"/>
    <x v="0"/>
    <d v="2019-03-14T00:00:00"/>
    <d v="1899-12-30T09:38:00"/>
    <d v="1899-12-30T09:42:00"/>
    <n v="3.09"/>
    <n v="-100"/>
    <n v="500"/>
    <s v="BO"/>
    <s v="BUY"/>
    <n v="5.43"/>
    <n v="5.44"/>
    <n v="5.03"/>
    <n v="5.24"/>
    <n v="5.5"/>
    <n v="5.05"/>
    <n v="5.5"/>
    <n v="5.5"/>
    <b v="0"/>
    <b v="0"/>
    <b v="0"/>
    <b v="1"/>
    <b v="0"/>
    <m/>
    <m/>
    <b v="0"/>
    <n v="5.24"/>
    <x v="0"/>
    <x v="0"/>
    <s v="Healthcare"/>
    <m/>
    <n v="90"/>
    <s v="C"/>
    <s v="ST"/>
    <n v="5.62"/>
    <n v="0.15"/>
    <m/>
    <s v="ATOS_-1.png"/>
    <n v="0.14999999999999922"/>
    <n v="-0.97500000000000275"/>
    <x v="0"/>
    <n v="-103.09"/>
    <d v="1899-12-30T00:04:00"/>
    <n v="-103.09"/>
    <n v="0.17500000000000093"/>
    <n v="2.5000000000001688E-2"/>
    <n v="2.5000000000001688E-2"/>
    <n v="0.15"/>
    <n v="0.17499999999999999"/>
    <n v="0.65"/>
    <n v="-0.5"/>
    <n v="-2.5000000000001688E-2"/>
    <n v="-0.5"/>
    <n v="-0.5"/>
    <n v="-0.5"/>
    <n v="-0.5"/>
    <n v="-0.5"/>
    <n v="-0.50000000000000111"/>
    <n v="-0.5"/>
    <n v="-0.5"/>
    <n v="-0.5"/>
  </r>
  <r>
    <s v="SLNO"/>
    <x v="1"/>
    <d v="2019-03-15T00:00:00"/>
    <d v="1899-12-30T09:47:00"/>
    <d v="1899-12-30T10:07:00"/>
    <n v="5.09"/>
    <n v="325"/>
    <n v="500"/>
    <s v="BO"/>
    <s v="BUY"/>
    <n v="3.38"/>
    <n v="3.39"/>
    <n v="3.18"/>
    <n v="4.04"/>
    <n v="4.4400000000000004"/>
    <n v="3.26"/>
    <b v="0"/>
    <n v="4.8899999999999997"/>
    <b v="0"/>
    <b v="0"/>
    <b v="1"/>
    <m/>
    <n v="4.04"/>
    <n v="6"/>
    <b v="0"/>
    <b v="0"/>
    <b v="0"/>
    <x v="1"/>
    <x v="1"/>
    <s v="Healthcare"/>
    <n v="120"/>
    <n v="73"/>
    <s v="C"/>
    <s v="AT"/>
    <n v="6.57"/>
    <n v="0.38"/>
    <m/>
    <s v="slno_+.png"/>
    <n v="5.250000000000008"/>
    <n v="-0.65000000000000258"/>
    <x v="1"/>
    <n v="319.91000000000003"/>
    <d v="1899-12-30T00:20:00"/>
    <n v="216.82000000000002"/>
    <s v="FALSE"/>
    <n v="5.0000000000001155E-2"/>
    <n v="5.0000000000001155E-2"/>
    <n v="7.5"/>
    <n v="7.55"/>
    <n v="4.25"/>
    <n v="3.25"/>
    <n v="3.25"/>
    <n v="3.25"/>
    <n v="3.25"/>
    <n v="3.25"/>
    <n v="3.25"/>
    <n v="3.25"/>
    <n v="3.25"/>
    <n v="3.25"/>
    <n v="2.4499999999999988"/>
    <n v="2.9499999999999988"/>
  </r>
  <r>
    <s v="ATOS"/>
    <x v="2"/>
    <d v="2019-03-18T00:00:00"/>
    <d v="1899-12-30T10:37:00"/>
    <d v="1899-12-30T10:46:00"/>
    <n v="5.09"/>
    <n v="-125"/>
    <n v="500"/>
    <s v="BO"/>
    <s v="BUY"/>
    <n v="4.99"/>
    <n v="4.99"/>
    <n v="4.79"/>
    <n v="4.76"/>
    <n v="5.35"/>
    <n v="4.76"/>
    <n v="5.35"/>
    <n v="5.35"/>
    <b v="0"/>
    <b v="0"/>
    <b v="0"/>
    <b v="0"/>
    <n v="5.2"/>
    <b v="0"/>
    <b v="0"/>
    <b v="0"/>
    <b v="0"/>
    <x v="1"/>
    <x v="1"/>
    <s v="Healthcare"/>
    <n v="10.220000000000001"/>
    <n v="25"/>
    <s v="C"/>
    <s v="R"/>
    <n v="5.62"/>
    <n v="0.02"/>
    <m/>
    <s v="atos_-1_001.png"/>
    <n v="1.7999999999999956"/>
    <n v="-1.150000000000001"/>
    <x v="0"/>
    <n v="-130.09"/>
    <d v="1899-12-30T00:09:00"/>
    <n v="86.730000000000018"/>
    <n v="1.7999999999999956"/>
    <n v="0"/>
    <n v="0"/>
    <n v="1.8"/>
    <n v="1.8"/>
    <n v="2.95"/>
    <n v="-1.1499999999999999"/>
    <n v="-1.1499999999999999"/>
    <n v="-1.1499999999999999"/>
    <n v="-1.1499999999999999"/>
    <n v="-1.1499999999999999"/>
    <n v="-1.1499999999999999"/>
    <n v="1.0499999999999989"/>
    <n v="-1.1499999999999999"/>
    <n v="-1.1499999999999999"/>
    <n v="-1.1499999999999999"/>
    <n v="-1.1499999999999999"/>
  </r>
  <r>
    <s v="VXRT"/>
    <x v="3"/>
    <d v="2019-03-19T00:00:00"/>
    <d v="1899-12-30T09:48:00"/>
    <d v="1899-12-30T10:01:00"/>
    <n v="2.54"/>
    <n v="87.5"/>
    <n v="250"/>
    <s v="BO"/>
    <s v="BUY"/>
    <n v="4.07"/>
    <n v="4.07"/>
    <n v="3.6700000000000004"/>
    <n v="4.42"/>
    <n v="4.99"/>
    <n v="4.05"/>
    <n v="4.99"/>
    <n v="4.99"/>
    <b v="0"/>
    <b v="0"/>
    <b v="0"/>
    <m/>
    <n v="4.42"/>
    <n v="2.2999999999999998"/>
    <b v="0"/>
    <b v="0"/>
    <b v="0"/>
    <x v="1"/>
    <x v="1"/>
    <s v="Healthcare"/>
    <n v="1216"/>
    <n v="30"/>
    <s v="C"/>
    <s v="ST"/>
    <n v="3.96"/>
    <n v="0.24"/>
    <m/>
    <s v="VXRT_+.png"/>
    <n v="2.3000000000000003"/>
    <n v="-5.0000000000001169E-2"/>
    <x v="1"/>
    <n v="84.96"/>
    <d v="1899-12-30T00:13:00"/>
    <n v="171.69"/>
    <n v="2.3000000000000003"/>
    <n v="0"/>
    <n v="0"/>
    <n v="2.2999999999999998"/>
    <n v="2.2999999999999998"/>
    <n v="1.4249999999999998"/>
    <n v="0.875"/>
    <n v="0.875"/>
    <n v="0.875"/>
    <n v="0.875"/>
    <n v="0.875"/>
    <n v="0.875"/>
    <n v="0.875"/>
    <n v="0.875"/>
    <n v="0.875"/>
    <n v="0.875"/>
    <n v="0.875"/>
  </r>
  <r>
    <s v="SCON"/>
    <x v="4"/>
    <d v="2019-03-21T00:00:00"/>
    <d v="1899-12-30T10:32:00"/>
    <d v="1899-12-30T10:40:00"/>
    <n v="7.25"/>
    <n v="144"/>
    <n v="714"/>
    <s v="BO"/>
    <s v="BUY"/>
    <n v="2.16"/>
    <n v="2.17"/>
    <n v="2.02"/>
    <n v="2.3719999999999999"/>
    <n v="2.4500000000000002"/>
    <n v="2.17"/>
    <n v="2.58"/>
    <n v="2.58"/>
    <b v="0"/>
    <n v="2.0499999999999998"/>
    <b v="0"/>
    <m/>
    <n v="2.3719999999999999"/>
    <n v="2"/>
    <b v="0"/>
    <b v="0"/>
    <b v="0"/>
    <x v="1"/>
    <x v="1"/>
    <s v="Technology"/>
    <n v="260"/>
    <n v="9.1"/>
    <s v="C"/>
    <s v="ST"/>
    <n v="3.61"/>
    <n v="1.32"/>
    <m/>
    <s v="scon +.jpg"/>
    <n v="2"/>
    <n v="0"/>
    <x v="1"/>
    <n v="136.75"/>
    <d v="1899-12-30T00:08:00"/>
    <n v="308.44"/>
    <n v="2.9999999999999969"/>
    <n v="7.1428571428569843E-2"/>
    <n v="7.1428571428569843E-2"/>
    <n v="2.9285999999999999"/>
    <n v="3"/>
    <n v="1.4856999999999998"/>
    <n v="1.4429000000000001"/>
    <n v="1.4429000000000001"/>
    <n v="1.4429000000000001"/>
    <n v="1.4429000000000001"/>
    <n v="1.4429000000000001"/>
    <n v="1.4429000000000001"/>
    <n v="1.4429000000000001"/>
    <n v="1.4429000000000001"/>
    <n v="1.4429000000000001"/>
    <n v="1.4429000000000001"/>
    <n v="1.4429000000000001"/>
  </r>
  <r>
    <s v="AETI"/>
    <x v="5"/>
    <d v="2019-03-25T00:00:00"/>
    <d v="1899-12-30T09:55:00"/>
    <d v="1899-12-30T10:12:00"/>
    <n v="10.130000000000001"/>
    <n v="-40"/>
    <n v="1000"/>
    <s v="BO"/>
    <s v="BUY"/>
    <n v="1.1100000000000001"/>
    <n v="1.1100000000000001"/>
    <n v="1.01"/>
    <n v="1.07"/>
    <n v="1.26"/>
    <n v="1.04"/>
    <n v="1.26"/>
    <n v="1.26"/>
    <b v="0"/>
    <b v="0"/>
    <b v="0"/>
    <m/>
    <b v="0"/>
    <m/>
    <m/>
    <b v="0"/>
    <b v="0"/>
    <x v="2"/>
    <x v="1"/>
    <s v="Industrial Goods"/>
    <n v="190"/>
    <m/>
    <s v="H"/>
    <s v="ST"/>
    <n v="5.34"/>
    <n v="0"/>
    <m/>
    <s v="Aeti_-1.png"/>
    <n v="1.4999999999999978"/>
    <n v="-0.7"/>
    <x v="0"/>
    <n v="-50.13"/>
    <d v="1899-12-30T00:17:00"/>
    <n v="258.31"/>
    <n v="1.4999999999999978"/>
    <n v="0"/>
    <n v="0"/>
    <n v="1.5"/>
    <n v="1.5"/>
    <n v="1.9"/>
    <n v="-0.4"/>
    <n v="-0.4"/>
    <n v="-0.4"/>
    <n v="-0.4"/>
    <n v="-0.4"/>
    <n v="-0.4"/>
    <n v="-0.4"/>
    <n v="-0.4"/>
    <n v="-0.4"/>
    <n v="-0.4"/>
    <n v="-0.4"/>
  </r>
  <r>
    <s v="SEEL"/>
    <x v="6"/>
    <d v="2019-03-27T00:00:00"/>
    <d v="1899-12-30T10:16:00"/>
    <d v="1899-12-30T10:21:00"/>
    <n v="12.7"/>
    <n v="14.129999999999999"/>
    <n v="1250"/>
    <s v="BO"/>
    <s v="BUY"/>
    <n v="3.14"/>
    <n v="3.1480000000000001"/>
    <n v="3.06"/>
    <n v="3.16"/>
    <n v="3.24"/>
    <n v="3.12"/>
    <n v="3.25"/>
    <n v="3.25"/>
    <b v="0"/>
    <b v="0"/>
    <b v="0"/>
    <b v="1"/>
    <b v="0"/>
    <m/>
    <m/>
    <b v="0"/>
    <n v="3.16"/>
    <x v="0"/>
    <x v="0"/>
    <s v="Healthcare"/>
    <n v="3.97"/>
    <m/>
    <s v="H"/>
    <s v="ST"/>
    <n v="2.54"/>
    <n v="-1"/>
    <m/>
    <s v="seel_+.png"/>
    <n v="1.1499999999999999"/>
    <n v="-0.35"/>
    <x v="1"/>
    <n v="1.4299999999999997"/>
    <d v="1899-12-30T00:05:00"/>
    <n v="259.74"/>
    <n v="1.3749999999999973"/>
    <n v="0.10000000000000009"/>
    <n v="0.10000000000000009"/>
    <n v="1.2749999999999999"/>
    <n v="1.375"/>
    <n v="1.125"/>
    <n v="0.15"/>
    <n v="-0.10000000000000009"/>
    <n v="0.15"/>
    <n v="0.15"/>
    <n v="0.15"/>
    <n v="0.15"/>
    <n v="0.15"/>
    <n v="0.15"/>
    <n v="0.15"/>
    <n v="0.15"/>
    <n v="0.15"/>
  </r>
  <r>
    <s v="SEEL"/>
    <x v="7"/>
    <d v="2019-03-27T00:00:00"/>
    <d v="1899-12-30T10:25:00"/>
    <d v="1899-12-30T10:28:00"/>
    <n v="12.7"/>
    <n v="12.5"/>
    <n v="1250"/>
    <s v="BO"/>
    <s v="BUY"/>
    <n v="3.21"/>
    <n v="3.2"/>
    <n v="3.13"/>
    <n v="3.21"/>
    <n v="3.12"/>
    <n v="3.16"/>
    <n v="3.25"/>
    <n v="3.25"/>
    <b v="0"/>
    <b v="0"/>
    <b v="0"/>
    <b v="0"/>
    <b v="0"/>
    <m/>
    <m/>
    <b v="0"/>
    <n v="3.21"/>
    <x v="0"/>
    <x v="0"/>
    <s v="Healthcare"/>
    <n v="3.97"/>
    <m/>
    <s v="H"/>
    <s v="ST"/>
    <n v="2.54"/>
    <n v="-1"/>
    <m/>
    <s v="seel_+.png"/>
    <n v="-1"/>
    <n v="-0.5"/>
    <x v="1"/>
    <n v="-0.19999999999999929"/>
    <d v="1899-12-30T00:03:00"/>
    <n v="259.54000000000002"/>
    <n v="0.5"/>
    <n v="-0.12499999999999722"/>
    <n v="-0.12499999999999722"/>
    <n v="0.625"/>
    <n v="0.5"/>
    <n v="0.5"/>
    <n v="0.125"/>
    <n v="0.125"/>
    <n v="0.125"/>
    <n v="0.125"/>
    <n v="0.125"/>
    <n v="0.125"/>
    <n v="0.125"/>
    <n v="0.12499999999999722"/>
    <n v="0.125"/>
    <n v="0.125"/>
    <n v="0.125"/>
  </r>
  <r>
    <s v="PLAG"/>
    <x v="8"/>
    <d v="2019-03-28T00:00:00"/>
    <d v="1899-12-30T10:05:00"/>
    <d v="1899-12-30T10:34:00"/>
    <n v="2.5499999999999998"/>
    <n v="270"/>
    <n v="250"/>
    <s v="BO"/>
    <s v="BUY"/>
    <n v="5.34"/>
    <n v="5.35"/>
    <n v="4.9499999999999993"/>
    <n v="6.43"/>
    <n v="7.22"/>
    <n v="5.25"/>
    <n v="7.22"/>
    <n v="7.22"/>
    <b v="0"/>
    <b v="0"/>
    <b v="1"/>
    <m/>
    <n v="6.43"/>
    <n v="4.82"/>
    <m/>
    <b v="0"/>
    <b v="0"/>
    <x v="1"/>
    <x v="1"/>
    <s v="Consumer Goods"/>
    <n v="471"/>
    <m/>
    <s v="H"/>
    <s v="F"/>
    <n v="1.1299999999999999"/>
    <n v="-0.3"/>
    <m/>
    <s v="plag_+.png"/>
    <n v="4.7948717948717885"/>
    <n v="-0.25641025641025511"/>
    <x v="1"/>
    <n v="267.45"/>
    <d v="1899-12-30T00:29:00"/>
    <n v="526.99"/>
    <n v="4.8205128205128132"/>
    <n v="2.5641025641025106E-2"/>
    <n v="2.5641025641025106E-2"/>
    <n v="4.7949000000000002"/>
    <n v="4.8205"/>
    <n v="2.0257000000000001"/>
    <n v="2.7692000000000001"/>
    <n v="2.7692000000000001"/>
    <n v="2.7692000000000001"/>
    <n v="2.7692000000000001"/>
    <n v="2.7692000000000001"/>
    <n v="2.7692000000000001"/>
    <n v="2.7692000000000001"/>
    <n v="2.7692000000000001"/>
    <n v="2.7692000000000001"/>
    <n v="2.4743589743589749"/>
    <n v="2.9743589743589749"/>
  </r>
  <r>
    <s v="JMU"/>
    <x v="9"/>
    <d v="2019-03-28T00:00:00"/>
    <d v="1899-12-30T10:36:00"/>
    <d v="1899-12-30T10:51:00"/>
    <n v="8.4499999999999993"/>
    <n v="-105"/>
    <n v="833"/>
    <s v="BO"/>
    <s v="BUY"/>
    <n v="2.04"/>
    <n v="2.04"/>
    <n v="1.94"/>
    <n v="1.9239999999999999"/>
    <n v="2.17"/>
    <n v="1.9239999999999999"/>
    <n v="2.17"/>
    <n v="2.17"/>
    <b v="0"/>
    <b v="0"/>
    <b v="0"/>
    <m/>
    <b v="0"/>
    <m/>
    <m/>
    <b v="0"/>
    <b v="0"/>
    <x v="1"/>
    <x v="1"/>
    <s v="Technology"/>
    <n v="14.55"/>
    <m/>
    <s v="H"/>
    <s v="F"/>
    <n v="0.04"/>
    <n v="-0.3"/>
    <m/>
    <s v="jmu_-1.png"/>
    <n v="1.2999999999999978"/>
    <n v="-1.1599999999999999"/>
    <x v="0"/>
    <n v="-113.45"/>
    <d v="1899-12-30T00:15:00"/>
    <n v="413.54"/>
    <n v="1.2999999999999978"/>
    <n v="0"/>
    <n v="0"/>
    <n v="1.3"/>
    <n v="1.3"/>
    <n v="2.46"/>
    <n v="-1.1599999999999999"/>
    <n v="-1.1599999999999999"/>
    <n v="-1.1599999999999999"/>
    <n v="-1.1599999999999999"/>
    <n v="-1.1599999999999999"/>
    <n v="-1.1599999999999999"/>
    <n v="-1.1599999999999999"/>
    <n v="-1.1599999999999999"/>
    <n v="-1.1599999999999999"/>
    <n v="-1.1599999999999999"/>
    <n v="-1.1599999999999999"/>
  </r>
  <r>
    <s v="GBR"/>
    <x v="10"/>
    <d v="2019-03-29T00:00:00"/>
    <d v="1899-12-30T10:16:00"/>
    <d v="1899-12-30T10:21:00"/>
    <n v="6.77"/>
    <n v="246.42"/>
    <n v="666"/>
    <s v="BO"/>
    <s v="BUY"/>
    <n v="3.22"/>
    <n v="3.22"/>
    <n v="2.92"/>
    <n v="3.59"/>
    <n v="3.7"/>
    <n v="3.21"/>
    <n v="3.7"/>
    <n v="3.7"/>
    <b v="0"/>
    <b v="0"/>
    <b v="0"/>
    <m/>
    <n v="3.59"/>
    <n v="1.2"/>
    <b v="0"/>
    <b v="0"/>
    <b v="0"/>
    <x v="1"/>
    <x v="1"/>
    <s v="Basic Materials"/>
    <n v="287"/>
    <m/>
    <s v="H"/>
    <s v="ST"/>
    <n v="2.13"/>
    <n v="-0.2"/>
    <m/>
    <s v="GBR_-1.png"/>
    <n v="1.5999999999999985"/>
    <n v="-3.3333333333334075E-2"/>
    <x v="1"/>
    <n v="239.64999999999998"/>
    <d v="1899-12-30T00:05:00"/>
    <n v="653.19000000000005"/>
    <n v="1.5999999999999985"/>
    <n v="0"/>
    <n v="0"/>
    <n v="1.6"/>
    <n v="1.6"/>
    <n v="0.36670000000000003"/>
    <n v="1.2333000000000001"/>
    <n v="1.2333000000000001"/>
    <n v="1.2333000000000001"/>
    <n v="1.2333000000000001"/>
    <n v="1.2333000000000001"/>
    <n v="1.2333000000000001"/>
    <n v="1.2333000000000001"/>
    <n v="1.2333000000000001"/>
    <n v="1.2333000000000001"/>
    <n v="1.2333000000000001"/>
    <n v="1.2333000000000001"/>
  </r>
  <r>
    <s v="CIFS"/>
    <x v="11"/>
    <d v="2019-03-29T00:00:00"/>
    <d v="1899-12-30T10:24:00"/>
    <d v="1899-12-30T10:26:00"/>
    <n v="23.5"/>
    <n v="23.5"/>
    <n v="1000"/>
    <s v="BO"/>
    <s v="BUY"/>
    <n v="4.0999999999999996"/>
    <n v="4.1059999999999999"/>
    <n v="4"/>
    <n v="4.13"/>
    <n v="4.2"/>
    <n v="4.07"/>
    <n v="4.2"/>
    <n v="4.2"/>
    <b v="0"/>
    <b v="0"/>
    <b v="0"/>
    <m/>
    <b v="0"/>
    <m/>
    <m/>
    <b v="0"/>
    <n v="4.13"/>
    <x v="0"/>
    <x v="1"/>
    <s v="Financial"/>
    <n v="2.72"/>
    <m/>
    <s v="H"/>
    <s v="AT"/>
    <n v="5.77"/>
    <n v="-0.2"/>
    <m/>
    <s v="CIFS_.png"/>
    <n v="0.94000000000000639"/>
    <n v="-0.35999999999999716"/>
    <x v="1"/>
    <n v="0"/>
    <d v="1899-12-30T00:02:00"/>
    <n v="653.19000000000005"/>
    <n v="1.0000000000000089"/>
    <n v="6.0000000000002496E-2"/>
    <n v="6.0000000000002496E-2"/>
    <n v="0.94"/>
    <n v="1"/>
    <n v="0.7"/>
    <n v="0.24"/>
    <n v="0.24"/>
    <n v="0.24"/>
    <n v="0.24"/>
    <n v="0.24"/>
    <n v="0.24"/>
    <n v="0.24"/>
    <n v="0.24000000000000107"/>
    <n v="0.24"/>
    <n v="0.24"/>
    <n v="0.24"/>
  </r>
  <r>
    <s v="PULM"/>
    <x v="12"/>
    <d v="2019-04-01T00:00:00"/>
    <d v="1899-12-30T09:57:00"/>
    <d v="1899-12-30T09:59:00"/>
    <n v="7.24"/>
    <n v="15.35"/>
    <n v="714"/>
    <s v="BO"/>
    <s v="BUY"/>
    <n v="1.79"/>
    <n v="1.788"/>
    <n v="1.65"/>
    <n v="1.81"/>
    <n v="1.87"/>
    <n v="1.78"/>
    <b v="0"/>
    <n v="3"/>
    <b v="0"/>
    <b v="0"/>
    <b v="0"/>
    <m/>
    <b v="0"/>
    <m/>
    <m/>
    <b v="0"/>
    <n v="1.81"/>
    <x v="1"/>
    <x v="1"/>
    <s v="Healthcare"/>
    <n v="79"/>
    <m/>
    <s v="C"/>
    <s v="ST"/>
    <n v="7.42"/>
    <n v="0.34"/>
    <m/>
    <s v="pulm_.png"/>
    <n v="0.58571428571428574"/>
    <n v="-5.7142857142857141E-2"/>
    <x v="1"/>
    <n v="8.11"/>
    <d v="1899-12-30T00:02:00"/>
    <n v="661.30000000000007"/>
    <s v="FALSE"/>
    <n v="-1.4285714285714235E-2"/>
    <n v="-1.4285714285714235E-2"/>
    <n v="8.6570999999999998"/>
    <n v="8.6428999999999991"/>
    <n v="8.5"/>
    <n v="0.15709999999999999"/>
    <n v="0.15709999999999999"/>
    <n v="0.15709999999999999"/>
    <n v="0.15709999999999999"/>
    <n v="0.15709999999999999"/>
    <n v="0.15709999999999999"/>
    <n v="0.15709999999999999"/>
    <n v="0.15714285714285714"/>
    <n v="0.15709999999999999"/>
    <n v="0.15709999999999999"/>
    <n v="0.15709999999999999"/>
  </r>
  <r>
    <s v="CTRM"/>
    <x v="13"/>
    <d v="2019-04-02T00:00:00"/>
    <d v="1899-12-30T10:14:00"/>
    <d v="1899-12-30T10:18:00"/>
    <n v="3.74"/>
    <n v="35.11"/>
    <n v="333"/>
    <s v="BO"/>
    <s v="BUY"/>
    <n v="7.11"/>
    <n v="7.1180000000000003"/>
    <n v="6.8100000000000005"/>
    <n v="7.22"/>
    <n v="7.73"/>
    <n v="6.85"/>
    <n v="7.73"/>
    <n v="7.73"/>
    <b v="0"/>
    <b v="0"/>
    <b v="0"/>
    <m/>
    <n v="7.47"/>
    <n v="1.6"/>
    <b v="0"/>
    <b v="0"/>
    <b v="0"/>
    <x v="1"/>
    <x v="1"/>
    <s v="Services"/>
    <n v="9.3000000000000007"/>
    <m/>
    <s v="H"/>
    <s v="AT"/>
    <n v="0.81"/>
    <n v="-0.1"/>
    <m/>
    <s v="ctrm_.png"/>
    <n v="2.0400000000000014"/>
    <n v="-0.89333333333333609"/>
    <x v="1"/>
    <n v="31.369999999999997"/>
    <d v="1899-12-30T00:04:00"/>
    <n v="692.67000000000007"/>
    <n v="2.0666666666666682"/>
    <n v="2.6666666666666616E-2"/>
    <n v="2.6666666666666616E-2"/>
    <n v="2.04"/>
    <n v="2.0667"/>
    <n v="1.7"/>
    <n v="0.34"/>
    <n v="0.34"/>
    <n v="0.34"/>
    <n v="0.34"/>
    <n v="0.34"/>
    <n v="0.34"/>
    <n v="0.34"/>
    <n v="0.34"/>
    <n v="0.34"/>
    <n v="0.34"/>
    <n v="0.34"/>
  </r>
  <r>
    <s v="PULM"/>
    <x v="14"/>
    <d v="2019-04-02T00:00:00"/>
    <d v="1899-12-30T10:27:00"/>
    <d v="1899-12-30T10:49:00"/>
    <n v="12.68"/>
    <n v="-97.69"/>
    <n v="1250"/>
    <s v="BO"/>
    <s v="BUY"/>
    <n v="2.2400000000000002"/>
    <n v="2.2400000000000002"/>
    <n v="2.16"/>
    <n v="2.1619999999999999"/>
    <n v="2.31"/>
    <n v="2.15"/>
    <n v="2.31"/>
    <n v="2.31"/>
    <n v="2.23"/>
    <b v="0"/>
    <b v="0"/>
    <m/>
    <b v="0"/>
    <m/>
    <b v="0"/>
    <b v="0"/>
    <b v="0"/>
    <x v="0"/>
    <x v="1"/>
    <s v="Healthcare"/>
    <n v="2.92"/>
    <m/>
    <s v="H"/>
    <s v="ST"/>
    <n v="7.42"/>
    <n v="-0.1"/>
    <m/>
    <s v="pulm_-.png"/>
    <n v="0.87499999999999722"/>
    <n v="-1.1250000000000027"/>
    <x v="0"/>
    <n v="-110.37"/>
    <d v="1899-12-30T00:22:00"/>
    <n v="582.30000000000007"/>
    <n v="0.87499999999999722"/>
    <n v="0"/>
    <n v="0"/>
    <n v="0.875"/>
    <n v="0.875"/>
    <n v="1.85"/>
    <n v="-0.97499999999999998"/>
    <n v="-0.97499999999999998"/>
    <n v="-0.97499999999999998"/>
    <n v="-0.97499999999999998"/>
    <n v="-0.97499999999999998"/>
    <n v="-0.12500000000000278"/>
    <n v="-0.97499999999999998"/>
    <n v="-0.97499999999999998"/>
    <n v="-0.97499999999999998"/>
    <n v="-0.97499999999999998"/>
    <n v="-0.97499999999999998"/>
  </r>
  <r>
    <s v="OPTT"/>
    <x v="15"/>
    <d v="2019-04-03T00:00:00"/>
    <d v="1899-12-30T10:46:00"/>
    <d v="1899-12-30T10:54:00"/>
    <n v="2.02"/>
    <n v="-101"/>
    <n v="75"/>
    <s v="BO"/>
    <s v="BUY"/>
    <n v="15.18"/>
    <n v="15.18"/>
    <n v="13.87"/>
    <n v="13.83"/>
    <n v="15.18"/>
    <n v="13.83"/>
    <n v="15.18"/>
    <n v="15.18"/>
    <b v="0"/>
    <n v="13.87"/>
    <b v="0"/>
    <b v="0"/>
    <b v="0"/>
    <m/>
    <m/>
    <b v="0"/>
    <b v="0"/>
    <x v="0"/>
    <x v="0"/>
    <s v="Industrial Goods"/>
    <n v="326"/>
    <n v="24"/>
    <s v="C"/>
    <s v="ST"/>
    <n v="0.94"/>
    <n v="0.14000000000000001"/>
    <n v="39.979999999999997"/>
    <s v="OPTT.png"/>
    <n v="0"/>
    <n v="-1.0305343511450376"/>
    <x v="0"/>
    <n v="-103.02"/>
    <d v="1899-12-30T00:08:00"/>
    <n v="479.28000000000009"/>
    <n v="0"/>
    <n v="0"/>
    <n v="0"/>
    <n v="0"/>
    <n v="0"/>
    <n v="1.0305"/>
    <n v="-1.0305"/>
    <n v="-1.0305"/>
    <n v="-1.0305"/>
    <n v="-1.0305"/>
    <n v="-1.0305"/>
    <n v="-1.0305"/>
    <n v="-1.0305"/>
    <n v="-1.0305"/>
    <n v="-1.0305"/>
    <n v="-1.0305"/>
    <n v="-1.0305"/>
  </r>
  <r>
    <s v="TNXP"/>
    <x v="16"/>
    <d v="2019-04-04T00:00:00"/>
    <d v="1899-12-30T09:54:00"/>
    <d v="1899-12-30T09:54:00"/>
    <n v="8.4611000000000001"/>
    <n v="-97.37"/>
    <n v="833"/>
    <s v="BO"/>
    <s v="BUY"/>
    <n v="3.07"/>
    <n v="3.07"/>
    <n v="2.9499999999999997"/>
    <n v="2.95"/>
    <n v="3.14"/>
    <n v="2.95"/>
    <n v="3.14"/>
    <n v="3.14"/>
    <b v="0"/>
    <b v="0"/>
    <b v="0"/>
    <b v="0"/>
    <b v="0"/>
    <m/>
    <m/>
    <b v="0"/>
    <b v="0"/>
    <x v="0"/>
    <x v="0"/>
    <s v="Healthcare"/>
    <n v="43"/>
    <n v="16"/>
    <s v="C"/>
    <s v="ST"/>
    <n v="5.98"/>
    <n v="-0.1"/>
    <n v="2.94"/>
    <s v="TNXP_-.png"/>
    <n v="0.58333333333333515"/>
    <n v="-0.99999999999999634"/>
    <x v="0"/>
    <n v="-105.83110000000001"/>
    <d v="1899-12-30T00:00:00"/>
    <n v="373.44890000000009"/>
    <n v="0.58333333333333515"/>
    <n v="0"/>
    <n v="0"/>
    <n v="0.58330000000000004"/>
    <n v="0.58330000000000004"/>
    <n v="1.5832999999999999"/>
    <n v="-1"/>
    <n v="-1"/>
    <n v="-1"/>
    <n v="-1"/>
    <n v="-1"/>
    <n v="-1"/>
    <n v="-1"/>
    <n v="-1"/>
    <n v="-1"/>
    <n v="-1"/>
    <n v="-1"/>
  </r>
  <r>
    <s v="JMU"/>
    <x v="17"/>
    <d v="2019-04-05T00:00:00"/>
    <d v="1899-12-30T10:17:00"/>
    <d v="1899-12-30T10:36:00"/>
    <n v="7.24"/>
    <n v="57.12"/>
    <n v="714"/>
    <s v="BO"/>
    <s v="BUY"/>
    <n v="2.56"/>
    <n v="2.56"/>
    <n v="2.42"/>
    <n v="2.64"/>
    <n v="2.73"/>
    <n v="2.46"/>
    <n v="2.73"/>
    <n v="2.73"/>
    <b v="0"/>
    <b v="0"/>
    <b v="0"/>
    <b v="1"/>
    <n v="2.64"/>
    <n v="1.21"/>
    <b v="0"/>
    <b v="0"/>
    <n v="2.64"/>
    <x v="0"/>
    <x v="1"/>
    <s v="Technology"/>
    <n v="39.15"/>
    <m/>
    <s v="H"/>
    <s v="ST"/>
    <n v="0.04"/>
    <n v="7.0000000000000007E-2"/>
    <m/>
    <s v="jmu_+.png"/>
    <n v="1.2142857142857126"/>
    <n v="-0.7142857142857143"/>
    <x v="1"/>
    <n v="49.879999999999995"/>
    <d v="1899-12-30T00:19:00"/>
    <n v="423.32890000000009"/>
    <n v="1.2142857142857126"/>
    <n v="0"/>
    <n v="0"/>
    <n v="1.2142999999999999"/>
    <n v="1.2142999999999999"/>
    <n v="0.64289999999999992"/>
    <n v="0.57140000000000002"/>
    <n v="0"/>
    <n v="0.57140000000000002"/>
    <n v="0.57140000000000002"/>
    <n v="0.57140000000000002"/>
    <n v="0.57140000000000002"/>
    <n v="0.57140000000000002"/>
    <n v="0.5714285714285714"/>
    <n v="0.57140000000000002"/>
    <n v="0.57140000000000002"/>
    <n v="0.57140000000000002"/>
  </r>
  <r>
    <s v="VTL"/>
    <x v="18"/>
    <d v="2019-04-05T00:00:00"/>
    <d v="1899-12-30T10:08:00"/>
    <d v="1899-12-30T10:41:00"/>
    <n v="32.200000000000003"/>
    <n v="304.64"/>
    <n v="3333"/>
    <s v="BO"/>
    <s v="BUY"/>
    <n v="0.37259999999999999"/>
    <n v="0.375"/>
    <n v="0.34260000000000002"/>
    <n v="0.46639999999999998"/>
    <n v="0.46639999999999998"/>
    <n v="0.3644"/>
    <n v="0.39800000000000002"/>
    <n v="0.59899999999999998"/>
    <b v="0"/>
    <b v="0"/>
    <b v="1"/>
    <m/>
    <n v="0.51"/>
    <n v="7.5"/>
    <b v="0"/>
    <b v="0"/>
    <b v="0"/>
    <x v="2"/>
    <x v="2"/>
    <s v="Healthcare"/>
    <n v="157"/>
    <n v="147"/>
    <s v="C"/>
    <s v="ST"/>
    <n v="41.81"/>
    <n v="7.0000000000000007E-2"/>
    <n v="10.3"/>
    <s v="VTL_+.png"/>
    <n v="3.0466666666666691"/>
    <n v="-0.35333333333333361"/>
    <x v="1"/>
    <n v="272.44"/>
    <d v="1899-12-30T00:33:00"/>
    <n v="695.76890000000003"/>
    <n v="0.84666666666666857"/>
    <n v="8.0000000000000515E-2"/>
    <n v="8.0000000000000515E-2"/>
    <n v="7.4667000000000003"/>
    <n v="7.5467000000000004"/>
    <n v="4.42"/>
    <n v="3.0467"/>
    <n v="3.0467"/>
    <n v="3.0467"/>
    <n v="3.0467"/>
    <n v="3.0467"/>
    <n v="3.0467"/>
    <n v="3.0467"/>
    <n v="3.0467"/>
    <n v="3.0467"/>
    <n v="2.4199999999999995"/>
    <n v="2.9199999999999995"/>
  </r>
  <r>
    <s v="VTL "/>
    <x v="19"/>
    <d v="2019-04-08T00:00:00"/>
    <d v="1899-12-30T10:06:00"/>
    <d v="1899-12-30T10:10:00"/>
    <n v="16.87"/>
    <n v="-105"/>
    <n v="1666"/>
    <s v="BO"/>
    <s v="BUY"/>
    <n v="0.83499999999999996"/>
    <n v="0.83499999999999996"/>
    <n v="0.77499999999999991"/>
    <n v="0.77200000000000002"/>
    <n v="0.86"/>
    <n v="0.77200000000000002"/>
    <n v="0.86"/>
    <n v="0.86"/>
    <b v="0"/>
    <b v="0"/>
    <b v="0"/>
    <b v="0"/>
    <b v="0"/>
    <m/>
    <m/>
    <b v="0"/>
    <b v="0"/>
    <x v="0"/>
    <x v="0"/>
    <s v="Healthcare"/>
    <n v="95"/>
    <n v="89"/>
    <m/>
    <s v="ST"/>
    <n v="41.81"/>
    <n v="-0.03"/>
    <n v="10.3"/>
    <s v="vtl_-.png"/>
    <n v="0.41666666666666669"/>
    <n v="-1.049999999999998"/>
    <x v="0"/>
    <n v="-121.87"/>
    <d v="1899-12-30T00:04:00"/>
    <n v="573.89890000000003"/>
    <n v="0.41666666666666669"/>
    <n v="0"/>
    <n v="0"/>
    <n v="0.41670000000000001"/>
    <n v="0.41670000000000001"/>
    <n v="1.4667000000000001"/>
    <n v="-1.05"/>
    <n v="-1.05"/>
    <n v="-1.05"/>
    <n v="-1.05"/>
    <n v="-1.05"/>
    <n v="-1.05"/>
    <n v="-1.05"/>
    <n v="-1.05"/>
    <n v="-1.05"/>
    <n v="-1.05"/>
    <n v="-1.05"/>
  </r>
  <r>
    <s v="BLIN"/>
    <x v="20"/>
    <d v="2019-04-11T00:00:00"/>
    <d v="1899-12-30T10:02:00"/>
    <d v="1899-12-30T10:07:00"/>
    <n v="23.1"/>
    <n v="-50.88"/>
    <n v="3333"/>
    <s v="BO"/>
    <s v="BUY"/>
    <n v="0.2898"/>
    <n v="0.28999999999999998"/>
    <n v="0.25979999999999998"/>
    <n v="0.27400000000000002"/>
    <n v="0.31"/>
    <n v="0.27329999999999999"/>
    <n v="0.31"/>
    <n v="0.31"/>
    <b v="0"/>
    <b v="0"/>
    <b v="0"/>
    <m/>
    <n v="0.27400000000000002"/>
    <b v="0"/>
    <b v="0"/>
    <n v="0.27400000000000002"/>
    <b v="0"/>
    <x v="0"/>
    <x v="1"/>
    <s v="Technology"/>
    <n v="57"/>
    <m/>
    <s v="C"/>
    <s v="ST"/>
    <n v="13.08"/>
    <n v="-0.3"/>
    <n v="0.5"/>
    <s v="BLIN_-.png"/>
    <n v="0.66666666666666663"/>
    <n v="-0.55666666666666598"/>
    <x v="0"/>
    <n v="-73.98"/>
    <d v="1899-12-30T00:05:00"/>
    <n v="499.91890000000001"/>
    <n v="0.67333333333333256"/>
    <n v="6.6666666666659324E-3"/>
    <n v="6.6666666666659324E-3"/>
    <n v="0.66669999999999996"/>
    <n v="0.67330000000000001"/>
    <n v="1.2"/>
    <n v="-0.5333"/>
    <n v="-0.5333"/>
    <n v="-0.5333"/>
    <n v="-0.5333"/>
    <n v="-0.5333"/>
    <n v="-0.5333"/>
    <n v="-0.53333333333333144"/>
    <n v="-0.5333"/>
    <n v="-0.53333333333333144"/>
    <n v="-0.5333"/>
    <n v="-0.5333"/>
  </r>
  <r>
    <s v="GLG"/>
    <x v="21"/>
    <d v="2019-04-11T00:00:00"/>
    <d v="1899-12-30T10:11:00"/>
    <d v="1899-12-30T10:39:00"/>
    <n v="3.08"/>
    <n v="250"/>
    <n v="500"/>
    <s v="BO"/>
    <s v="BUY"/>
    <n v="3.3"/>
    <n v="3.29"/>
    <n v="3.1"/>
    <n v="3.8"/>
    <n v="4"/>
    <n v="3.2"/>
    <n v="3.5"/>
    <n v="4"/>
    <b v="0"/>
    <b v="0"/>
    <b v="1"/>
    <m/>
    <b v="0"/>
    <m/>
    <m/>
    <b v="0"/>
    <b v="0"/>
    <x v="2"/>
    <x v="2"/>
    <s v="Financial"/>
    <n v="281"/>
    <m/>
    <s v="C"/>
    <s v="F"/>
    <n v="3.66"/>
    <n v="-0.3"/>
    <n v="0.38"/>
    <s v="GLG_+.png"/>
    <n v="3.5500000000000047"/>
    <n v="-0.4499999999999999"/>
    <x v="1"/>
    <n v="246.92"/>
    <d v="1899-12-30T00:28:00"/>
    <n v="746.83889999999997"/>
    <n v="1.0000000000000022"/>
    <n v="-4.9999999999999045E-2"/>
    <n v="-4.9999999999999045E-2"/>
    <n v="3.55"/>
    <n v="3.5"/>
    <n v="1"/>
    <n v="2.5499999999999998"/>
    <n v="2.5499999999999998"/>
    <n v="2.5499999999999998"/>
    <n v="2.5499999999999998"/>
    <n v="2.5499999999999998"/>
    <n v="2.5499999999999998"/>
    <n v="2.5499999999999998"/>
    <n v="2.5499999999999998"/>
    <n v="2.5499999999999998"/>
    <n v="2.5499999999999989"/>
    <n v="3.0499999999999989"/>
  </r>
  <r>
    <s v="GLG"/>
    <x v="22"/>
    <d v="2019-04-11T00:00:00"/>
    <d v="1899-12-30T10:38:00"/>
    <d v="1899-12-30T11:01:00"/>
    <n v="3.08"/>
    <n v="25"/>
    <n v="500"/>
    <s v="BO"/>
    <s v="BUY"/>
    <n v="3.44"/>
    <n v="3.44"/>
    <n v="3.24"/>
    <n v="3.48"/>
    <n v="4"/>
    <n v="3.44"/>
    <n v="4"/>
    <n v="4"/>
    <b v="0"/>
    <b v="0"/>
    <b v="0"/>
    <m/>
    <n v="3.48"/>
    <n v="2.8"/>
    <b v="0"/>
    <b v="0"/>
    <b v="0"/>
    <x v="1"/>
    <x v="1"/>
    <s v="Financial"/>
    <n v="281"/>
    <m/>
    <s v="C"/>
    <s v="ST"/>
    <n v="3.66"/>
    <n v="-0.3"/>
    <n v="0.38"/>
    <s v="GLG_+.png"/>
    <n v="2.8000000000000038"/>
    <n v="0"/>
    <x v="1"/>
    <n v="21.92"/>
    <d v="1899-12-30T00:23:00"/>
    <n v="768.75889999999993"/>
    <n v="2.8000000000000038"/>
    <n v="0"/>
    <n v="0"/>
    <n v="2.8"/>
    <n v="2.8"/>
    <n v="2.5999999999999996"/>
    <n v="0.2"/>
    <n v="0.2"/>
    <n v="0.2"/>
    <n v="0.2"/>
    <n v="0.2"/>
    <n v="0.2"/>
    <n v="0.2"/>
    <n v="0.2"/>
    <n v="0.2"/>
    <n v="2.5"/>
    <n v="0.2"/>
  </r>
  <r>
    <s v="FCSC"/>
    <x v="23"/>
    <d v="2019-04-15T00:00:00"/>
    <d v="1899-12-30T09:43:00"/>
    <d v="1899-12-30T09:51:00"/>
    <n v="6.1"/>
    <n v="-128"/>
    <n v="714"/>
    <s v="BO"/>
    <s v="BUY"/>
    <n v="3.13"/>
    <n v="3.14"/>
    <n v="2.99"/>
    <n v="2.96"/>
    <n v="3.24"/>
    <n v="2.96"/>
    <n v="3.24"/>
    <n v="3.24"/>
    <b v="0"/>
    <b v="0"/>
    <b v="0"/>
    <b v="0"/>
    <b v="0"/>
    <m/>
    <m/>
    <n v="3.1"/>
    <b v="0"/>
    <x v="0"/>
    <x v="1"/>
    <s v="Healthcare"/>
    <n v="200"/>
    <n v="27"/>
    <s v="C"/>
    <s v="ST"/>
    <n v="9.3000000000000007"/>
    <n v="-0.28000000000000003"/>
    <n v="10.94"/>
    <s v="fcsc_-1.png"/>
    <n v="0.71428571428571652"/>
    <n v="-1.2857142857142898"/>
    <x v="0"/>
    <n v="-134.1"/>
    <d v="1899-12-30T00:08:00"/>
    <n v="634.6588999999999"/>
    <n v="0.78571428571428981"/>
    <n v="7.1428571428573173E-2"/>
    <n v="7.1428571428573173E-2"/>
    <n v="0.71430000000000005"/>
    <n v="0.78569999999999995"/>
    <n v="2"/>
    <n v="-1.2857000000000001"/>
    <n v="-1.2857000000000001"/>
    <n v="-1.2857000000000001"/>
    <n v="-1.2857000000000001"/>
    <n v="-1.2857000000000001"/>
    <n v="-1.2857000000000001"/>
    <n v="-1.2857000000000001"/>
    <n v="-1.2857000000000001"/>
    <n v="-0.28571428571428664"/>
    <n v="-1.2857000000000001"/>
    <n v="-1.2857000000000001"/>
  </r>
  <r>
    <s v="IPWR"/>
    <x v="24"/>
    <d v="2019-04-17T00:00:00"/>
    <d v="1899-12-30T10:01:00"/>
    <d v="1899-12-30T10:29:00"/>
    <n v="12.67"/>
    <n v="250"/>
    <n v="1250"/>
    <s v="BO"/>
    <s v="BUY"/>
    <n v="0.77890000000000004"/>
    <n v="0.78"/>
    <n v="0.69890000000000008"/>
    <n v="0.97889999999999999"/>
    <n v="0.97889999999999999"/>
    <n v="0.752"/>
    <n v="1.01"/>
    <n v="1.01"/>
    <b v="0"/>
    <b v="0"/>
    <b v="1"/>
    <m/>
    <b v="0"/>
    <m/>
    <m/>
    <b v="0"/>
    <b v="0"/>
    <x v="2"/>
    <x v="1"/>
    <s v="Industrial Goods"/>
    <n v="385"/>
    <m/>
    <s v="C"/>
    <s v="F"/>
    <n v="12.09"/>
    <n v="-0.6"/>
    <n v="3.44"/>
    <s v="ipwr_-1.png"/>
    <n v="2.486250000000001"/>
    <n v="-0.35000000000000048"/>
    <x v="1"/>
    <n v="237.33"/>
    <d v="1899-12-30T00:28:00"/>
    <n v="871.98889999999994"/>
    <n v="2.8887500000000013"/>
    <n v="1.3749999999999929E-2"/>
    <n v="1.3749999999999929E-2"/>
    <n v="2.875"/>
    <n v="2.8887999999999998"/>
    <n v="0.38870000000000005"/>
    <n v="2.4863"/>
    <n v="2.4863"/>
    <n v="2.4863"/>
    <n v="2.4863"/>
    <n v="2.4863"/>
    <n v="2.4863"/>
    <n v="2.4863"/>
    <n v="2.4863"/>
    <n v="2.4863"/>
    <n v="2.4862500000000001"/>
    <n v="2.4863"/>
  </r>
  <r>
    <s v="IPWR"/>
    <x v="25"/>
    <d v="2019-04-17T00:00:00"/>
    <d v="1899-12-30T10:20:00"/>
    <d v="1899-12-30T10:40:00"/>
    <n v="8.4499999999999993"/>
    <n v="46"/>
    <n v="833"/>
    <s v="BO"/>
    <s v="BUY"/>
    <n v="0.84930000000000005"/>
    <n v="0.85"/>
    <n v="0.72930000000000006"/>
    <n v="0.90759999999999996"/>
    <n v="1.01"/>
    <n v="0.83"/>
    <n v="1.01"/>
    <n v="1.01"/>
    <b v="0"/>
    <b v="0"/>
    <b v="0"/>
    <m/>
    <n v="0.90759999999999996"/>
    <n v="1.33"/>
    <b v="0"/>
    <b v="0"/>
    <b v="0"/>
    <x v="1"/>
    <x v="1"/>
    <s v="Industrial Goods"/>
    <n v="385"/>
    <m/>
    <s v="C"/>
    <s v="ST"/>
    <n v="12.09"/>
    <n v="-0.6"/>
    <n v="3.44"/>
    <s v="ipwr_-1.png"/>
    <n v="1.3333333333333337"/>
    <n v="-0.16666666666666682"/>
    <x v="1"/>
    <n v="37.549999999999997"/>
    <d v="1899-12-30T00:20:00"/>
    <n v="909.5388999999999"/>
    <n v="1.3391666666666664"/>
    <n v="5.8333333333326909E-3"/>
    <n v="5.8333333333326909E-3"/>
    <n v="1.3332999999999999"/>
    <n v="1.3391999999999999"/>
    <n v="0.85329999999999995"/>
    <n v="0.48"/>
    <n v="0.48"/>
    <n v="0.48"/>
    <n v="0.48"/>
    <n v="0.48"/>
    <n v="0.48"/>
    <n v="0.48"/>
    <n v="0.48"/>
    <n v="0.48"/>
    <n v="0.48"/>
    <n v="0.48"/>
  </r>
  <r>
    <s v="RBZ"/>
    <x v="26"/>
    <d v="2019-04-22T00:00:00"/>
    <d v="1899-12-30T09:51:00"/>
    <d v="1899-12-30T09:56:00"/>
    <n v="5.12"/>
    <n v="-84.1"/>
    <n v="500"/>
    <s v="BO"/>
    <s v="BUY"/>
    <n v="6.01"/>
    <n v="6.0220000000000002"/>
    <n v="5.81"/>
    <n v="5.85"/>
    <n v="6.1"/>
    <n v="5.85"/>
    <n v="6.1"/>
    <n v="6.1"/>
    <b v="0"/>
    <n v="5.85"/>
    <b v="0"/>
    <b v="0"/>
    <b v="0"/>
    <m/>
    <m/>
    <b v="0"/>
    <b v="0"/>
    <x v="0"/>
    <x v="0"/>
    <s v="Services"/>
    <n v="4"/>
    <n v="2"/>
    <s v="C"/>
    <s v="ST"/>
    <n v="1.1299999999999999"/>
    <n v="0.38"/>
    <n v="1.07"/>
    <s v="riot_.png"/>
    <n v="0.38999999999999668"/>
    <n v="-0.86000000000000221"/>
    <x v="0"/>
    <n v="-89.22"/>
    <d v="1899-12-30T00:05:00"/>
    <n v="820.31889999999987"/>
    <n v="0.4499999999999989"/>
    <n v="6.0000000000002274E-2"/>
    <n v="6.0000000000002274E-2"/>
    <n v="0.39"/>
    <n v="0.45"/>
    <n v="1.25"/>
    <n v="-0.86"/>
    <n v="-0.86"/>
    <n v="-0.86"/>
    <n v="-0.86"/>
    <n v="-0.86"/>
    <n v="-0.86"/>
    <n v="-0.86"/>
    <n v="-0.86"/>
    <n v="-0.86"/>
    <n v="-0.86"/>
    <n v="-0.86"/>
  </r>
  <r>
    <s v="AKTX"/>
    <x v="27"/>
    <d v="2019-04-23T00:00:00"/>
    <d v="1899-12-30T10:09:00"/>
    <d v="1899-12-30T10:22:00"/>
    <n v="3.11"/>
    <n v="250"/>
    <n v="500"/>
    <s v="BO"/>
    <s v="BUY"/>
    <n v="4.5199999999999996"/>
    <n v="4.55"/>
    <n v="4.32"/>
    <n v="5.0199999999999996"/>
    <n v="5.03"/>
    <n v="4.46"/>
    <n v="5.03"/>
    <n v="5.03"/>
    <b v="0"/>
    <b v="0"/>
    <b v="1"/>
    <m/>
    <b v="0"/>
    <m/>
    <m/>
    <b v="0"/>
    <b v="0"/>
    <x v="2"/>
    <x v="2"/>
    <s v="Healthcare"/>
    <n v="38"/>
    <m/>
    <s v="C"/>
    <s v="ST"/>
    <n v="7.0000000000000007E-2"/>
    <n v="0.62"/>
    <m/>
    <s v="aktx_+.png"/>
    <n v="2.4000000000000106"/>
    <n v="-0.4500000000000009"/>
    <x v="1"/>
    <n v="246.89"/>
    <d v="1899-12-30T00:13:00"/>
    <n v="1067.2088999999999"/>
    <n v="2.5500000000000123"/>
    <n v="0.15000000000000169"/>
    <n v="0.15000000000000169"/>
    <n v="2.4"/>
    <n v="2.5499999999999998"/>
    <n v="4.9999999999999822E-2"/>
    <n v="2.35"/>
    <n v="2.35"/>
    <n v="2.35"/>
    <n v="2.35"/>
    <n v="2.35"/>
    <n v="2.35"/>
    <n v="2.35"/>
    <n v="2.35"/>
    <n v="2.35"/>
    <n v="2.3499999999999983"/>
    <n v="2.35"/>
  </r>
  <r>
    <s v="AKTX"/>
    <x v="28"/>
    <d v="2019-04-23T00:00:00"/>
    <d v="1899-12-30T10:17:00"/>
    <d v="1899-12-30T10:39:00"/>
    <n v="3.11"/>
    <n v="-35"/>
    <n v="500"/>
    <s v="BO"/>
    <s v="BUY"/>
    <n v="4.68"/>
    <n v="4.66"/>
    <n v="4.4800000000000004"/>
    <n v="4.62"/>
    <n v="5.03"/>
    <n v="4.5599999999999996"/>
    <n v="5.03"/>
    <n v="5.03"/>
    <n v="4.78"/>
    <b v="0"/>
    <b v="0"/>
    <m/>
    <b v="0"/>
    <m/>
    <m/>
    <b v="0"/>
    <b v="0"/>
    <x v="1"/>
    <x v="1"/>
    <s v="Healthcare"/>
    <n v="38"/>
    <m/>
    <s v="C"/>
    <s v="ST"/>
    <n v="7.0000000000000007E-2"/>
    <n v="0.62"/>
    <m/>
    <s v="aktx_+.png"/>
    <n v="1.8500000000000072"/>
    <n v="-0.50000000000000444"/>
    <x v="0"/>
    <n v="-38.11"/>
    <d v="1899-12-30T00:22:00"/>
    <n v="1029.0989"/>
    <n v="1.7500000000000089"/>
    <n v="-9.9999999999998201E-2"/>
    <n v="-9.9999999999998201E-2"/>
    <n v="1.85"/>
    <n v="1.75"/>
    <n v="2.0500000000000003"/>
    <n v="-0.2"/>
    <n v="-0.2"/>
    <n v="-0.2"/>
    <n v="-0.2"/>
    <n v="-0.2"/>
    <n v="0.60000000000000264"/>
    <n v="-0.2"/>
    <n v="-0.2"/>
    <n v="-0.2"/>
    <n v="-0.2"/>
    <n v="-0.2"/>
  </r>
  <r>
    <s v="MTP"/>
    <x v="29"/>
    <d v="2019-04-24T00:00:00"/>
    <d v="1899-12-30T09:41:00"/>
    <d v="1899-12-30T09:42:00"/>
    <n v="6.6"/>
    <n v="-98.490000000000009"/>
    <n v="500"/>
    <s v="BO"/>
    <s v="BUY"/>
    <n v="3.4"/>
    <n v="3.4"/>
    <n v="3.2"/>
    <n v="3.2"/>
    <n v="3.45"/>
    <n v="3.2"/>
    <n v="3.45"/>
    <n v="3.45"/>
    <b v="0"/>
    <b v="0"/>
    <b v="0"/>
    <m/>
    <b v="0"/>
    <m/>
    <m/>
    <b v="0"/>
    <b v="0"/>
    <x v="0"/>
    <x v="0"/>
    <s v="Healthcare"/>
    <n v="383"/>
    <m/>
    <s v="H"/>
    <s v="ST"/>
    <n v="1.42"/>
    <n v="-0.16"/>
    <n v="28.15"/>
    <s v="MTP_001.png"/>
    <n v="0.25000000000000167"/>
    <n v="-1"/>
    <x v="0"/>
    <n v="-105.09"/>
    <d v="1899-12-30T00:01:00"/>
    <n v="924.00889999999993"/>
    <n v="0.25000000000000167"/>
    <n v="0"/>
    <n v="0"/>
    <n v="0.25"/>
    <n v="0.25"/>
    <n v="1.25"/>
    <n v="-1"/>
    <n v="-1"/>
    <n v="-1"/>
    <n v="-1"/>
    <n v="-1"/>
    <n v="-1"/>
    <n v="-1"/>
    <n v="-1"/>
    <n v="-1"/>
    <n v="-1"/>
    <n v="-1"/>
  </r>
  <r>
    <s v="MTP"/>
    <x v="30"/>
    <d v="2019-04-24T00:00:00"/>
    <d v="1899-12-30T09:47:00"/>
    <d v="1899-12-30T10:17:00"/>
    <n v="5.0999999999999996"/>
    <n v="134.1"/>
    <n v="500"/>
    <s v="BO"/>
    <s v="BUY"/>
    <n v="3.46"/>
    <n v="3.46"/>
    <n v="3.26"/>
    <n v="3.73"/>
    <n v="3.85"/>
    <n v="3.36"/>
    <n v="3.86"/>
    <n v="3.86"/>
    <n v="3.51"/>
    <b v="0"/>
    <b v="0"/>
    <m/>
    <n v="3.73"/>
    <n v="1.95"/>
    <n v="1.95"/>
    <b v="0"/>
    <b v="0"/>
    <x v="1"/>
    <x v="1"/>
    <s v="Healthcare"/>
    <n v="383"/>
    <m/>
    <s v="H"/>
    <s v="ST"/>
    <n v="1.42"/>
    <n v="-0.16"/>
    <n v="28.15"/>
    <s v="MTP_001.png"/>
    <n v="1.9499999999999988"/>
    <n v="-0.5"/>
    <x v="1"/>
    <n v="129"/>
    <d v="1899-12-30T00:30:00"/>
    <n v="1053.0088999999998"/>
    <n v="1.9999999999999978"/>
    <n v="0"/>
    <n v="0"/>
    <n v="2"/>
    <n v="2"/>
    <n v="0.64999999999999991"/>
    <n v="1.35"/>
    <n v="1.35"/>
    <n v="1.35"/>
    <n v="1.35"/>
    <n v="1.35"/>
    <n v="0.24999999999999889"/>
    <n v="1.35"/>
    <n v="1.35"/>
    <n v="1.35"/>
    <n v="1.35"/>
    <n v="1.35"/>
  </r>
  <r>
    <s v="RHE"/>
    <x v="31"/>
    <d v="2019-04-26T00:00:00"/>
    <d v="1899-12-30T10:06:00"/>
    <d v="1899-12-30T10:07:00"/>
    <n v="3.2"/>
    <n v="12.04"/>
    <n v="333"/>
    <s v="BO"/>
    <s v="BUY"/>
    <n v="2.66"/>
    <n v="2.5990000000000002"/>
    <n v="2.3600000000000003"/>
    <n v="2.649"/>
    <n v="2.78"/>
    <n v="2.5299999999999998"/>
    <n v="2.78"/>
    <n v="2.78"/>
    <b v="0"/>
    <b v="0"/>
    <b v="0"/>
    <b v="0"/>
    <b v="0"/>
    <m/>
    <m/>
    <b v="0"/>
    <n v="2.649"/>
    <x v="0"/>
    <x v="2"/>
    <s v="Healthcare"/>
    <n v="50"/>
    <m/>
    <s v="H"/>
    <s v="ST"/>
    <n v="1.49"/>
    <n v="0.12"/>
    <n v="16.399999999999999"/>
    <s v="RHE.png"/>
    <n v="0.60333333333333239"/>
    <n v="-0.23000000000000145"/>
    <x v="1"/>
    <n v="8.84"/>
    <d v="1899-12-30T00:01:00"/>
    <n v="1061.8488999999997"/>
    <n v="0.39999999999999913"/>
    <n v="-0.20333333333333325"/>
    <n v="-0.20333333333333325"/>
    <n v="0.60329999999999995"/>
    <n v="0.4"/>
    <n v="0.43659999999999999"/>
    <n v="0.16669999999999999"/>
    <n v="0.16669999999999999"/>
    <n v="0.16669999999999999"/>
    <n v="0.16669999999999999"/>
    <n v="0.16669999999999999"/>
    <n v="0.16669999999999999"/>
    <n v="0.16669999999999999"/>
    <n v="0.16666666666666619"/>
    <n v="0.16669999999999999"/>
    <n v="0.16669999999999999"/>
    <n v="0.16669999999999999"/>
  </r>
  <r>
    <s v="NOVN"/>
    <x v="32"/>
    <d v="2019-04-30T00:00:00"/>
    <d v="1899-12-30T11:01:00"/>
    <d v="1899-12-30T11:02:00"/>
    <n v="10.15"/>
    <n v="10"/>
    <n v="1000"/>
    <s v="BO"/>
    <s v="BUY"/>
    <n v="1.31"/>
    <n v="1.32"/>
    <n v="1.21"/>
    <n v="1.33"/>
    <n v="1.36"/>
    <n v="1.26"/>
    <n v="1.47"/>
    <n v="1.47"/>
    <b v="0"/>
    <b v="0"/>
    <b v="0"/>
    <m/>
    <n v="1.35"/>
    <n v="1.5"/>
    <n v="1.5"/>
    <b v="0"/>
    <n v="1.33"/>
    <x v="2"/>
    <x v="1"/>
    <s v="Healthcare"/>
    <n v="170"/>
    <n v="15.6"/>
    <s v="C"/>
    <s v="ST"/>
    <n v="16.82"/>
    <n v="-0.14000000000000001"/>
    <n v="0.51"/>
    <s v="NOVN_.png"/>
    <n v="0.4"/>
    <n v="-0.6"/>
    <x v="1"/>
    <n v="-0.15000000000000036"/>
    <d v="1899-12-30T00:01:00"/>
    <n v="1061.6988999999996"/>
    <n v="1.5999999999999979"/>
    <n v="0.10000000000000009"/>
    <n v="0.10000000000000009"/>
    <n v="1.5"/>
    <n v="1.6"/>
    <n v="1.4"/>
    <n v="0.1"/>
    <n v="0.1"/>
    <n v="0.1"/>
    <n v="0.1"/>
    <n v="0.1"/>
    <n v="0.1"/>
    <n v="0.1"/>
    <n v="0.1"/>
    <n v="0.1"/>
    <n v="0.1"/>
    <n v="0.1"/>
  </r>
  <r>
    <s v="ENPH"/>
    <x v="33"/>
    <d v="2019-05-01T00:00:00"/>
    <d v="1899-12-30T10:03:00"/>
    <d v="1899-12-30T10:11:00"/>
    <n v="7.1099999999999994"/>
    <n v="-119"/>
    <n v="714"/>
    <s v="BO"/>
    <s v="SELL"/>
    <n v="12.63"/>
    <n v="12.613"/>
    <n v="12.770000000000001"/>
    <n v="12.78"/>
    <n v="12.78"/>
    <n v="12.56"/>
    <n v="12.56"/>
    <n v="12.56"/>
    <b v="0"/>
    <b v="0"/>
    <b v="0"/>
    <b v="1"/>
    <b v="0"/>
    <m/>
    <m/>
    <b v="0"/>
    <n v="12.66"/>
    <x v="0"/>
    <x v="0"/>
    <s v="Technology"/>
    <n v="12"/>
    <n v="78"/>
    <s v="C"/>
    <s v="F"/>
    <n v="78"/>
    <n v="-0.04"/>
    <n v="29"/>
    <s v="enph.png"/>
    <n v="0.37857142857142023"/>
    <n v="-1.1928571428571366"/>
    <x v="0"/>
    <n v="-126.11"/>
    <d v="1899-12-30T00:08:00"/>
    <n v="935.58889999999963"/>
    <n v="0.5"/>
    <n v="0.12142857142857966"/>
    <n v="0.12142857142857966"/>
    <n v="0.37859999999999999"/>
    <n v="0.5"/>
    <n v="1.5715000000000001"/>
    <n v="-1.1929000000000001"/>
    <n v="-0.12142857142857966"/>
    <n v="-1.1929000000000001"/>
    <n v="-1.1929000000000001"/>
    <n v="-1.1929000000000001"/>
    <n v="-1.1929000000000001"/>
    <n v="-1.1929000000000001"/>
    <n v="0.33571428571428863"/>
    <n v="-1.1929000000000001"/>
    <n v="-1.1929000000000001"/>
    <n v="-1.1929000000000001"/>
  </r>
  <r>
    <s v="ABIO"/>
    <x v="34"/>
    <d v="2019-05-01T00:00:00"/>
    <d v="1899-12-30T10:12:00"/>
    <d v="1899-12-30T10:27:00"/>
    <n v="2.5700000000000003"/>
    <n v="216.25"/>
    <n v="250"/>
    <s v="BO"/>
    <s v="BUY"/>
    <n v="7.27"/>
    <n v="7.28"/>
    <n v="6.87"/>
    <n v="8.11"/>
    <n v="8.35"/>
    <n v="6.93"/>
    <n v="9"/>
    <n v="9"/>
    <b v="0"/>
    <b v="0"/>
    <b v="0"/>
    <m/>
    <n v="8.11"/>
    <n v="2.6"/>
    <b v="0"/>
    <b v="0"/>
    <b v="0"/>
    <x v="1"/>
    <x v="1"/>
    <s v="Healthcare"/>
    <n v="242"/>
    <m/>
    <s v="C"/>
    <s v="AT"/>
    <n v="1.0900000000000001"/>
    <n v="-0.04"/>
    <n v="4.3600000000000003"/>
    <s v="ABIO.png"/>
    <n v="2.675000000000002"/>
    <n v="-0.87500000000000255"/>
    <x v="1"/>
    <n v="213.68"/>
    <d v="1899-12-30T00:15:00"/>
    <n v="1149.2688999999996"/>
    <n v="4.3250000000000064"/>
    <n v="2.5000000000001688E-2"/>
    <n v="2.5000000000001688E-2"/>
    <n v="4.3"/>
    <n v="4.3250000000000002"/>
    <n v="2.2249999999999996"/>
    <n v="2.0750000000000002"/>
    <n v="2.0750000000000002"/>
    <n v="2.0750000000000002"/>
    <n v="2.0750000000000002"/>
    <n v="2.0750000000000002"/>
    <n v="2.0750000000000002"/>
    <n v="2.0750000000000002"/>
    <n v="2.0750000000000002"/>
    <n v="2.0750000000000002"/>
    <n v="2.4749999999999983"/>
    <n v="2.0750000000000002"/>
  </r>
  <r>
    <s v="ABIO"/>
    <x v="35"/>
    <d v="2019-05-01T00:00:00"/>
    <d v="1899-12-30T10:21:00"/>
    <d v="1899-12-30T10:25:00"/>
    <n v="3.4299999999999997"/>
    <n v="250"/>
    <n v="333"/>
    <s v="BO"/>
    <s v="BUY"/>
    <n v="7.58"/>
    <n v="7.55"/>
    <n v="7.28"/>
    <n v="8.33"/>
    <n v="8.35"/>
    <n v="7.52"/>
    <n v="9"/>
    <n v="9"/>
    <b v="0"/>
    <b v="0"/>
    <b v="1"/>
    <m/>
    <n v="8.33"/>
    <n v="2.6"/>
    <b v="0"/>
    <b v="0"/>
    <b v="0"/>
    <x v="1"/>
    <x v="1"/>
    <s v="Healthcare"/>
    <n v="242"/>
    <m/>
    <s v="C"/>
    <s v="P"/>
    <n v="1.0900000000000001"/>
    <n v="-0.04"/>
    <n v="4.3600000000000003"/>
    <s v="ABIO.png"/>
    <n v="2.6666666666666679"/>
    <n v="-0.10000000000000089"/>
    <x v="1"/>
    <n v="246.57"/>
    <d v="1899-12-30T00:04:00"/>
    <n v="1395.8388999999995"/>
    <n v="4.7333333333333361"/>
    <n v="-0.10000000000000087"/>
    <n v="-0.10000000000000087"/>
    <n v="4.8333000000000004"/>
    <n v="4.7332999999999998"/>
    <n v="2.2333000000000003"/>
    <n v="2.6"/>
    <n v="2.6"/>
    <n v="2.6"/>
    <n v="2.6"/>
    <n v="2.6"/>
    <n v="2.6"/>
    <n v="2.6"/>
    <n v="2.6"/>
    <n v="2.6"/>
    <n v="2.600000000000001"/>
    <n v="2.6"/>
  </r>
  <r>
    <s v="BLIN"/>
    <x v="36"/>
    <d v="2019-05-06T00:00:00"/>
    <d v="1899-12-30T10:33:00"/>
    <d v="1899-12-30T10:34:00"/>
    <n v="2.0299999999999998"/>
    <n v="21.97"/>
    <n v="100"/>
    <s v="BO"/>
    <s v="BUY"/>
    <n v="8.1199999999999992"/>
    <n v="8.1199999999999992"/>
    <n v="7.58"/>
    <n v="8.36"/>
    <n v="8.84"/>
    <n v="7.86"/>
    <n v="8.84"/>
    <n v="8.84"/>
    <b v="0"/>
    <b v="0"/>
    <b v="0"/>
    <b v="0"/>
    <b v="0"/>
    <m/>
    <m/>
    <b v="0"/>
    <n v="8.36"/>
    <x v="0"/>
    <x v="0"/>
    <s v="Technology"/>
    <n v="210"/>
    <m/>
    <s v="H"/>
    <s v="AT"/>
    <n v="13"/>
    <n v="0.72"/>
    <n v="5.18"/>
    <s v="blin_.png"/>
    <n v="1.3333333333333366"/>
    <n v="-0.48148148148148018"/>
    <x v="1"/>
    <n v="19.939999999999998"/>
    <d v="1899-12-30T00:01:00"/>
    <n v="1415.7788999999996"/>
    <n v="1.3333333333333366"/>
    <n v="0"/>
    <n v="0"/>
    <n v="1.3332999999999999"/>
    <n v="1.3332999999999999"/>
    <n v="0.88889999999999991"/>
    <n v="0.44440000000000002"/>
    <n v="0.44440000000000002"/>
    <n v="0.44440000000000002"/>
    <n v="0.44440000000000002"/>
    <n v="0.44440000000000002"/>
    <n v="0.44440000000000002"/>
    <n v="0.44440000000000002"/>
    <n v="0.44444444444444553"/>
    <n v="0.44440000000000002"/>
    <n v="0.44440000000000002"/>
    <n v="0.44440000000000002"/>
  </r>
  <r>
    <s v="TBLT"/>
    <x v="37"/>
    <d v="2019-05-09T00:00:00"/>
    <d v="1899-12-30T10:16:00"/>
    <d v="1899-12-30T10:20:00"/>
    <n v="16.899999999999999"/>
    <n v="49.98"/>
    <n v="1666"/>
    <s v="BO"/>
    <s v="BUY"/>
    <n v="1.25"/>
    <n v="1.25"/>
    <n v="1.19"/>
    <n v="1.28"/>
    <n v="1.32"/>
    <n v="1.21"/>
    <n v="1.48"/>
    <n v="1.48"/>
    <b v="0"/>
    <b v="0"/>
    <b v="0"/>
    <m/>
    <b v="0"/>
    <m/>
    <m/>
    <b v="0"/>
    <n v="1.28"/>
    <x v="2"/>
    <x v="1"/>
    <s v="Industrial Goods"/>
    <n v="80"/>
    <n v="28"/>
    <s v="C"/>
    <s v="ST"/>
    <n v="9"/>
    <n v="-0.25"/>
    <n v="4"/>
    <s v="TBLT.png"/>
    <n v="1.1666666666666667"/>
    <n v="-0.66666666666666663"/>
    <x v="1"/>
    <n v="33.08"/>
    <d v="1899-12-30T00:04:00"/>
    <n v="1448.8588999999995"/>
    <n v="3.8333333333333295"/>
    <n v="0"/>
    <n v="0"/>
    <n v="3.8332999999999999"/>
    <n v="3.8332999999999999"/>
    <n v="3.3332999999999999"/>
    <n v="0.5"/>
    <n v="0.5"/>
    <n v="0.5"/>
    <n v="0.5"/>
    <n v="0.5"/>
    <n v="0.5"/>
    <n v="0.5"/>
    <n v="0.5"/>
    <n v="0.5"/>
    <n v="0.5"/>
    <n v="0.5"/>
  </r>
  <r>
    <s v="TBLT"/>
    <x v="38"/>
    <d v="2019-05-09T00:00:00"/>
    <d v="1899-12-30T10:26:00"/>
    <d v="1899-12-30T10:35:00"/>
    <n v="16.899999999999999"/>
    <n v="19.659999999999997"/>
    <n v="1666"/>
    <s v="BO"/>
    <s v="BUY"/>
    <n v="1.32"/>
    <n v="1.32"/>
    <n v="1.26"/>
    <n v="1.3320000000000001"/>
    <n v="1.43"/>
    <n v="1.31"/>
    <n v="1.48"/>
    <n v="1.48"/>
    <b v="0"/>
    <b v="0"/>
    <b v="0"/>
    <m/>
    <b v="0"/>
    <m/>
    <m/>
    <b v="0"/>
    <b v="0"/>
    <x v="1"/>
    <x v="1"/>
    <s v="Industrial Goods"/>
    <n v="80"/>
    <n v="28"/>
    <s v="C"/>
    <s v="DT"/>
    <n v="9"/>
    <n v="-0.25"/>
    <n v="4"/>
    <s v="TBLT.png"/>
    <n v="1.8333333333333297"/>
    <n v="-0.16666666666666666"/>
    <x v="1"/>
    <n v="2.759999999999998"/>
    <d v="1899-12-30T00:09:00"/>
    <n v="1451.6188999999995"/>
    <n v="2.666666666666663"/>
    <n v="0"/>
    <n v="0"/>
    <n v="2.6667000000000001"/>
    <n v="2.6667000000000001"/>
    <n v="2.4666999999999999"/>
    <n v="0.2"/>
    <n v="0.2"/>
    <n v="0.2"/>
    <n v="0.2"/>
    <n v="0.2"/>
    <n v="0.2"/>
    <n v="0.2"/>
    <n v="0.2"/>
    <n v="0.2"/>
    <n v="2.5"/>
    <n v="0.2"/>
  </r>
  <r>
    <s v="MARA"/>
    <x v="39"/>
    <d v="2019-05-13T00:00:00"/>
    <d v="1899-12-30T10:34:00"/>
    <d v="1899-12-30T10:52:00"/>
    <n v="8.49"/>
    <n v="-99.13"/>
    <n v="833"/>
    <s v="BO"/>
    <s v="BUY"/>
    <n v="3.47"/>
    <n v="3.47"/>
    <n v="3.35"/>
    <n v="3.35"/>
    <n v="3.49"/>
    <n v="3.35"/>
    <n v="3.49"/>
    <n v="3.49"/>
    <b v="0"/>
    <b v="0"/>
    <b v="0"/>
    <b v="0"/>
    <b v="0"/>
    <m/>
    <m/>
    <b v="0"/>
    <b v="0"/>
    <x v="0"/>
    <x v="0"/>
    <s v="Services"/>
    <n v="20"/>
    <m/>
    <s v="H"/>
    <s v="R"/>
    <n v="5.93"/>
    <n v="-0.31"/>
    <n v="8.5"/>
    <s v="MARA.png"/>
    <n v="0.16666666666666666"/>
    <n v="-1"/>
    <x v="0"/>
    <n v="-107.61999999999999"/>
    <d v="1899-12-30T00:18:00"/>
    <n v="1343.9988999999996"/>
    <n v="0.16666666666666666"/>
    <n v="0"/>
    <n v="0"/>
    <n v="0.16669999999999999"/>
    <n v="0.16669999999999999"/>
    <n v="1.1667000000000001"/>
    <n v="-1"/>
    <n v="-1"/>
    <n v="-1"/>
    <n v="-1"/>
    <n v="-1"/>
    <n v="-1"/>
    <n v="-1"/>
    <n v="-1"/>
    <n v="-1"/>
    <n v="-1"/>
    <n v="-1"/>
  </r>
  <r>
    <s v="NBY"/>
    <x v="40"/>
    <d v="2019-05-14T00:00:00"/>
    <d v="1899-12-30T09:49:00"/>
    <d v="1899-12-30T10:53:00"/>
    <n v="16.880000000000003"/>
    <n v="349.86"/>
    <n v="1666"/>
    <s v="BO"/>
    <s v="BUY"/>
    <n v="0.53"/>
    <n v="0.53"/>
    <n v="0.47000000000000003"/>
    <n v="0.74"/>
    <n v="0.78"/>
    <n v="0.53"/>
    <b v="0"/>
    <n v="0.82"/>
    <b v="0"/>
    <b v="0"/>
    <b v="0"/>
    <m/>
    <b v="0"/>
    <m/>
    <m/>
    <b v="0"/>
    <b v="0"/>
    <x v="1"/>
    <x v="1"/>
    <s v="Healthcare"/>
    <n v="500"/>
    <m/>
    <s v="H"/>
    <s v="ST"/>
    <n v="5.3"/>
    <n v="0.88"/>
    <n v="1.29"/>
    <s v="nby.png"/>
    <n v="4.166666666666667"/>
    <n v="0"/>
    <x v="1"/>
    <n v="332.98"/>
    <d v="1899-12-30T01:04:00"/>
    <n v="1676.9788999999996"/>
    <s v="FALSE"/>
    <n v="0"/>
    <n v="0"/>
    <n v="4.8333000000000004"/>
    <n v="4.8333000000000004"/>
    <n v="1.3333000000000004"/>
    <n v="3.5"/>
    <n v="3.5"/>
    <n v="3.5"/>
    <n v="3.5"/>
    <n v="3.5"/>
    <n v="3.5"/>
    <n v="3.5"/>
    <n v="3.5"/>
    <n v="3.5"/>
    <n v="2.5"/>
    <n v="3"/>
  </r>
  <r>
    <s v="NBY"/>
    <x v="41"/>
    <d v="2019-05-14T00:00:00"/>
    <d v="1899-12-30T10:07:00"/>
    <d v="1899-12-30T10:26:00"/>
    <n v="16.89"/>
    <n v="183.26"/>
    <n v="1666"/>
    <s v="BO"/>
    <s v="BUY"/>
    <n v="0.68"/>
    <n v="0.68"/>
    <n v="0.62"/>
    <n v="0.79"/>
    <n v="0.82"/>
    <n v="0.66"/>
    <n v="0.77"/>
    <n v="0.82"/>
    <b v="0"/>
    <b v="0"/>
    <b v="0"/>
    <m/>
    <n v="0.79"/>
    <n v="2.33"/>
    <b v="0"/>
    <b v="0"/>
    <b v="0"/>
    <x v="2"/>
    <x v="1"/>
    <s v="Healthcare"/>
    <n v="500"/>
    <m/>
    <s v="H"/>
    <s v="ST"/>
    <n v="5.3"/>
    <n v="0.88"/>
    <n v="1.29"/>
    <s v="nby.png"/>
    <n v="2.3333333333333295"/>
    <n v="-0.33333333333333331"/>
    <x v="1"/>
    <n v="166.37"/>
    <d v="1899-12-30T00:19:00"/>
    <n v="1843.3488999999995"/>
    <n v="1.4999999999999982"/>
    <n v="0"/>
    <n v="0"/>
    <n v="2.3332999999999999"/>
    <n v="2.3332999999999999"/>
    <n v="0.5"/>
    <n v="1.8332999999999999"/>
    <n v="1.8332999999999999"/>
    <n v="1.8332999999999999"/>
    <n v="1.8332999999999999"/>
    <n v="1.8332999999999999"/>
    <n v="1.8332999999999999"/>
    <n v="1.8332999999999999"/>
    <n v="1.8332999999999999"/>
    <n v="1.8332999999999999"/>
    <n v="1.8332999999999999"/>
    <n v="1.8332999999999999"/>
  </r>
  <r>
    <s v="CEI"/>
    <x v="42"/>
    <d v="2019-05-15T00:00:00"/>
    <d v="1899-12-30T09:40:00"/>
    <d v="1899-12-30T09:46:00"/>
    <n v="27.6"/>
    <n v="-96"/>
    <n v="3333"/>
    <s v="BO"/>
    <s v="BUY"/>
    <n v="0.33110000000000001"/>
    <n v="0.33500000000000002"/>
    <n v="0.30930000000000002"/>
    <n v="0.30609999999999998"/>
    <n v="0.34"/>
    <n v="0.30609999999999998"/>
    <n v="0.34"/>
    <n v="0.34"/>
    <b v="0"/>
    <b v="0"/>
    <b v="0"/>
    <b v="0"/>
    <b v="0"/>
    <m/>
    <m/>
    <b v="0"/>
    <b v="0"/>
    <x v="0"/>
    <x v="0"/>
    <s v="Basic Materials"/>
    <n v="51"/>
    <n v="17"/>
    <s v="C"/>
    <s v="AT"/>
    <n v="12.5"/>
    <n v="1.23"/>
    <n v="9.1999999999999993"/>
    <s v="CEI_.png"/>
    <n v="0.22935779816513796"/>
    <n v="-1.325688073394498"/>
    <x v="0"/>
    <n v="-123.6"/>
    <d v="1899-12-30T00:06:00"/>
    <n v="1719.7488999999996"/>
    <n v="0.40825688073394611"/>
    <n v="0.17889908256880815"/>
    <n v="0.17889908256880815"/>
    <n v="0.22939999999999999"/>
    <n v="0.4083"/>
    <n v="1.5551000000000001"/>
    <n v="-1.3257000000000001"/>
    <n v="-1.3257000000000001"/>
    <n v="-1.3257000000000001"/>
    <n v="-1.3257000000000001"/>
    <n v="-1.3257000000000001"/>
    <n v="-1.3257000000000001"/>
    <n v="-1.3257000000000001"/>
    <n v="-1.3257000000000001"/>
    <n v="-1.3257000000000001"/>
    <n v="-1.3257000000000001"/>
    <n v="-1.3257000000000001"/>
  </r>
  <r>
    <s v="CLRB"/>
    <x v="43"/>
    <d v="2019-05-15T00:00:00"/>
    <d v="1899-12-30T10:06:00"/>
    <d v="1899-12-30T10:07:00"/>
    <n v="10"/>
    <n v="-95.54"/>
    <n v="714"/>
    <s v="BO"/>
    <s v="BUY"/>
    <n v="2.88"/>
    <n v="2.88"/>
    <n v="2.7399999999999998"/>
    <n v="2.742"/>
    <n v="2.9"/>
    <n v="2.742"/>
    <n v="2.9"/>
    <n v="2.9"/>
    <b v="0"/>
    <b v="0"/>
    <b v="0"/>
    <b v="0"/>
    <b v="0"/>
    <m/>
    <m/>
    <b v="0"/>
    <b v="0"/>
    <x v="0"/>
    <x v="0"/>
    <s v="Healthcare"/>
    <n v="80"/>
    <n v="14"/>
    <s v="C"/>
    <s v="ST"/>
    <n v="5.15"/>
    <n v="1.23"/>
    <n v="3.3"/>
    <s v="CLRB.png"/>
    <n v="0.14285714285714285"/>
    <n v="-0.9857142857142841"/>
    <x v="0"/>
    <n v="-105.54"/>
    <d v="1899-12-30T00:01:00"/>
    <n v="1614.2088999999996"/>
    <n v="0.14285714285714285"/>
    <n v="0"/>
    <n v="0"/>
    <n v="0.1429"/>
    <n v="0.1429"/>
    <n v="1.1286"/>
    <n v="-0.98570000000000002"/>
    <n v="-0.98570000000000002"/>
    <n v="-0.98570000000000002"/>
    <n v="-0.98570000000000002"/>
    <n v="-0.98570000000000002"/>
    <n v="-0.98570000000000002"/>
    <n v="-0.98570000000000002"/>
    <n v="-0.98570000000000002"/>
    <n v="-0.98570000000000002"/>
    <n v="-0.98570000000000002"/>
    <n v="-0.98570000000000002"/>
  </r>
  <r>
    <s v="PDSB"/>
    <x v="44"/>
    <d v="2019-05-15T00:00:00"/>
    <d v="1899-12-30T10:14:00"/>
    <d v="1899-12-30T10:16:00"/>
    <n v="2.1"/>
    <n v="-96.48"/>
    <n v="200"/>
    <s v="BO"/>
    <s v="BUY"/>
    <n v="8.76"/>
    <n v="8.6999999999999993"/>
    <n v="8.1999999999999993"/>
    <n v="8.2200000000000006"/>
    <n v="8.7200000000000006"/>
    <n v="8.2200000000000006"/>
    <n v="8.7200000000000006"/>
    <n v="8.7200000000000006"/>
    <b v="0"/>
    <b v="0"/>
    <b v="0"/>
    <b v="0"/>
    <b v="0"/>
    <m/>
    <m/>
    <b v="0"/>
    <b v="0"/>
    <x v="0"/>
    <x v="0"/>
    <s v="Healthcare"/>
    <n v="300"/>
    <n v="7"/>
    <s v="C"/>
    <s v="ST"/>
    <n v="1.42"/>
    <n v="1.23"/>
    <n v="2.97"/>
    <s v="pdsb.png"/>
    <n v="3.5714285714288092E-2"/>
    <n v="-0.85714285714285399"/>
    <x v="0"/>
    <n v="-98.58"/>
    <d v="1899-12-30T00:02:00"/>
    <n v="1515.6288999999997"/>
    <n v="-7.1428571428569843E-2"/>
    <n v="-0.10714285714285798"/>
    <n v="-0.10714285714285798"/>
    <n v="3.5700000000000003E-2"/>
    <n v="-7.1400000000000005E-2"/>
    <n v="0.89279999999999993"/>
    <n v="-0.85709999999999997"/>
    <n v="-0.85709999999999997"/>
    <n v="-0.85709999999999997"/>
    <n v="-0.85709999999999997"/>
    <n v="-0.85709999999999997"/>
    <n v="-0.85709999999999997"/>
    <n v="-0.85709999999999997"/>
    <n v="-0.85709999999999997"/>
    <n v="-0.85709999999999997"/>
    <n v="-0.85709999999999997"/>
    <n v="-0.85709999999999997"/>
  </r>
  <r>
    <s v="CLRB"/>
    <x v="45"/>
    <d v="2019-05-15T00:00:00"/>
    <d v="1899-12-30T10:30:00"/>
    <d v="1899-12-30T10:43:00"/>
    <n v="10"/>
    <n v="90.02"/>
    <n v="1000"/>
    <s v="BO"/>
    <s v="BUY"/>
    <n v="2.81"/>
    <n v="2.81"/>
    <n v="2.71"/>
    <n v="2.9"/>
    <n v="3.05"/>
    <n v="2.8"/>
    <n v="3.13"/>
    <n v="3.13"/>
    <b v="0"/>
    <b v="0"/>
    <b v="0"/>
    <m/>
    <n v="2.92"/>
    <n v="2.4"/>
    <b v="0"/>
    <b v="0"/>
    <b v="0"/>
    <x v="1"/>
    <x v="1"/>
    <s v="Healthcare"/>
    <n v="80"/>
    <n v="14"/>
    <s v="C"/>
    <s v="DT"/>
    <n v="5.15"/>
    <n v="1.23"/>
    <n v="3.3"/>
    <s v="CLRB.png"/>
    <n v="2.3999999999999955"/>
    <n v="-0.10000000000000223"/>
    <x v="1"/>
    <n v="80.02"/>
    <d v="1899-12-30T00:13:00"/>
    <n v="1595.6488999999997"/>
    <n v="3.1999999999999957"/>
    <n v="0"/>
    <n v="0"/>
    <n v="3.2"/>
    <n v="3.2"/>
    <n v="2.3000000000000003"/>
    <n v="0.9"/>
    <n v="0.9"/>
    <n v="0.9"/>
    <n v="0.9"/>
    <n v="0.9"/>
    <n v="0.9"/>
    <n v="0.9"/>
    <n v="0.9"/>
    <n v="0.9"/>
    <n v="0.9"/>
    <n v="0.9"/>
  </r>
  <r>
    <s v="CLRB"/>
    <x v="46"/>
    <d v="2019-05-15T00:00:00"/>
    <d v="1899-12-30T10:48:00"/>
    <d v="1899-12-30T10:53:00"/>
    <n v="10"/>
    <n v="173.74"/>
    <n v="1250"/>
    <s v="BO"/>
    <s v="BUY"/>
    <n v="2.95"/>
    <n v="2.948"/>
    <n v="2.83"/>
    <n v="3.09"/>
    <n v="3.13"/>
    <n v="2.92"/>
    <n v="3.13"/>
    <n v="3.13"/>
    <b v="0"/>
    <b v="0"/>
    <b v="0"/>
    <m/>
    <n v="2.92"/>
    <n v="1.51"/>
    <b v="0"/>
    <b v="0"/>
    <b v="0"/>
    <x v="1"/>
    <x v="1"/>
    <s v="Healthcare"/>
    <n v="80"/>
    <n v="14"/>
    <s v="C"/>
    <s v="F"/>
    <n v="5.15"/>
    <n v="1.23"/>
    <n v="3.3"/>
    <s v="CLRB.png"/>
    <n v="1.5166666666666648"/>
    <n v="-0.23333333333333334"/>
    <x v="1"/>
    <n v="163.74"/>
    <d v="1899-12-30T00:05:00"/>
    <n v="1759.3888999999997"/>
    <n v="1.4999999999999962"/>
    <n v="-1.6666666666668495E-2"/>
    <n v="-1.6666666666668495E-2"/>
    <n v="1.5166999999999999"/>
    <n v="1.5"/>
    <n v="0.33339999999999992"/>
    <n v="1.1833"/>
    <n v="1.1833"/>
    <n v="1.1833"/>
    <n v="1.1833"/>
    <n v="1.1833"/>
    <n v="1.1833"/>
    <n v="1.1833"/>
    <n v="1.1833"/>
    <n v="1.1833"/>
    <n v="1.1833"/>
    <n v="1.1833"/>
  </r>
  <r>
    <s v="PDSB"/>
    <x v="47"/>
    <d v="2019-05-15T00:00:00"/>
    <d v="1899-12-30T10:54:00"/>
    <d v="1899-12-30T11:29:00"/>
    <n v="2.1"/>
    <n v="5.14"/>
    <n v="200"/>
    <s v="BO"/>
    <s v="BUY"/>
    <n v="8.58"/>
    <n v="8.59"/>
    <n v="8.1300000000000008"/>
    <n v="8.61"/>
    <n v="9.4600000000000009"/>
    <n v="8.26"/>
    <n v="9.4600000000000009"/>
    <n v="9.4600000000000009"/>
    <b v="0"/>
    <b v="0"/>
    <b v="0"/>
    <m/>
    <b v="0"/>
    <m/>
    <m/>
    <n v="8.4499999999999993"/>
    <b v="0"/>
    <x v="2"/>
    <x v="2"/>
    <s v="Healthcare"/>
    <n v="300"/>
    <n v="7"/>
    <s v="C"/>
    <s v="ST"/>
    <n v="1.42"/>
    <n v="1.23"/>
    <n v="2.97"/>
    <s v="pdsb.png"/>
    <n v="1.9333333333333387"/>
    <n v="-0.73333333333333461"/>
    <x v="1"/>
    <n v="3.0399999999999996"/>
    <d v="1899-12-30T00:35:00"/>
    <n v="1762.4288999999997"/>
    <n v="1.9555555555555604"/>
    <n v="2.2222222222221699E-2"/>
    <n v="2.2222222222221699E-2"/>
    <n v="1.9333"/>
    <n v="1.9556"/>
    <n v="1.8889"/>
    <n v="4.4400000000000002E-2"/>
    <n v="4.4400000000000002E-2"/>
    <n v="4.4400000000000002E-2"/>
    <n v="4.4400000000000002E-2"/>
    <n v="4.4400000000000002E-2"/>
    <n v="4.4400000000000002E-2"/>
    <n v="4.4400000000000002E-2"/>
    <n v="4.4400000000000002E-2"/>
    <n v="-0.31111111111111289"/>
    <n v="4.4400000000000002E-2"/>
    <n v="4.4400000000000002E-2"/>
  </r>
  <r>
    <s v="ELTK"/>
    <x v="48"/>
    <d v="2019-05-16T00:00:00"/>
    <d v="1899-12-30T10:09:00"/>
    <d v="1899-12-30T10:10:00"/>
    <n v="3.09"/>
    <n v="-100"/>
    <n v="500"/>
    <s v="BO"/>
    <s v="BUY"/>
    <n v="3"/>
    <n v="3"/>
    <n v="2.8"/>
    <n v="2.8"/>
    <n v="3.1"/>
    <n v="2.8"/>
    <n v="3.1"/>
    <n v="3.1"/>
    <b v="0"/>
    <b v="0"/>
    <b v="0"/>
    <b v="0"/>
    <b v="0"/>
    <m/>
    <m/>
    <b v="0"/>
    <b v="0"/>
    <x v="0"/>
    <x v="0"/>
    <s v="Technology"/>
    <n v="428"/>
    <m/>
    <s v="C"/>
    <s v="AT"/>
    <n v="0.88"/>
    <n v="1.06"/>
    <n v="3.3"/>
    <s v="ELTK.png"/>
    <n v="0.5"/>
    <n v="-1"/>
    <x v="0"/>
    <n v="-103.09"/>
    <d v="1899-12-30T00:01:00"/>
    <n v="1659.3388999999997"/>
    <n v="0.5"/>
    <n v="0"/>
    <n v="0"/>
    <n v="0.5"/>
    <n v="0.5"/>
    <n v="1.5"/>
    <n v="-1"/>
    <n v="-1"/>
    <n v="-1"/>
    <n v="-1"/>
    <n v="-1"/>
    <n v="-1"/>
    <n v="-1"/>
    <n v="-1"/>
    <n v="-1"/>
    <n v="-1"/>
    <n v="-1"/>
  </r>
  <r>
    <s v="OTLK"/>
    <x v="49"/>
    <d v="2019-05-16T00:00:00"/>
    <d v="1899-12-30T10:24:00"/>
    <d v="1899-12-30T10:28:00"/>
    <n v="25.35"/>
    <n v="249.98"/>
    <n v="2500"/>
    <s v="BO"/>
    <s v="BUY"/>
    <n v="1.3"/>
    <n v="1.3"/>
    <n v="1.26"/>
    <n v="1.4"/>
    <n v="1.42"/>
    <n v="1.29"/>
    <b v="0"/>
    <n v="1.65"/>
    <b v="0"/>
    <b v="0"/>
    <b v="1"/>
    <m/>
    <b v="0"/>
    <m/>
    <m/>
    <b v="0"/>
    <b v="0"/>
    <x v="1"/>
    <x v="1"/>
    <s v="Healthcare"/>
    <n v="100"/>
    <m/>
    <s v="C"/>
    <s v="DT"/>
    <n v="14.4"/>
    <n v="1.06"/>
    <n v="14"/>
    <s v="OTLK.png"/>
    <n v="2.9999999999999947"/>
    <n v="-0.25"/>
    <x v="1"/>
    <n v="224.63"/>
    <d v="1899-12-30T00:04:00"/>
    <n v="1883.9688999999998"/>
    <s v="FALSE"/>
    <n v="0"/>
    <n v="0"/>
    <n v="8.75"/>
    <n v="8.75"/>
    <n v="6.25"/>
    <n v="2.5"/>
    <n v="2.5"/>
    <n v="2.5"/>
    <n v="2.5"/>
    <n v="2.5"/>
    <n v="2.5"/>
    <n v="2.5"/>
    <n v="2.5"/>
    <n v="2.5"/>
    <n v="2.5"/>
    <n v="3"/>
  </r>
  <r>
    <s v="ELTK"/>
    <x v="50"/>
    <d v="2019-05-16T00:00:00"/>
    <d v="1899-12-30T10:35:00"/>
    <d v="1899-12-30T11:15:00"/>
    <n v="3.3899999999999997"/>
    <n v="-93.24"/>
    <n v="333"/>
    <s v="BO"/>
    <s v="BUY"/>
    <n v="2.92"/>
    <n v="2.93"/>
    <n v="2.62"/>
    <n v="2.65"/>
    <n v="3.1"/>
    <n v="2.62"/>
    <n v="3.1"/>
    <n v="3.1"/>
    <b v="0"/>
    <n v="2.79"/>
    <b v="0"/>
    <b v="1"/>
    <b v="0"/>
    <m/>
    <m/>
    <n v="2.91"/>
    <b v="0"/>
    <x v="0"/>
    <x v="2"/>
    <s v="Technology"/>
    <n v="428"/>
    <m/>
    <s v="C"/>
    <s v="ST"/>
    <n v="0.88"/>
    <n v="1.06"/>
    <n v="3.3"/>
    <s v="ELTK.png"/>
    <n v="0.56666666666666676"/>
    <n v="-1.0333333333333341"/>
    <x v="0"/>
    <n v="-96.63"/>
    <d v="1899-12-30T00:40:00"/>
    <n v="1787.3388999999997"/>
    <n v="0.60000000000000087"/>
    <n v="3.3333333333334103E-2"/>
    <n v="3.3333333333334103E-2"/>
    <n v="0.56669999999999998"/>
    <n v="0.6"/>
    <n v="1.5"/>
    <n v="-0.93330000000000002"/>
    <n v="-3.3333333333334103E-2"/>
    <n v="-0.93330000000000002"/>
    <n v="-0.93330000000000002"/>
    <n v="-0.93330000000000002"/>
    <n v="-0.93330000000000002"/>
    <n v="-0.93330000000000002"/>
    <n v="-0.93330000000000002"/>
    <n v="-6.6666666666666763E-2"/>
    <n v="-0.93330000000000002"/>
    <n v="-0.93330000000000002"/>
  </r>
  <r>
    <s v="OTLK"/>
    <x v="51"/>
    <d v="2019-05-17T00:00:00"/>
    <d v="1899-12-30T09:57:00"/>
    <d v="1899-12-30T10:04:00"/>
    <n v="20.34"/>
    <n v="680.54"/>
    <n v="2000"/>
    <s v="BO"/>
    <s v="BUY"/>
    <n v="2.12"/>
    <n v="2.1190000000000002"/>
    <n v="2.02"/>
    <n v="2.46"/>
    <n v="2.72"/>
    <n v="2.1"/>
    <n v="2.72"/>
    <n v="2.72"/>
    <b v="0"/>
    <b v="0"/>
    <b v="1"/>
    <m/>
    <b v="0"/>
    <m/>
    <m/>
    <b v="0"/>
    <b v="0"/>
    <x v="1"/>
    <x v="1"/>
    <s v="Healthcare"/>
    <n v="118"/>
    <m/>
    <s v="H"/>
    <s v="ST"/>
    <n v="14.4"/>
    <n v="0.85"/>
    <n v="0.3"/>
    <s v="otlk_001.png"/>
    <n v="6.0099999999999945"/>
    <n v="-0.19000000000000111"/>
    <x v="1"/>
    <n v="660.19999999999993"/>
    <d v="1899-12-30T00:07:00"/>
    <n v="2447.5388999999996"/>
    <n v="5.9999999999999956"/>
    <n v="-9.9999999999988987E-3"/>
    <n v="-9.9999999999988987E-3"/>
    <n v="6.01"/>
    <n v="6"/>
    <n v="2.5999999999999996"/>
    <n v="3.41"/>
    <n v="3.41"/>
    <n v="3.41"/>
    <n v="3.41"/>
    <n v="3.41"/>
    <n v="3.41"/>
    <n v="3.41"/>
    <n v="3.41"/>
    <n v="3.41"/>
    <n v="2.5099999999999989"/>
    <n v="3.0099999999999989"/>
  </r>
  <r>
    <s v="RBZ"/>
    <x v="52"/>
    <d v="2019-05-17T00:00:00"/>
    <d v="1899-12-30T10:45:00"/>
    <d v="1899-12-30T10:48:00"/>
    <n v="10.25"/>
    <n v="-205.38"/>
    <n v="1000"/>
    <s v="BO"/>
    <s v="BUY"/>
    <n v="6.62"/>
    <n v="6.63"/>
    <n v="6.42"/>
    <n v="6.4249999999999998"/>
    <n v="6.72"/>
    <n v="6.42"/>
    <n v="6.72"/>
    <n v="6.72"/>
    <b v="0"/>
    <b v="0"/>
    <b v="0"/>
    <b v="0"/>
    <b v="0"/>
    <m/>
    <m/>
    <b v="0"/>
    <b v="0"/>
    <x v="0"/>
    <x v="0"/>
    <s v="Services"/>
    <n v="6"/>
    <m/>
    <s v="C"/>
    <s v="P"/>
    <n v="3.66"/>
    <n v="0.85"/>
    <n v="2"/>
    <s v="rbz.png"/>
    <n v="0.4499999999999989"/>
    <n v="-1.0499999999999989"/>
    <x v="0"/>
    <n v="-215.63"/>
    <d v="1899-12-30T00:03:00"/>
    <n v="2231.9088999999994"/>
    <n v="0.49999999999999778"/>
    <n v="4.9999999999998934E-2"/>
    <n v="4.9999999999998934E-2"/>
    <n v="0.45"/>
    <n v="0.5"/>
    <n v="1.4749999999999999"/>
    <n v="-1.0249999999999999"/>
    <n v="-1.0249999999999999"/>
    <n v="-1.0249999999999999"/>
    <n v="-1.0249999999999999"/>
    <n v="-1.0249999999999999"/>
    <n v="-1.0249999999999999"/>
    <n v="-1.0249999999999999"/>
    <n v="-1.0249999999999999"/>
    <n v="-1.0249999999999999"/>
    <n v="-1.0249999999999999"/>
    <n v="-1.0249999999999999"/>
  </r>
  <r>
    <s v="OTLK"/>
    <x v="53"/>
    <d v="2019-05-17T00:00:00"/>
    <d v="1899-12-30T10:54:00"/>
    <d v="1899-12-30T10:22:00"/>
    <n v="14.52"/>
    <n v="-196.92999999999998"/>
    <n v="1428"/>
    <s v="BO"/>
    <s v="BUY"/>
    <n v="2.4500000000000002"/>
    <n v="2.4489999999999998"/>
    <n v="2.31"/>
    <n v="2.3119999999999998"/>
    <n v="2.5499999999999998"/>
    <n v="2.3119999999999998"/>
    <n v="2.5499999999999998"/>
    <n v="2.5499999999999998"/>
    <b v="0"/>
    <b v="0"/>
    <b v="0"/>
    <b v="0"/>
    <b v="0"/>
    <m/>
    <m/>
    <n v="2.4300000000000002"/>
    <b v="0"/>
    <x v="0"/>
    <x v="2"/>
    <s v="Healthcare"/>
    <n v="118"/>
    <m/>
    <s v="H"/>
    <s v="F"/>
    <n v="14.4"/>
    <n v="0.85"/>
    <n v="0.3"/>
    <s v="otlk_001.png"/>
    <n v="0.72142857142857064"/>
    <n v="-0.97857142857142776"/>
    <x v="0"/>
    <n v="-211.45"/>
    <n v="-2.2222222222222199E-2"/>
    <n v="2020.4588999999994"/>
    <n v="0.71428571428571108"/>
    <n v="-7.14285714285956E-3"/>
    <n v="-7.14285714285956E-3"/>
    <n v="0.72140000000000004"/>
    <n v="0.71430000000000005"/>
    <n v="1.7000000000000002"/>
    <n v="-0.97860000000000003"/>
    <n v="-0.97860000000000003"/>
    <n v="-0.97860000000000003"/>
    <n v="-0.97860000000000003"/>
    <n v="-0.97860000000000003"/>
    <n v="-0.97860000000000003"/>
    <n v="-0.97860000000000003"/>
    <n v="-0.97860000000000003"/>
    <n v="-0.13571428571428334"/>
    <n v="-0.97860000000000003"/>
    <n v="-0.97860000000000003"/>
  </r>
  <r>
    <s v="CANF"/>
    <x v="54"/>
    <d v="2019-05-20T00:00:00"/>
    <d v="1899-12-30T09:45:00"/>
    <d v="1899-12-30T09:50:00"/>
    <n v="3.13"/>
    <n v="-327"/>
    <n v="500"/>
    <s v="BO"/>
    <s v="BUY"/>
    <n v="7.75"/>
    <n v="7.78"/>
    <n v="7.15"/>
    <n v="7.13"/>
    <n v="7.88"/>
    <n v="7.13"/>
    <n v="7.88"/>
    <n v="7.88"/>
    <b v="0"/>
    <b v="0"/>
    <b v="0"/>
    <b v="0"/>
    <b v="0"/>
    <m/>
    <m/>
    <b v="0"/>
    <b v="0"/>
    <x v="0"/>
    <x v="0"/>
    <s v="Healthcare"/>
    <n v="270"/>
    <m/>
    <s v="C"/>
    <s v="F"/>
    <n v="1.38"/>
    <n v="0.23"/>
    <n v="2"/>
    <s v="canf.png"/>
    <n v="0.16666666666666619"/>
    <n v="-1.0833333333333346"/>
    <x v="0"/>
    <n v="-330.13"/>
    <d v="1899-12-30T00:05:00"/>
    <n v="1690.3288999999995"/>
    <n v="0.21666666666666662"/>
    <n v="5.0000000000000488E-2"/>
    <n v="5.0000000000000488E-2"/>
    <n v="0.16669999999999999"/>
    <n v="0.2167"/>
    <n v="1.25"/>
    <n v="-1.0832999999999999"/>
    <n v="-1.0832999999999999"/>
    <n v="-1.0832999999999999"/>
    <n v="-1.0832999999999999"/>
    <n v="-1.0832999999999999"/>
    <n v="-1.0832999999999999"/>
    <n v="-1.0832999999999999"/>
    <n v="-1.0832999999999999"/>
    <n v="-1.0832999999999999"/>
    <n v="-1.0832999999999999"/>
    <n v="-1.0832999999999999"/>
  </r>
  <r>
    <s v="CANF"/>
    <x v="55"/>
    <d v="2019-05-20T00:00:00"/>
    <d v="1899-12-30T09:57:00"/>
    <d v="1899-12-30T10:01:00"/>
    <n v="3.13"/>
    <n v="-331.4"/>
    <n v="500"/>
    <s v="BO"/>
    <s v="BUY"/>
    <n v="7.7"/>
    <n v="7.79"/>
    <n v="7.17"/>
    <n v="7.1319999999999997"/>
    <n v="8.15"/>
    <n v="7.1319999999999997"/>
    <n v="8.15"/>
    <n v="8.15"/>
    <b v="0"/>
    <b v="0"/>
    <b v="0"/>
    <b v="0"/>
    <b v="0"/>
    <m/>
    <m/>
    <b v="0"/>
    <b v="0"/>
    <x v="0"/>
    <x v="0"/>
    <s v="Healthcare"/>
    <n v="270"/>
    <m/>
    <s v="C"/>
    <s v="ST"/>
    <n v="1.38"/>
    <n v="0.23"/>
    <n v="2"/>
    <s v="canf.png"/>
    <n v="0.67924528301886822"/>
    <n v="-1.2415094339622643"/>
    <x v="0"/>
    <n v="-334.53"/>
    <d v="1899-12-30T00:04:00"/>
    <n v="1355.7988999999995"/>
    <n v="0.84905660377358483"/>
    <n v="0.16981132075471672"/>
    <n v="0.16981132075471672"/>
    <n v="0.67920000000000003"/>
    <n v="0.84909999999999997"/>
    <n v="1.9207000000000001"/>
    <n v="-1.2415"/>
    <n v="-1.2415"/>
    <n v="-1.2415"/>
    <n v="-1.2415"/>
    <n v="-1.2415"/>
    <n v="-1.2415"/>
    <n v="-1.2415"/>
    <n v="-1.2415"/>
    <n v="-1.2415"/>
    <n v="-1.2415"/>
    <n v="-1.2415"/>
  </r>
  <r>
    <s v="BIOC"/>
    <x v="56"/>
    <d v="2019-05-20T00:00:00"/>
    <d v="1899-12-30T09:59:00"/>
    <d v="1899-12-30T10:27:00"/>
    <n v="76"/>
    <n v="-300"/>
    <n v="7500"/>
    <s v="BO"/>
    <s v="BUY"/>
    <n v="1.21"/>
    <n v="1.21"/>
    <n v="1.17"/>
    <n v="1.17"/>
    <n v="1.29"/>
    <n v="1.17"/>
    <n v="1.29"/>
    <n v="1.29"/>
    <n v="1.23"/>
    <b v="0"/>
    <b v="0"/>
    <m/>
    <b v="0"/>
    <m/>
    <m/>
    <b v="0"/>
    <b v="0"/>
    <x v="2"/>
    <x v="1"/>
    <s v="Healthcare"/>
    <n v="45"/>
    <m/>
    <s v="C"/>
    <s v="DT"/>
    <n v="18.66"/>
    <n v="0.23"/>
    <n v="4.4000000000000004"/>
    <s v="BIOC.png"/>
    <n v="2"/>
    <n v="-1"/>
    <x v="0"/>
    <n v="-376"/>
    <d v="1899-12-30T00:28:00"/>
    <n v="979.79889999999955"/>
    <n v="2"/>
    <n v="0"/>
    <n v="0"/>
    <n v="2"/>
    <n v="2"/>
    <n v="3"/>
    <n v="-1"/>
    <n v="-1"/>
    <n v="-1"/>
    <n v="-1"/>
    <n v="-1"/>
    <n v="0.5"/>
    <n v="-1"/>
    <n v="-1"/>
    <n v="-1"/>
    <n v="-1"/>
    <n v="-1"/>
  </r>
  <r>
    <s v="NVCN"/>
    <x v="57"/>
    <d v="2019-05-23T00:00:00"/>
    <d v="1899-12-30T10:09:00"/>
    <d v="1899-12-30T10:17:00"/>
    <n v="50.6"/>
    <n v="-197"/>
    <n v="5000"/>
    <s v="BO"/>
    <s v="BUY"/>
    <n v="0.80600000000000005"/>
    <n v="0.80769999999999997"/>
    <n v="0.76600000000000001"/>
    <n v="0.76819999999999999"/>
    <n v="0.81"/>
    <n v="0.76600000000000001"/>
    <n v="0.81"/>
    <n v="0.81"/>
    <b v="0"/>
    <b v="0"/>
    <b v="0"/>
    <b v="0"/>
    <b v="0"/>
    <m/>
    <m/>
    <b v="0"/>
    <n v="0.80500000000000005"/>
    <x v="0"/>
    <x v="3"/>
    <s v="Healthcare"/>
    <n v="88"/>
    <m/>
    <s v="C"/>
    <s v="ST"/>
    <n v="37.99"/>
    <n v="-0.67"/>
    <n v="2.1"/>
    <s v="NVCN.png"/>
    <n v="5.7500000000001945E-2"/>
    <n v="-1.042499999999998"/>
    <x v="0"/>
    <n v="-247.6"/>
    <d v="1899-12-30T00:08:00"/>
    <n v="732.19889999999953"/>
    <n v="0.1"/>
    <n v="4.2499999999997984E-2"/>
    <n v="4.2499999999997984E-2"/>
    <n v="5.7500000000000002E-2"/>
    <n v="0.1"/>
    <n v="1.0450000000000002"/>
    <n v="-0.98750000000000004"/>
    <n v="-0.98750000000000004"/>
    <n v="-0.98750000000000004"/>
    <n v="-0.98750000000000004"/>
    <n v="-0.98750000000000004"/>
    <n v="-0.98750000000000004"/>
    <n v="-0.98750000000000004"/>
    <n v="-6.7499999999998062E-2"/>
    <n v="-0.98750000000000004"/>
    <n v="-0.98750000000000004"/>
    <n v="-0.98750000000000004"/>
  </r>
  <r>
    <s v="CYCC"/>
    <x v="58"/>
    <d v="2019-05-24T00:00:00"/>
    <d v="1899-12-30T09:35:00"/>
    <d v="1899-12-30T09:39:00"/>
    <n v="67.59"/>
    <n v="661.27"/>
    <n v="6666"/>
    <s v="BO"/>
    <s v="BUY"/>
    <n v="0.88500000000000001"/>
    <n v="0.89500000000000002"/>
    <n v="0.85499999999999998"/>
    <n v="0.99399999999999999"/>
    <n v="0.99399999999999999"/>
    <n v="0.88900000000000001"/>
    <n v="1.02"/>
    <n v="1.02"/>
    <b v="0"/>
    <b v="0"/>
    <b v="1"/>
    <m/>
    <b v="0"/>
    <m/>
    <m/>
    <b v="0"/>
    <b v="0"/>
    <x v="1"/>
    <x v="1"/>
    <s v="Healthcare"/>
    <n v="76"/>
    <m/>
    <s v="H"/>
    <s v="AT"/>
    <n v="14.8"/>
    <n v="-0.35"/>
    <n v="0.7"/>
    <s v="CYCC.png"/>
    <n v="3.2999999999999963"/>
    <n v="-0.2"/>
    <x v="1"/>
    <n v="593.67999999999995"/>
    <d v="1899-12-30T00:04:00"/>
    <n v="1325.8788999999995"/>
    <n v="4.4999999999999964"/>
    <n v="0.33333333333333326"/>
    <n v="0.33333333333333326"/>
    <n v="4.1666999999999996"/>
    <n v="4.5"/>
    <n v="0.8666999999999998"/>
    <n v="3.3"/>
    <n v="3.3"/>
    <n v="3.3"/>
    <n v="3.3"/>
    <n v="3.3"/>
    <n v="3.3"/>
    <n v="3.3"/>
    <n v="3.3"/>
    <n v="3.3"/>
    <n v="2.166666666666667"/>
    <n v="2.666666666666667"/>
  </r>
  <r>
    <s v="CYCC"/>
    <x v="59"/>
    <d v="2019-05-24T00:00:00"/>
    <d v="1899-12-30T09:50:00"/>
    <d v="1899-12-30T09:51:00"/>
    <n v="33.79"/>
    <n v="-258.75"/>
    <n v="3333"/>
    <s v="BO"/>
    <s v="BUY"/>
    <n v="0.99050000000000005"/>
    <n v="0.99760000000000004"/>
    <n v="0.91800000000000004"/>
    <n v="0.92"/>
    <n v="1"/>
    <n v="0.91800000000000004"/>
    <n v="1"/>
    <n v="1"/>
    <b v="0"/>
    <b v="0"/>
    <b v="0"/>
    <b v="0"/>
    <b v="0"/>
    <m/>
    <m/>
    <b v="0"/>
    <b v="0"/>
    <x v="0"/>
    <x v="1"/>
    <s v="Healthcare"/>
    <n v="76"/>
    <m/>
    <s v="H"/>
    <s v="ST"/>
    <n v="14.8"/>
    <n v="-0.35"/>
    <n v="0.7"/>
    <s v="CYCC.png"/>
    <n v="3.310344827586148E-2"/>
    <n v="-1.0979310344827586"/>
    <x v="0"/>
    <n v="-292.54000000000002"/>
    <d v="1899-12-30T00:01:00"/>
    <n v="1033.3388999999995"/>
    <n v="0.13103448275862004"/>
    <n v="9.7931034482758639E-2"/>
    <n v="9.7931034482758639E-2"/>
    <n v="3.3099999999999997E-2"/>
    <n v="0.13100000000000001"/>
    <n v="1.1033999999999999"/>
    <n v="-1.0703"/>
    <n v="-1.0703"/>
    <n v="-1.0703"/>
    <n v="-1.0703"/>
    <n v="-1.0703"/>
    <n v="-1.0703"/>
    <n v="-1.0703"/>
    <n v="-1.0703"/>
    <n v="-1.0703"/>
    <n v="-1.0703"/>
    <n v="-1.0703"/>
  </r>
  <r>
    <s v="RVLT"/>
    <x v="60"/>
    <d v="2019-05-24T00:00:00"/>
    <d v="1899-12-30T10:10:00"/>
    <d v="1899-12-30T10:19:00"/>
    <n v="30.21"/>
    <n v="-217.91"/>
    <n v="3333"/>
    <s v="BO"/>
    <s v="BUY"/>
    <n v="0.45350000000000001"/>
    <n v="0.45900000000000002"/>
    <n v="0.39300000000000002"/>
    <n v="0.39300000000000002"/>
    <n v="0.45900000000000002"/>
    <n v="0.39300000000000002"/>
    <n v="0.45900000000000002"/>
    <n v="0.45900000000000002"/>
    <b v="0"/>
    <b v="0"/>
    <b v="0"/>
    <b v="0"/>
    <b v="0"/>
    <m/>
    <m/>
    <b v="1"/>
    <b v="0"/>
    <x v="0"/>
    <x v="1"/>
    <s v="Technology"/>
    <n v="92"/>
    <m/>
    <s v="C"/>
    <s v="F"/>
    <n v="11.5"/>
    <n v="-0.35"/>
    <n v="10.6"/>
    <s v="RVLT.png"/>
    <n v="0"/>
    <n v="-1.0909090909090911"/>
    <x v="0"/>
    <n v="-248.12"/>
    <d v="1899-12-30T00:09:00"/>
    <n v="785.21889999999951"/>
    <n v="9.0909090909090995E-2"/>
    <n v="9.090909090909105E-2"/>
    <n v="9.090909090909105E-2"/>
    <n v="0"/>
    <n v="9.0899999999999995E-2"/>
    <n v="1.0909"/>
    <n v="-1.0909"/>
    <n v="-1.0909"/>
    <n v="-1.0909"/>
    <n v="-1.0909"/>
    <n v="-1.0909"/>
    <n v="-1.0909"/>
    <n v="-1.0909"/>
    <n v="-1.0909"/>
    <n v="8.9421487603305767"/>
    <n v="-1.0909"/>
    <n v="-1.0909"/>
  </r>
  <r>
    <s v="RVLT"/>
    <x v="61"/>
    <d v="2019-05-24T00:00:00"/>
    <d v="1899-12-30T10:38:00"/>
    <d v="1899-12-30T10:46:00"/>
    <n v="33.75"/>
    <n v="-95.03"/>
    <n v="3333"/>
    <s v="BO"/>
    <s v="BUY"/>
    <n v="0.443"/>
    <n v="0.44890000000000002"/>
    <n v="0.38300000000000001"/>
    <n v="0.42"/>
    <n v="0.48899999999999999"/>
    <n v="0.41799999999999998"/>
    <n v="0.48899999999999999"/>
    <n v="0.48899999999999999"/>
    <b v="0"/>
    <b v="0"/>
    <b v="0"/>
    <b v="0"/>
    <b v="0"/>
    <m/>
    <m/>
    <b v="0"/>
    <b v="0"/>
    <x v="0"/>
    <x v="1"/>
    <s v="Technology"/>
    <n v="92"/>
    <m/>
    <s v="C"/>
    <s v="ST"/>
    <n v="11.5"/>
    <n v="-0.35"/>
    <n v="10.6"/>
    <s v="RVLT.png"/>
    <n v="0.66833333333333289"/>
    <n v="-0.51500000000000068"/>
    <x v="0"/>
    <n v="-128.78"/>
    <d v="1899-12-30T00:08:00"/>
    <n v="656.43889999999953"/>
    <n v="0.7666666666666665"/>
    <n v="9.8333333333333606E-2"/>
    <n v="9.8333333333333606E-2"/>
    <n v="0.66830000000000001"/>
    <n v="0.76670000000000005"/>
    <n v="1.1499999999999999"/>
    <n v="-0.48170000000000002"/>
    <n v="-0.48170000000000002"/>
    <n v="-0.48170000000000002"/>
    <n v="-0.48170000000000002"/>
    <n v="-0.48170000000000002"/>
    <n v="-0.48170000000000002"/>
    <n v="-0.48170000000000002"/>
    <n v="-0.48170000000000002"/>
    <n v="-0.48170000000000002"/>
    <n v="-0.48170000000000002"/>
    <n v="-0.48170000000000002"/>
  </r>
  <r>
    <s v="SOLY"/>
    <x v="62"/>
    <d v="2019-05-25T00:00:00"/>
    <d v="1899-12-30T10:20:00"/>
    <d v="1899-12-30T10:26:00"/>
    <n v="3.43"/>
    <n v="-186"/>
    <n v="333"/>
    <s v="BO"/>
    <s v="BUY"/>
    <n v="9.17"/>
    <n v="9.1649999999999991"/>
    <n v="8.57"/>
    <n v="8.64"/>
    <n v="9.5"/>
    <n v="8.57"/>
    <n v="9.5"/>
    <n v="9.5"/>
    <b v="0"/>
    <b v="0"/>
    <b v="0"/>
    <b v="1"/>
    <b v="0"/>
    <m/>
    <m/>
    <b v="0"/>
    <b v="0"/>
    <x v="0"/>
    <x v="0"/>
    <s v="Healthcare"/>
    <n v="108"/>
    <m/>
    <s v="C"/>
    <s v="F"/>
    <n v="5.27"/>
    <n v="-0.02"/>
    <n v="5.17"/>
    <s v="soly.png"/>
    <n v="0.55833333333333512"/>
    <n v="-0.99166666666666536"/>
    <x v="0"/>
    <n v="-189.43"/>
    <d v="1899-12-30T00:06:00"/>
    <n v="467.00889999999953"/>
    <n v="0.55000000000000049"/>
    <n v="-8.333333333334636E-3"/>
    <n v="-8.333333333334636E-3"/>
    <n v="0.55830000000000002"/>
    <n v="0.55000000000000004"/>
    <n v="1.4333"/>
    <n v="-0.875"/>
    <n v="8.333333333334636E-3"/>
    <n v="-0.875"/>
    <n v="-0.875"/>
    <n v="-0.875"/>
    <n v="-0.875"/>
    <n v="-0.875"/>
    <n v="-0.875"/>
    <n v="-0.875"/>
    <n v="-0.875"/>
    <n v="-0.875"/>
  </r>
  <r>
    <s v="SOLY"/>
    <x v="63"/>
    <d v="2019-05-25T00:00:00"/>
    <d v="1899-12-30T10:24:00"/>
    <d v="1899-12-30T10:26:00"/>
    <n v="3.43"/>
    <n v="-186"/>
    <n v="333"/>
    <s v="BO"/>
    <s v="BUY"/>
    <n v="9.18"/>
    <n v="9.18"/>
    <n v="8.58"/>
    <n v="8.5860000000000003"/>
    <n v="9.5"/>
    <n v="8.58"/>
    <n v="9.5"/>
    <n v="9.5"/>
    <b v="0"/>
    <b v="0"/>
    <b v="0"/>
    <b v="0"/>
    <b v="0"/>
    <m/>
    <m/>
    <b v="0"/>
    <b v="0"/>
    <x v="0"/>
    <x v="0"/>
    <s v="Healthcare"/>
    <n v="108"/>
    <m/>
    <s v="C"/>
    <s v="ST"/>
    <n v="5.27"/>
    <n v="-0.02"/>
    <n v="5.17"/>
    <s v="soly.png"/>
    <n v="0.5333333333333341"/>
    <n v="-1"/>
    <x v="0"/>
    <n v="-189.43"/>
    <d v="1899-12-30T00:02:00"/>
    <n v="277.57889999999952"/>
    <n v="0.5333333333333341"/>
    <n v="0"/>
    <n v="0"/>
    <n v="0.5333"/>
    <n v="0.5333"/>
    <n v="1.5232999999999999"/>
    <n v="-0.99"/>
    <n v="-0.99"/>
    <n v="-0.99"/>
    <n v="-0.99"/>
    <n v="-0.99"/>
    <n v="-0.99"/>
    <n v="-0.99"/>
    <n v="-0.99"/>
    <n v="-0.99"/>
    <n v="-0.99"/>
    <n v="-0.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RTTR"/>
    <x v="0"/>
    <d v="2019-05-07T00:00:00"/>
    <d v="1899-12-30T11:02:00"/>
    <d v="1899-12-30T12:28:00"/>
    <s v="TBO"/>
    <s v="SELL"/>
    <n v="1.1299999999999999"/>
    <n v="1.1100000000000001"/>
    <n v="1.1599999999999999"/>
    <n v="1.03"/>
    <n v="1.1499999999999999"/>
    <n v="1.03"/>
    <n v="1.08"/>
    <n v="1.03"/>
    <b v="0"/>
    <b v="0"/>
    <b v="1"/>
    <b v="0"/>
    <n v="1.06"/>
    <n v="2.66"/>
    <b v="0"/>
    <b v="0"/>
    <b v="0"/>
    <s v="Moderate Move"/>
    <s v="Good"/>
    <s v="Healthcare"/>
    <n v="23"/>
    <s v="Winner"/>
    <m/>
    <s v="C"/>
    <n v="50"/>
    <n v="8.17"/>
    <n v="5.12"/>
    <s v="..\Potential trades 2\TBO\RTTR.png"/>
    <n v="2.6666666666666665"/>
    <n v="-1.3333333333333259"/>
    <d v="1899-12-30T01:26:00"/>
    <s v="FALSE"/>
    <n v="232"/>
    <n v="1.6666666666666592"/>
    <n v="0.66666666666665919"/>
    <n v="0.66666666666665919"/>
    <n v="2.6667000000000001"/>
    <n v="3.3332999999999999"/>
    <n v="0"/>
    <n v="2.6667000000000001"/>
    <n v="2.6667000000000001"/>
    <n v="2.6667000000000001"/>
    <n v="2.6667000000000001"/>
    <n v="2.6667000000000001"/>
    <n v="2.6667000000000001"/>
    <n v="2.6667000000000001"/>
    <n v="2.6667000000000001"/>
    <n v="2.6667000000000001"/>
    <n v="1.8333333333333408"/>
    <n v="2.6667000000000001"/>
  </r>
  <r>
    <s v="RBZ"/>
    <x v="1"/>
    <d v="2019-05-17T00:00:00"/>
    <d v="1899-12-30T10:52:00"/>
    <d v="1899-12-30T11:14:00"/>
    <s v="TBO"/>
    <s v="SELL"/>
    <n v="6.37"/>
    <n v="6.36"/>
    <n v="6.59"/>
    <n v="6.6"/>
    <n v="6.6"/>
    <n v="6.24"/>
    <n v="6.24"/>
    <n v="6.24"/>
    <b v="0"/>
    <n v="6.5"/>
    <b v="0"/>
    <b v="0"/>
    <m/>
    <m/>
    <m/>
    <n v="6.4"/>
    <b v="0"/>
    <s v="Fast Reversal"/>
    <s v="Medium"/>
    <s v="Services"/>
    <n v="5"/>
    <s v="Loser"/>
    <n v="3"/>
    <s v="C"/>
    <n v="17"/>
    <n v="3.66"/>
    <n v="2"/>
    <s v="..\Potential trades 2\TBO\rbz_001.png"/>
    <n v="0.54545454545454652"/>
    <n v="-1.0909090909090891"/>
    <d v="1899-12-30T00:22:00"/>
    <n v="-0.63639999999999997"/>
    <n v="232"/>
    <n v="0.59090909090909105"/>
    <n v="4.5454545454544526E-2"/>
    <n v="4.5454545454544526E-2"/>
    <n v="0.54549999999999998"/>
    <n v="0.59089999999999998"/>
    <n v="1.6364000000000001"/>
    <n v="-1.0909"/>
    <n v="-1.0909"/>
    <n v="-1.0909"/>
    <n v="-1.0909"/>
    <n v="-1.0909"/>
    <n v="-1.0909"/>
    <n v="-1.0909"/>
    <n v="-1.0909"/>
    <n v="0.72727272727272874"/>
    <n v="-1.0909"/>
    <n v="-1.0909"/>
  </r>
  <r>
    <s v="RBZ"/>
    <x v="2"/>
    <d v="2019-05-17T00:00:00"/>
    <d v="1899-12-30T11:58:00"/>
    <d v="1899-12-30T14:53:00"/>
    <s v="TBO"/>
    <s v="SELL"/>
    <n v="6.3"/>
    <n v="6.3079999999999998"/>
    <n v="6.52"/>
    <n v="5.86"/>
    <n v="6.35"/>
    <n v="5.86"/>
    <b v="0"/>
    <n v="5.73"/>
    <n v="6.16"/>
    <n v="6.43"/>
    <b v="1"/>
    <m/>
    <n v="6.6"/>
    <n v="1.5"/>
    <b v="0"/>
    <b v="0"/>
    <b v="0"/>
    <s v="Strong BO"/>
    <s v="Medium"/>
    <s v="Services"/>
    <n v="5"/>
    <s v="Winner"/>
    <n v="3"/>
    <s v="C"/>
    <n v="17"/>
    <n v="3.66"/>
    <n v="2"/>
    <s v="..\Potential trades 2\TBO\rbz_001.png"/>
    <n v="2.0363636363636366"/>
    <n v="-0.19090909090909028"/>
    <d v="1899-12-30T02:55:00"/>
    <n v="-0.55449999999999999"/>
    <n v="232"/>
    <s v="FALSE"/>
    <n v="-3.6363636363636487E-2"/>
    <n v="-3.6363636363636487E-2"/>
    <n v="2.6273"/>
    <n v="2.5909"/>
    <n v="0.59089999999999998"/>
    <n v="2.0364"/>
    <n v="2.0364"/>
    <n v="2.0364"/>
    <n v="2.0364"/>
    <n v="2.0364"/>
    <n v="0.67272727272727206"/>
    <n v="2.0364"/>
    <n v="2.0364"/>
    <n v="2.0364"/>
    <n v="2.0364"/>
    <n v="2.0364"/>
  </r>
  <r>
    <s v="NVAX"/>
    <x v="3"/>
    <d v="2019-05-20T00:00:00"/>
    <d v="1899-12-30T11:17:00"/>
    <d v="1899-12-30T15:01:00"/>
    <s v="TBO"/>
    <s v="SELL"/>
    <n v="6.36"/>
    <n v="6.36"/>
    <n v="6.45"/>
    <n v="6.16"/>
    <n v="6.42"/>
    <n v="6.16"/>
    <n v="6.23"/>
    <n v="6.03"/>
    <b v="0"/>
    <n v="6.43"/>
    <b v="1"/>
    <b v="1"/>
    <b v="0"/>
    <m/>
    <m/>
    <n v="6.37"/>
    <b v="0"/>
    <s v="Fast Reversal"/>
    <s v="Good"/>
    <s v="Healthcare"/>
    <n v="1.5"/>
    <s v="Winner"/>
    <n v="1.3"/>
    <s v="H"/>
    <n v="9.2799999999999994"/>
    <n v="23"/>
    <n v="17.8"/>
    <s v="..\Potential trades 2\TBO\NVAX.png"/>
    <n v="2.2222222222222276"/>
    <n v="-0.66666666666666341"/>
    <d v="1899-12-30T03:44:00"/>
    <n v="-0.77780000000000005"/>
    <n v="232"/>
    <n v="1.4444444444444455"/>
    <n v="0"/>
    <n v="0"/>
    <n v="3.6667000000000001"/>
    <n v="3.6667000000000001"/>
    <n v="1.4445000000000001"/>
    <n v="2.2222"/>
    <n v="0"/>
    <n v="2.2222"/>
    <n v="2.2222"/>
    <n v="2.2222"/>
    <n v="2.2222"/>
    <n v="2.2222"/>
    <n v="2.2222"/>
    <n v="2.3333333333333366"/>
    <n v="2.5"/>
    <n v="3"/>
  </r>
  <r>
    <s v="AFH"/>
    <x v="4"/>
    <d v="2019-05-20T00:00:00"/>
    <d v="1899-12-30T12:00:00"/>
    <d v="1899-12-30T15:28:00"/>
    <s v="TBO"/>
    <s v="SELL"/>
    <n v="1.02"/>
    <n v="1.02"/>
    <n v="1.06"/>
    <n v="0.95"/>
    <n v="1.03"/>
    <n v="0.95"/>
    <n v="0.96"/>
    <n v="0.87"/>
    <b v="0"/>
    <b v="0"/>
    <b v="1"/>
    <m/>
    <n v="0.98"/>
    <n v="1.9"/>
    <b v="0"/>
    <b v="0"/>
    <b v="0"/>
    <s v="Moderate Move"/>
    <s v="Good"/>
    <s v="Financial"/>
    <n v="3"/>
    <s v="Winner"/>
    <n v="2.1"/>
    <s v="H"/>
    <n v="22.8"/>
    <n v="9.9700000000000006"/>
    <n v="4.2"/>
    <s v="..\Potential trades 2\TBO\afh.png"/>
    <n v="1.75"/>
    <n v="-0.25"/>
    <d v="1899-12-30T03:28:00"/>
    <s v="FALSE"/>
    <n v="232"/>
    <n v="1.5"/>
    <n v="0"/>
    <n v="0"/>
    <n v="3.75"/>
    <n v="3.75"/>
    <n v="2"/>
    <n v="1.75"/>
    <n v="1.75"/>
    <n v="1.75"/>
    <n v="1.75"/>
    <n v="1.75"/>
    <n v="1.75"/>
    <n v="1.75"/>
    <n v="1.75"/>
    <n v="1.75"/>
    <n v="1.75"/>
    <n v="1.75"/>
  </r>
  <r>
    <s v="NOVN"/>
    <x v="5"/>
    <d v="2019-05-22T00:00:00"/>
    <d v="1899-12-30T10:40:00"/>
    <d v="1899-12-30T10:49:00"/>
    <s v="TBO"/>
    <s v="SELL"/>
    <n v="2.2400000000000002"/>
    <n v="2.2400000000000002"/>
    <n v="2.31"/>
    <n v="2.31"/>
    <n v="2.31"/>
    <n v="2.23"/>
    <n v="2.23"/>
    <n v="2.23"/>
    <b v="0"/>
    <b v="0"/>
    <b v="0"/>
    <b v="0"/>
    <b v="0"/>
    <m/>
    <m/>
    <b v="0"/>
    <b v="0"/>
    <s v="Fast Reversal"/>
    <s v="NONE"/>
    <s v="Healthcare"/>
    <n v="3.95"/>
    <s v="Loser"/>
    <m/>
    <s v="H"/>
    <n v="30.4"/>
    <n v="16.8"/>
    <n v="0.5"/>
    <s v="..\Potential trades 2\TBO\novn.png"/>
    <n v="0.14285714285714649"/>
    <n v="-1"/>
    <d v="1899-12-30T00:09:00"/>
    <s v="FALSE"/>
    <n v="232"/>
    <n v="0.14285714285714649"/>
    <n v="0"/>
    <n v="0"/>
    <n v="0.1429"/>
    <n v="0.1429"/>
    <n v="1.1429"/>
    <n v="-1"/>
    <n v="-1"/>
    <n v="-1"/>
    <n v="-1"/>
    <n v="-1"/>
    <n v="-1"/>
    <n v="-1"/>
    <n v="-1"/>
    <n v="-1"/>
    <n v="-1"/>
    <n v="-1"/>
  </r>
  <r>
    <s v="ZSAN"/>
    <x v="6"/>
    <d v="2019-05-22T00:00:00"/>
    <d v="1899-12-30T10:34:00"/>
    <d v="1899-12-30T13:33:00"/>
    <s v="TBO"/>
    <s v="SELL"/>
    <n v="2.92"/>
    <n v="2.903"/>
    <n v="3"/>
    <n v="2.71"/>
    <n v="2.96"/>
    <n v="2.71"/>
    <n v="2.86"/>
    <n v="2.7"/>
    <b v="0"/>
    <b v="0"/>
    <b v="1"/>
    <m/>
    <n v="2.81"/>
    <n v="1.7"/>
    <b v="0"/>
    <b v="0"/>
    <b v="0"/>
    <s v="Moderate Move"/>
    <s v="Bad"/>
    <s v="Healthcare"/>
    <n v="1.26"/>
    <s v="Winner"/>
    <n v="1.5"/>
    <s v="H"/>
    <n v="14.8"/>
    <n v="9.9700000000000006"/>
    <n v="4.29"/>
    <s v="..\Potential trades 2\TBO\ZSAN_001.png"/>
    <n v="2.4124999999999988"/>
    <n v="-0.71249999999999858"/>
    <d v="1899-12-30T02:59:00"/>
    <s v="FALSE"/>
    <n v="232"/>
    <n v="0.75"/>
    <n v="0.21249999999999858"/>
    <n v="0.21249999999999858"/>
    <n v="2.5375000000000001"/>
    <n v="2.75"/>
    <n v="0.125"/>
    <n v="2.4125000000000001"/>
    <n v="2.4125000000000001"/>
    <n v="2.4125000000000001"/>
    <n v="2.4125000000000001"/>
    <n v="2.4125000000000001"/>
    <n v="2.4125000000000001"/>
    <n v="2.4125000000000001"/>
    <n v="2.4125000000000001"/>
    <n v="2.4125000000000001"/>
    <n v="2.4125000000000001"/>
    <n v="2.4125000000000001"/>
  </r>
  <r>
    <s v="EMES"/>
    <x v="7"/>
    <d v="2019-05-23T00:00:00"/>
    <d v="1899-12-30T11:23:00"/>
    <d v="1899-12-30T14:47:00"/>
    <s v="TBO"/>
    <s v="SELL"/>
    <n v="0.376"/>
    <n v="0.376"/>
    <n v="0.41599999999999998"/>
    <n v="0.41599999999999998"/>
    <n v="0.41599999999999998"/>
    <n v="0.32"/>
    <n v="0.32"/>
    <n v="0.32"/>
    <b v="0"/>
    <b v="0"/>
    <b v="0"/>
    <m/>
    <b v="0"/>
    <m/>
    <m/>
    <b v="0"/>
    <b v="0"/>
    <s v="Moderate Move"/>
    <s v="Medium"/>
    <s v="Basic Materials"/>
    <n v="20"/>
    <s v="Loser"/>
    <n v="30"/>
    <s v="H"/>
    <n v="155"/>
    <n v="21.9"/>
    <n v="4.8"/>
    <s v="..\Potential trades 2\TBO\emes.png"/>
    <n v="1.4000000000000006"/>
    <n v="-1"/>
    <d v="1899-12-30T03:24:00"/>
    <s v="FALSE"/>
    <n v="232"/>
    <n v="1.4000000000000006"/>
    <n v="0"/>
    <n v="0"/>
    <n v="1.4"/>
    <n v="1.4"/>
    <n v="2.4"/>
    <n v="-1"/>
    <n v="-1"/>
    <n v="-1"/>
    <n v="-1"/>
    <n v="-1"/>
    <n v="-1"/>
    <n v="-1"/>
    <n v="-1"/>
    <n v="-1"/>
    <n v="-1"/>
    <n v="-1"/>
  </r>
  <r>
    <s v="SUNW"/>
    <x v="8"/>
    <d v="2019-05-23T00:00:00"/>
    <d v="1899-12-30T10:47:00"/>
    <d v="1899-12-30T15:46:00"/>
    <s v="TBO"/>
    <s v="SELL"/>
    <n v="0.77400000000000002"/>
    <n v="0.77400000000000002"/>
    <n v="0.81"/>
    <n v="0.73799999999999999"/>
    <n v="0.77400000000000002"/>
    <n v="0.7"/>
    <n v="0.73"/>
    <n v="0.7"/>
    <b v="0"/>
    <b v="0"/>
    <b v="0"/>
    <m/>
    <b v="0"/>
    <m/>
    <m/>
    <b v="0"/>
    <b v="0"/>
    <s v="Moderate Move"/>
    <s v="Bad"/>
    <s v="Technology"/>
    <n v="3"/>
    <s v="Winner"/>
    <n v="1.1000000000000001"/>
    <s v="C"/>
    <n v="25.8"/>
    <n v="23.4"/>
    <n v="2.4"/>
    <s v="..\Potential trades 2\TBO\sunw_.png"/>
    <n v="2.0555555555555554"/>
    <n v="0"/>
    <d v="1899-12-30T04:59:00"/>
    <s v="FALSE"/>
    <n v="232"/>
    <n v="1.2222222222222223"/>
    <n v="0"/>
    <n v="0"/>
    <n v="2.0556000000000001"/>
    <n v="2.0556000000000001"/>
    <n v="1.0556000000000001"/>
    <n v="1"/>
    <n v="1"/>
    <n v="1"/>
    <n v="1"/>
    <n v="1"/>
    <n v="1"/>
    <n v="1"/>
    <n v="1"/>
    <n v="1"/>
    <n v="1"/>
    <n v="1"/>
  </r>
  <r>
    <s v="BIOC"/>
    <x v="9"/>
    <d v="2019-05-24T00:00:00"/>
    <d v="1899-12-30T11:42:00"/>
    <d v="1899-12-30T15:53:00"/>
    <s v="TBO"/>
    <s v="SELL"/>
    <n v="1.36"/>
    <n v="1.35"/>
    <n v="1.42"/>
    <n v="1.19"/>
    <n v="1.36"/>
    <n v="1.19"/>
    <n v="1.24"/>
    <n v="1.1599999999999999"/>
    <b v="0"/>
    <b v="0"/>
    <b v="1"/>
    <m/>
    <b v="0"/>
    <m/>
    <m/>
    <b v="0"/>
    <b v="0"/>
    <s v="Strong BO"/>
    <s v="Good"/>
    <s v="Healthcare"/>
    <n v="5"/>
    <s v="Winner"/>
    <n v="11"/>
    <s v="H"/>
    <n v="30.7"/>
    <n v="18"/>
    <n v="4.4000000000000004"/>
    <s v="..\Potential trades 2\TBO\BIOC.png"/>
    <n v="2.6666666666666767"/>
    <n v="-0.1666666666666673"/>
    <d v="1899-12-30T04:11:00"/>
    <s v="FALSE"/>
    <n v="232"/>
    <n v="2.0000000000000075"/>
    <n v="0.16666666666666718"/>
    <n v="0.16666666666666718"/>
    <n v="3.1667000000000001"/>
    <n v="3.3332999999999999"/>
    <n v="0.5"/>
    <n v="2.6667000000000001"/>
    <n v="2.6667000000000001"/>
    <n v="2.6667000000000001"/>
    <n v="2.6667000000000001"/>
    <n v="2.6667000000000001"/>
    <n v="2.6667000000000001"/>
    <n v="2.6667000000000001"/>
    <n v="2.6667000000000001"/>
    <n v="2.6667000000000001"/>
    <n v="2.333333333333333"/>
    <n v="2.833333333333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B55D6-E05A-4F69-A39A-1DAFECEE2545}" name="PivotTable3"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H4" firstHeaderRow="0" firstDataRow="1" firstDataCol="0"/>
  <pivotFields count="61">
    <pivotField showAll="0"/>
    <pivotField multipleItemSelectionAllowed="1" showAll="0"/>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showAll="0"/>
    <pivotField showAll="0"/>
    <pivotField showAll="0"/>
    <pivotField numFmtId="167" showAll="0"/>
    <pivotField showAll="0"/>
    <pivotField numFmtId="167" showAll="0"/>
    <pivotField numFmtId="167" showAll="0"/>
    <pivotField dataField="1" showAll="0"/>
    <pivotField dataField="1" showAll="0"/>
    <pivotField dataField="1" showAll="0"/>
    <pivotField dataField="1" showAll="0"/>
    <pivotField dataField="1" showAll="0"/>
    <pivotField dataField="1" showAll="0"/>
    <pivotField showAll="0"/>
    <pivotField showAll="0"/>
    <pivotField showAll="0"/>
    <pivotField dataField="1" showAll="0"/>
    <pivotField dataField="1" showAll="0"/>
  </pivotFields>
  <rowItems count="1">
    <i/>
  </rowItems>
  <colFields count="1">
    <field x="-2"/>
  </colFields>
  <colItems count="8">
    <i>
      <x/>
    </i>
    <i i="1">
      <x v="1"/>
    </i>
    <i i="2">
      <x v="2"/>
    </i>
    <i i="3">
      <x v="3"/>
    </i>
    <i i="4">
      <x v="4"/>
    </i>
    <i i="5">
      <x v="5"/>
    </i>
    <i i="6">
      <x v="6"/>
    </i>
    <i i="7">
      <x v="7"/>
    </i>
  </colItems>
  <dataFields count="8">
    <dataField name="סכום של RRR Realized" fld="50" baseField="0" baseItem="0"/>
    <dataField name="סכום של RRR at 2.5" fld="59" baseField="0" baseItem="0"/>
    <dataField name="סכום של RRR at 3" fld="60" baseField="0" baseItem="0"/>
    <dataField name="סכום של  Fast Reversal at 0" fld="51" baseField="0" baseItem="0"/>
    <dataField name="סכום של  Fast Reversal at 1" fld="52" baseField="0" baseItem="0"/>
    <dataField name="סכום של  Fast Reversal at 1.5" fld="53" baseField="0" baseItem="0"/>
    <dataField name="סכום של  Fast Reversal at 2" fld="54" baseField="0" baseItem="0"/>
    <dataField name="סכום של  with SL at pattern break" fld="5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4DCFB-517C-448B-91E6-61CC51B80B22}" name="PivotTable2"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3:F36" firstHeaderRow="0" firstDataRow="1" firstDataCol="1"/>
  <pivotFields count="61">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7" showAll="0"/>
    <pivotField axis="axisRow" showAll="0">
      <items count="3">
        <item x="0"/>
        <item x="1"/>
        <item t="default"/>
      </items>
    </pivotField>
    <pivotField showAll="0"/>
    <pivotField dataField="1"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40"/>
  </rowFields>
  <rowItems count="3">
    <i>
      <x/>
    </i>
    <i>
      <x v="1"/>
    </i>
    <i t="grand">
      <x/>
    </i>
  </rowItems>
  <colFields count="1">
    <field x="-2"/>
  </colFields>
  <colItems count="5">
    <i>
      <x/>
    </i>
    <i i="1">
      <x v="1"/>
    </i>
    <i i="2">
      <x v="2"/>
    </i>
    <i i="3">
      <x v="3"/>
    </i>
    <i i="4">
      <x v="4"/>
    </i>
  </colItems>
  <dataFields count="5">
    <dataField name="ספירה של No" fld="1" subtotal="count" baseField="34" baseItem="1"/>
    <dataField name="ממוצע של Time" fld="42" subtotal="average" baseField="34" baseItem="0" numFmtId="164"/>
    <dataField name="ממוצע של RRR in-trade" fld="38" subtotal="average" baseField="34" baseItem="1"/>
    <dataField name="ממוצע של Negative RRR in-trade" fld="39" subtotal="average" baseField="34" baseItem="1"/>
    <dataField name="ממוצע של Hard RRR Potential" fld="48" subtotal="average" baseField="3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DE2769-87BE-429B-A26F-7F1DEC33BE93}" name="PivotTable4"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F10:I21" firstHeaderRow="0" firstDataRow="1" firstDataCol="1"/>
  <pivotFields count="61">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2"/>
        <item x="1"/>
        <item m="1" x="4"/>
        <item m="1" x="3"/>
        <item m="1" x="5"/>
        <item t="default"/>
      </items>
    </pivotField>
    <pivotField axis="axisRow" showAll="0">
      <items count="6">
        <item x="3"/>
        <item x="1"/>
        <item x="2"/>
        <item x="0"/>
        <item m="1" x="4"/>
        <item t="default"/>
      </items>
    </pivotField>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2">
    <field x="27"/>
    <field x="28"/>
  </rowFields>
  <rowItems count="11">
    <i>
      <x/>
    </i>
    <i r="1">
      <x/>
    </i>
    <i r="1">
      <x v="1"/>
    </i>
    <i r="1">
      <x v="2"/>
    </i>
    <i r="1">
      <x v="3"/>
    </i>
    <i>
      <x v="1"/>
    </i>
    <i r="1">
      <x v="1"/>
    </i>
    <i r="1">
      <x v="2"/>
    </i>
    <i>
      <x v="2"/>
    </i>
    <i r="1">
      <x v="1"/>
    </i>
    <i t="grand">
      <x/>
    </i>
  </rowItems>
  <colFields count="1">
    <field x="-2"/>
  </colFields>
  <colItems count="3">
    <i>
      <x/>
    </i>
    <i i="1">
      <x v="1"/>
    </i>
    <i i="2">
      <x v="2"/>
    </i>
  </colItems>
  <dataFields count="3">
    <dataField name="ספירה של No" fld="1" subtotal="count" baseField="24" baseItem="0"/>
    <dataField name="ממוצע של Hard RRR Potential" fld="48" subtotal="average" baseField="24" baseItem="0"/>
    <dataField name="ממוצע של Negative RRR in-trade" fld="39"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ABE4E8-0961-462B-B0F6-7D4189321DC3}" name="PivotTable1"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10:D22" firstHeaderRow="0" firstDataRow="1" firstDataCol="1"/>
  <pivotFields count="61">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2"/>
        <item x="1"/>
        <item m="1" x="4"/>
        <item m="1" x="3"/>
        <item m="1" x="5"/>
        <item t="default"/>
      </items>
    </pivotField>
    <pivotField axis="axisRow" showAll="0">
      <items count="6">
        <item x="3"/>
        <item x="1"/>
        <item x="2"/>
        <item x="0"/>
        <item m="1" x="4"/>
        <item t="default"/>
      </items>
    </pivotField>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2">
    <field x="28"/>
    <field x="27"/>
  </rowFields>
  <rowItems count="12">
    <i>
      <x/>
    </i>
    <i r="1">
      <x/>
    </i>
    <i>
      <x v="1"/>
    </i>
    <i r="1">
      <x/>
    </i>
    <i r="1">
      <x v="1"/>
    </i>
    <i r="1">
      <x v="2"/>
    </i>
    <i>
      <x v="2"/>
    </i>
    <i r="1">
      <x/>
    </i>
    <i r="1">
      <x v="1"/>
    </i>
    <i>
      <x v="3"/>
    </i>
    <i r="1">
      <x/>
    </i>
    <i t="grand">
      <x/>
    </i>
  </rowItems>
  <colFields count="1">
    <field x="-2"/>
  </colFields>
  <colItems count="3">
    <i>
      <x/>
    </i>
    <i i="1">
      <x v="1"/>
    </i>
    <i i="2">
      <x v="2"/>
    </i>
  </colItems>
  <dataFields count="3">
    <dataField name="ספירה של No" fld="1" subtotal="count" baseField="25" baseItem="0"/>
    <dataField name="ממוצע של Hard RRR Potential" fld="48" subtotal="average" baseField="25" baseItem="0"/>
    <dataField name="ממוצע של Negative RRR in-trade" fld="39" subtotal="average"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2DD5F-7448-4C72-8E7E-DB77DE90985B}" name="PivotTable1"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B68" firstHeaderRow="1" firstDataRow="1" firstDataCol="1"/>
  <pivotFields count="2">
    <pivotField dataField="1" subtotalTop="0" showAll="0" defaultSubtotal="0"/>
    <pivotField axis="axisRow" allDrilled="1" showAll="0" sortType="ascending" dataSourceSort="1" defaultSubtotal="0"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dataFields count="1">
    <dataField name="סכום של Sum Gain" fld="0" baseField="0" baseItem="0"/>
  </dataField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91D34-493E-446D-BAFF-E1043D920076}" name="PivotTable2"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2">
  <location ref="AC4:AD15" firstHeaderRow="1" firstDataRow="1" firstDataCol="1"/>
  <pivotFields count="57">
    <pivotField showAll="0"/>
    <pivotField axis="axisRow" showAll="0">
      <items count="11">
        <item x="0"/>
        <item x="1"/>
        <item x="2"/>
        <item x="3"/>
        <item x="4"/>
        <item x="5"/>
        <item x="6"/>
        <item x="7"/>
        <item x="8"/>
        <item x="9"/>
        <item t="default"/>
      </items>
    </pivotField>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numFmtId="21" showAll="0"/>
    <pivotField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סכום של Sum Gain" fld="39"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D15EC3-ECC8-4BE3-8EBF-711F6ABB8885}" name="PivotTable3"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5">
  <location ref="Z4:AA69" firstHeaderRow="1" firstDataRow="1" firstDataCol="1"/>
  <pivotFields count="61">
    <pivotField showAll="0"/>
    <pivotField axis="axisRow" showAll="0" sortType="ascending" countSubtotal="1">
      <items count="98">
        <item m="1" x="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m="1" x="89"/>
        <item x="54"/>
        <item x="55"/>
        <item x="56"/>
        <item x="57"/>
        <item x="58"/>
        <item x="59"/>
        <item x="60"/>
        <item x="61"/>
        <item x="62"/>
        <item x="63"/>
        <item m="1" x="73"/>
        <item m="1" x="70"/>
        <item m="1" x="67"/>
        <item m="1" x="64"/>
        <item m="1" x="94"/>
        <item m="1" x="92"/>
        <item m="1" x="90"/>
        <item m="1" x="86"/>
        <item m="1" x="84"/>
        <item m="1" x="82"/>
        <item m="1" x="80"/>
        <item m="1" x="78"/>
        <item m="1" x="76"/>
        <item m="1" x="74"/>
        <item m="1" x="71"/>
        <item m="1" x="68"/>
        <item m="1" x="65"/>
        <item m="1" x="95"/>
        <item m="1" x="93"/>
        <item m="1" x="91"/>
        <item m="1" x="88"/>
        <item m="1" x="85"/>
        <item m="1" x="83"/>
        <item m="1" x="81"/>
        <item m="1" x="79"/>
        <item m="1" x="77"/>
        <item m="1" x="75"/>
        <item m="1" x="72"/>
        <item m="1" x="69"/>
        <item m="1" x="66"/>
        <item m="1" x="96"/>
        <item t="count"/>
      </items>
    </pivotField>
    <pivotField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dataField="1" showAll="0"/>
    <pivotField showAll="0"/>
    <pivotField showAll="0"/>
    <pivotField numFmtId="167" showAll="0"/>
    <pivotField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6"/>
    </i>
    <i>
      <x v="57"/>
    </i>
    <i>
      <x v="58"/>
    </i>
    <i>
      <x v="59"/>
    </i>
    <i>
      <x v="60"/>
    </i>
    <i>
      <x v="61"/>
    </i>
    <i>
      <x v="62"/>
    </i>
    <i>
      <x v="63"/>
    </i>
    <i>
      <x v="64"/>
    </i>
    <i>
      <x v="65"/>
    </i>
    <i t="grand">
      <x/>
    </i>
  </rowItems>
  <colItems count="1">
    <i/>
  </colItems>
  <dataFields count="1">
    <dataField name="סכום של Sum Gain" fld="43" baseField="1"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AF1825-D4E2-40C5-9CA6-9B2C4BB67187}" name="PivotTable2"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1">
  <location ref="B10:C75" firstHeaderRow="1" firstDataRow="1" firstDataCol="1"/>
  <pivotFields count="61">
    <pivotField showAll="0"/>
    <pivotField axis="axisRow"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m="1" x="87"/>
        <item m="1" x="89"/>
        <item x="54"/>
        <item x="55"/>
        <item x="56"/>
        <item x="57"/>
        <item x="58"/>
        <item x="59"/>
        <item x="60"/>
        <item x="61"/>
        <item x="62"/>
        <item x="63"/>
        <item m="1" x="73"/>
        <item m="1" x="70"/>
        <item m="1" x="67"/>
        <item m="1" x="64"/>
        <item m="1" x="94"/>
        <item m="1" x="92"/>
        <item m="1" x="90"/>
        <item m="1" x="86"/>
        <item m="1" x="84"/>
        <item m="1" x="82"/>
        <item m="1" x="80"/>
        <item m="1" x="78"/>
        <item m="1" x="76"/>
        <item m="1" x="74"/>
        <item m="1" x="71"/>
        <item m="1" x="68"/>
        <item m="1" x="65"/>
        <item m="1" x="95"/>
        <item m="1" x="93"/>
        <item m="1" x="91"/>
        <item m="1" x="88"/>
        <item m="1" x="85"/>
        <item m="1" x="83"/>
        <item m="1" x="81"/>
        <item m="1" x="79"/>
        <item m="1" x="77"/>
        <item m="1" x="75"/>
        <item m="1" x="72"/>
        <item m="1" x="69"/>
        <item m="1" x="66"/>
        <item m="1" x="96"/>
        <item t="default"/>
      </items>
    </pivotField>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6"/>
    </i>
    <i>
      <x v="57"/>
    </i>
    <i>
      <x v="58"/>
    </i>
    <i>
      <x v="59"/>
    </i>
    <i>
      <x v="60"/>
    </i>
    <i>
      <x v="61"/>
    </i>
    <i>
      <x v="62"/>
    </i>
    <i>
      <x v="63"/>
    </i>
    <i>
      <x v="64"/>
    </i>
    <i>
      <x v="65"/>
    </i>
    <i t="grand">
      <x/>
    </i>
  </rowItems>
  <colItems count="1">
    <i/>
  </colItems>
  <dataFields count="1">
    <dataField name="סכום של Negative RRR in-trade" fld="3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4F17B-C2DB-48E0-808B-9C783649EBBD}" name="ACTIONS" displayName="ACTIONS" ref="Q1:S8" totalsRowCount="1" headerRowDxfId="93">
  <autoFilter ref="Q1:S7" xr:uid="{7BA04AC5-5587-47D7-9DF1-76AF248AE713}">
    <filterColumn colId="0" hiddenButton="1"/>
    <filterColumn colId="1" hiddenButton="1"/>
    <filterColumn colId="2" hiddenButton="1"/>
  </autoFilter>
  <tableColumns count="3">
    <tableColumn id="1" xr3:uid="{7573492C-02E5-4684-8D79-E6BC334D7568}" name="Date" dataDxfId="92" totalsRowDxfId="91"/>
    <tableColumn id="2" xr3:uid="{5CCF5358-4EAF-4BC2-8C54-E7EBEE7BB09C}" name="Action"/>
    <tableColumn id="3" xr3:uid="{306BB871-253D-4596-B269-B72A78D759CD}" name="Amount" totalsRowDxfId="9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947B8-56FB-4131-A283-6435E2EF928A}" name="TABLE1" displayName="TABLE1" ref="A1:BM65">
  <autoFilter ref="A1:BM65" xr:uid="{55A28F25-08EC-44A8-808B-B0456C58634D}"/>
  <sortState xmlns:xlrd2="http://schemas.microsoft.com/office/spreadsheetml/2017/richdata2" ref="A2:BM65">
    <sortCondition ref="B2:B65"/>
  </sortState>
  <tableColumns count="65">
    <tableColumn id="1" xr3:uid="{18A68890-283F-49F9-BFA0-F70BF0D507B5}" name="Instrument" totalsRowLabel="סה&quot;כ"/>
    <tableColumn id="2" xr3:uid="{AD0A9644-C57C-430E-9262-2C32F4119BB7}" name="No"/>
    <tableColumn id="3" xr3:uid="{5226E4E8-B2D6-436A-BE33-AEE756B358B6}" name="Entry Date" dataDxfId="89"/>
    <tableColumn id="24" xr3:uid="{522D57FC-7211-4622-BA36-3D14242BCDF8}" name="Entry Time" dataDxfId="88"/>
    <tableColumn id="4" xr3:uid="{FD1076AA-2FF3-4F86-B449-51109599350D}" name="Exit Time" dataDxfId="87"/>
    <tableColumn id="32" xr3:uid="{17BD89BD-FE59-43D8-8741-A5115C3774C6}" name="Comissions" dataDxfId="86"/>
    <tableColumn id="30" xr3:uid="{09F3D717-4D5D-41BD-A530-260B7992651B}" name="Gain/Loss" dataDxfId="85">
      <calculatedColumnFormula>59.88+2.04</calculatedColumnFormula>
    </tableColumn>
    <tableColumn id="7" xr3:uid="{136E8F8E-4142-4B5A-BE1F-C5718FC87596}" name="Quantity" dataDxfId="84"/>
    <tableColumn id="5" xr3:uid="{A102A4AD-A23A-4F8A-9C04-CED2EB13E824}" name="Setup"/>
    <tableColumn id="6" xr3:uid="{2DD87502-6723-436B-A7E8-A74F7CE89FF2}" name="Buy/Sell"/>
    <tableColumn id="48" xr3:uid="{88BD43B1-558A-41BF-87D7-65BE4D457B3A}" name="Intended Entry"/>
    <tableColumn id="8" xr3:uid="{0113421A-7B85-4864-8982-52DBC2E42F64}" name="Entry Price"/>
    <tableColumn id="9" xr3:uid="{567AD6EE-8289-4BA8-B3FE-B4348298B506}" name="SL Price"/>
    <tableColumn id="11" xr3:uid="{C079AF1C-12DC-4DEB-91D0-82A64685EB4E}" name="Exit Price"/>
    <tableColumn id="12" xr3:uid="{D340A070-73E8-406B-B012-F1BCD068F602}" name="Highest Price"/>
    <tableColumn id="13" xr3:uid="{2A3929EA-F967-46DB-AC0A-DC578DD95E20}" name="Lowest Price"/>
    <tableColumn id="25" xr3:uid="{34B7367B-0177-4903-88BF-56F94D0A0C26}" name="Potential Price Before BE"/>
    <tableColumn id="14" xr3:uid="{2813D068-7FE8-44F1-99EC-6AC66A74CB26}" name="Potential Price"/>
    <tableColumn id="52" xr3:uid="{36864C91-1CB2-4549-864E-5FC2B63226CF}" name="Pattern SL"/>
    <tableColumn id="15" xr3:uid="{05AFB8CF-125A-44BC-8827-2003AB3BF9A8}" name="Retest Price"/>
    <tableColumn id="17" xr3:uid="{17F4511C-5C46-4E09-9CD6-EC1F75F2EF03}" name="TP Hit"/>
    <tableColumn id="36" xr3:uid="{A2756D79-CDDB-470F-A93C-E9B616EDDAB9}" name="Back to BE"/>
    <tableColumn id="29" xr3:uid="{923D2228-92A2-4B56-8196-18099BD5DFC5}" name="Volume Exit"/>
    <tableColumn id="90" xr3:uid="{36A6B8CE-6096-459D-9A23-FE0C218A54CB}" name="Volume Exit RRR Reach"/>
    <tableColumn id="83" xr3:uid="{75754A4B-4208-4A68-B843-679D863101D8}" name="Volume Exit BE"/>
    <tableColumn id="91" xr3:uid="{D43196C0-BE49-4922-B2BD-662FC40F391C}" name="Candle Exit"/>
    <tableColumn id="85" xr3:uid="{DB319D00-2D63-4B93-88C0-217FBF84DE5A}" name="Wick Exit"/>
    <tableColumn id="18" xr3:uid="{A01F8776-9014-4AB0-8853-E656F6AFC697}" name="Price Behaviour"/>
    <tableColumn id="19" xr3:uid="{24552331-86A7-4ABF-8D3F-9DCFC18555FE}" name="VPA"/>
    <tableColumn id="20" xr3:uid="{486BA32A-9D20-4049-84FF-9FB27BA347DF}" name="Sector"/>
    <tableColumn id="10" xr3:uid="{09C60BE8-22AB-465E-A658-C0A4A0DFAC62}" name="Relative Volume"/>
    <tableColumn id="21" xr3:uid="{CE9C6FD7-7F7A-4A81-8851-EFAA4C67A1E6}" name="Daily Volume in Mil"/>
    <tableColumn id="51" xr3:uid="{91995B9B-0F4D-46BF-BFF4-3846DBE9B5CC}" name="Pause Num"/>
    <tableColumn id="50" xr3:uid="{CFFE70ED-80B1-4332-9439-C265E79D06FF}" name="VWAP Tag"/>
    <tableColumn id="47" xr3:uid="{3C9C6AEF-BB41-4298-83D2-017C93CBFC6B}" name="VWAP"/>
    <tableColumn id="22" xr3:uid="{09129EF1-B576-4E57-82EC-581ED992BFEC}" name="Catalyst"/>
    <tableColumn id="84" xr3:uid="{66AE174A-F2AF-417E-8906-41C461A4C503}" name="Pattern"/>
    <tableColumn id="31" xr3:uid="{C4E67EFF-58C4-412D-A44A-E55133B0FE43}" name="Float"/>
    <tableColumn id="43" xr3:uid="{84D54AB7-F091-4FAA-88B1-A29685865EBE}" name="SPY 4H"/>
    <tableColumn id="16" xr3:uid="{D782AEFA-D6CC-4B31-B8F8-69C657BEA2FB}" name="Short Float"/>
    <tableColumn id="28" xr3:uid="{9329C3C9-2908-4D29-8AA0-014753C01F5B}" name="Picture" dataDxfId="83"/>
    <tableColumn id="38" xr3:uid="{DF6F6CEF-0438-4279-81B9-85AFD6AF7FCB}" name="RRR in-trade" dataDxfId="82">
      <calculatedColumnFormula>IF(TABLE1[[#This Row],[Buy/Sell]]="BUY",(TABLE1[[#This Row],[Highest Price]]-TABLE1[[#This Row],[Entry Price]])/(TABLE1[[#This Row],[Intended Entry]]-TABLE1[[#This Row],[SL Price]]),(TABLE1[[#This Row],[Entry Price]]-TABLE1[[#This Row],[Lowest Price]])/(TABLE1[[#This Row],[SL Price]]-TABLE1[[#This Row],[Intended Entry]]))</calculatedColumnFormula>
    </tableColumn>
    <tableColumn id="65" xr3:uid="{1D138DA8-9B61-435D-8D5B-0ABA055A2597}" name="Negative RRR in-trade" dataDxfId="81">
      <calculatedColumnFormula>IF(TABLE1[[#This Row],[Buy/Sell]]="BUY",(TABLE1[[#This Row],[Entry Price]]-TABLE1[[#This Row],[Lowest Price]])/(TABLE1[[#This Row],[SL Price]]-TABLE1[[#This Row],[Intended Entry]]),(TABLE1[[#This Row],[Entry Price]]-TABLE1[[#This Row],[Highest Price]])/(TABLE1[[#This Row],[SL Price]]-TABLE1[[#This Row],[Intended Entry]]))</calculatedColumnFormula>
    </tableColumn>
    <tableColumn id="26" xr3:uid="{EA7FF293-0A2C-45E1-95B9-2FE5698D0DAE}" name="Outcome" dataDxfId="80">
      <calculatedColumnFormula>IF(AND(TABLE1[[#This Row],[RRR Realized]]&lt;0.5,TABLE1[[#This Row],[RRR Realized]]&gt;-0.6),"BE",IF(TABLE1[[#This Row],[Gain/Loss]]&lt;0, "LOSER", "WINNER"))</calculatedColumnFormula>
    </tableColumn>
    <tableColumn id="27" xr3:uid="{9D5EE3C0-C758-496A-8799-F2B6B5CB5DAC}" name="Net Gain/Loss" dataDxfId="79">
      <calculatedColumnFormula>TABLE1[[#This Row],[Gain/Loss]]-TABLE1[[#This Row],[Comissions]]</calculatedColumnFormula>
    </tableColumn>
    <tableColumn id="33" xr3:uid="{63998133-BA2D-49F6-93DD-6651E3B28D92}" name="Time" dataDxfId="78">
      <calculatedColumnFormula>TABLE1[[#This Row],[Exit Time]]-TABLE1[[#This Row],[Entry Time]]</calculatedColumnFormula>
    </tableColumn>
    <tableColumn id="37" xr3:uid="{FAB4E36F-3089-4CF4-BFBC-E5D348F5D8CE}" name="Sum Gain" dataDxfId="77">
      <calculatedColumnFormula>TABLE1[[#This Row],[Net Gain/Loss]]+AU1</calculatedColumnFormula>
    </tableColumn>
    <tableColumn id="34" xr3:uid="{3CABC6C5-4029-4CFE-94DE-EB15F2581A41}" name="Hard RRR Before BE" dataDxfId="76">
      <calculatedColumnFormula>IF(TABLE1[[#This Row],[Potential Price Before BE]]=FALSE,"FALSE",( TABLE1[[#This Row],[Potential Price Before BE]]-TABLE1[[#This Row],[Intended Entry]])/(TABLE1[[#This Row],[Intended Entry]]-TABLE1[[#This Row],[SL Price]]))</calculatedColumnFormula>
    </tableColumn>
    <tableColumn id="66" xr3:uid="{654442CA-2959-466E-9E00-353AA340305E}" name="Missed RRR on Entry" dataDxfId="75">
      <calculatedColumnFormula>(IF(TABLE1[[#This Row],[Buy/Sell]]="BUY",(TABLE1[[#This Row],[Entry Price]]-TABLE1[[#This Row],[SL Price]])/(TABLE1[[#This Row],[Intended Entry]]-TABLE1[[#This Row],[SL Price]]),(TABLE1[[#This Row],[SL Price]]-TABLE1[[#This Row],[Entry Price]])/(TABLE1[[#This Row],[SL Price]]-TABLE1[[#This Row],[Intended Entry]])))-1</calculatedColumnFormula>
    </tableColumn>
    <tableColumn id="46" xr3:uid="{CEFD69BA-28BA-4A38-93A7-E8E320B527DF}" name="Missed RRR" dataDxfId="74">
      <calculatedColumnFormula>TABLE1[[#This Row],[Missed RRR on Entry]]</calculatedColumnFormula>
    </tableColumn>
    <tableColumn id="35" xr3:uid="{77D3B45D-7782-45D7-9C10-11ED7CC17B43}" name="RRR Potential" totalsRowFunction="count" dataDxfId="73">
      <calculatedColumnFormula>ROUND((TABLE1[[#This Row],[Potential Price]]-TABLE1[[#This Row],[Entry Price]])/(TABLE1[[#This Row],[Intended Entry]]-TABLE1[[#This Row],[SL Price]]),4)</calculatedColumnFormula>
    </tableColumn>
    <tableColumn id="49" xr3:uid="{0CD3DAF9-BFA0-4B1C-A74C-F37A9F9F298F}" name="Hard RRR Potential" dataDxfId="72">
      <calculatedColumnFormula>ROUND((TABLE1[[#This Row],[Potential Price]]-TABLE1[[#This Row],[Intended Entry]])/(TABLE1[[#This Row],[Intended Entry]]-TABLE1[[#This Row],[SL Price]]),4)</calculatedColumnFormula>
    </tableColumn>
    <tableColumn id="39" xr3:uid="{D4F8E9DB-8664-4804-A803-8C0B58220F61}" name="RRR Difference" dataDxfId="71">
      <calculatedColumnFormula>TABLE1[[#This Row],[RRR Potential]]-TABLE1[[#This Row],[RRR Realized]]</calculatedColumnFormula>
    </tableColumn>
    <tableColumn id="23" xr3:uid="{9430F169-2159-47C9-8D21-D996EB23AE11}" name="RRR Realized" dataDxfId="70">
      <calculatedColumnFormula>ROUND((TABLE1[[#This Row],[Exit Price]]-TABLE1[[#This Row],[Entry Price]])/(TABLE1[[#This Row],[Intended Entry]]-TABLE1[[#This Row],[SL Price]]),4)</calculatedColumnFormula>
    </tableColumn>
    <tableColumn id="60" xr3:uid="{488F1825-111F-4C6D-83AD-704D1FAC6981}" name=" Fast Reversal at 0" dataDxfId="69">
      <calculatedColumnFormula>IF(AND((TABLE1[[#This Row],[Back to BE]])=TRUE,(TABLE1[[#This Row],[Price Behaviour]])="Fast Reversal"), 0-(TABLE1[[#This Row],[Missed RRR on Entry]]),ROUND((TABLE1[[#This Row],[Exit Price]]-TABLE1[[#This Row],[Entry Price]])/(TABLE1[[#This Row],[Intended Entry]]-TABLE1[[#This Row],[SL Price]]),4))</calculatedColumnFormula>
    </tableColumn>
    <tableColumn id="67" xr3:uid="{E3B9F90D-F9E6-410B-9331-8128A58C3E59}" name=" Fast Reversal at 1" dataDxfId="68">
      <calculatedColumnFormula>IF(AND((TABLE1[[#This Row],[Hard RRR Potential]])&gt;=1,(TABLE1[[#This Row],[Back to BE]])="True",(TABLE1[[#This Row],[Price Behaviour]])="Fast Reversal"), 1-(TABLE1[[#This Row],[Missed RRR on Entry]]),ROUND((TABLE1[[#This Row],[Exit Price]]-TABLE1[[#This Row],[Entry Price]])/(TABLE1[[#This Row],[Intended Entry]]-TABLE1[[#This Row],[SL Price]]),4))</calculatedColumnFormula>
    </tableColumn>
    <tableColumn id="68" xr3:uid="{50BDBA55-2940-428A-9AB3-B0910A4BF180}" name=" Fast Reversal at 1.5" dataDxfId="67">
      <calculatedColumnFormula>IF(AND((TABLE1[[#This Row],[Hard RRR Potential]])&gt;=1.5,(TABLE1[[#This Row],[Back to BE]])="True",(TABLE1[[#This Row],[Price Behaviour]])="Fast Reversal"), 1.5-(TABLE1[[#This Row],[Missed RRR on Entry]]),ROUND((TABLE1[[#This Row],[Exit Price]]-TABLE1[[#This Row],[Entry Price]])/(TABLE1[[#This Row],[Intended Entry]]-TABLE1[[#This Row],[SL Price]]),4))</calculatedColumnFormula>
    </tableColumn>
    <tableColumn id="69" xr3:uid="{08FAA8C1-4B0B-44B1-89C1-26E37ECC9248}" name=" Fast Reversal at 2" dataDxfId="66">
      <calculatedColumnFormula>IF(AND((TABLE1[[#This Row],[Hard RRR Potential]])&gt;=2,(TABLE1[[#This Row],[Back to BE]])="True",(TABLE1[[#This Row],[Price Behaviour]])="Fast Reversal"), 2-(TABLE1[[#This Row],[Missed RRR on Entry]]),ROUND((TABLE1[[#This Row],[Exit Price]]-TABLE1[[#This Row],[Entry Price]])/(TABLE1[[#This Row],[Intended Entry]]-TABLE1[[#This Row],[SL Price]]),4))</calculatedColumnFormula>
    </tableColumn>
    <tableColumn id="70" xr3:uid="{297C4E65-C2D4-4F8B-8DE8-26E653F5ED18}" name=" with SL at pattern break" dataDxfId="65">
      <calculatedColumnFormula>IF((TABLE1[[#This Row],[Pattern SL]])&lt;&gt;FALSE,((TABLE1[[#This Row],[Pattern SL]])-(TABLE1[[#This Row],[Entry Price]]))/((TABLE1[[#This Row],[Intended Entry]])-(TABLE1[[#This Row],[SL Price]])),ROUND((TABLE1[[#This Row],[Exit Price]]-TABLE1[[#This Row],[Entry Price]])/(TABLE1[[#This Row],[Intended Entry]]-TABLE1[[#This Row],[SL Price]]),4))</calculatedColumnFormula>
    </tableColumn>
    <tableColumn id="44" xr3:uid="{773C4ED8-D42F-4A23-A8C3-C13FF8D46739}" name="RRR Volume Exit" dataDxfId="64">
      <calculatedColumnFormula>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42" xr3:uid="{7E26F83C-1A66-4C18-A5B9-D92405BFF60D}" name="RRR Wick Exit" dataDxfId="63">
      <calculatedColumnFormula>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45" xr3:uid="{A92C2858-28AB-4DE3-9366-42099D06B1F5}" name="RRR Joint Wick and Volume Exit" dataDxfId="62">
      <calculatedColumnFormula>IF( TABLE1[[#This Row],[Wick Exit]]&lt;&gt; FALSE,TABLE1[[#This Row],[RRR Wick Exit]],IF(TABLE1[[#This Row],[Volume Exit]]&lt;&gt; FALSE,TABLE1[[#This Row],[RRR Volume Exit]],TABLE1[[#This Row],[RRR Realized]]))</calculatedColumnFormula>
    </tableColumn>
    <tableColumn id="100" xr3:uid="{5BF995FE-A697-4D46-B392-19B656B1D4EB}" name="RRR Candle Exit" dataDxfId="61">
      <calculatedColumnFormula>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calculatedColumnFormula>
    </tableColumn>
    <tableColumn id="40" xr3:uid="{696BE052-A961-4604-81DE-DE0E9094CB3C}" name="RRR at 2.5" dataDxfId="60">
      <calculatedColumnFormula>IF(OR(AND(TABLE1[[#This Row],[Hard RRR Potential]]&gt;=2.5,TABLE1[[#This Row],[Volume Exit]]=FALSE,TABLE1[[#This Row],[Wick Exit]]=FALSE),AND(TABLE1[[#This Row],[Hard RRR Potential]]&gt;=2.5,TABLE1[[#This Row],[Volume Exit RRR Reach]]&gt;=2.5,TABLE1[[#This Row],[Wick Exit]]=FALSE)), 2.5-TABLE1[[#This Row],[Missed RRR on Entry]],TABLE1[[#This Row],[RRR Realized]])</calculatedColumnFormula>
    </tableColumn>
    <tableColumn id="41" xr3:uid="{5E7C60D1-E36D-4F99-AC21-8CA3E0C83D91}" name="RRR at 3" dataDxfId="59">
      <calculatedColumnFormula>IF(OR(AND(TABLE1[[#This Row],[Hard RRR Potential]]&gt;=3,TABLE1[[#This Row],[Volume Exit]]=FALSE,TABLE1[[#This Row],[Wick Exit]]=FALSE),AND(TABLE1[[#This Row],[Hard RRR Potential]]&gt;=3,TABLE1[[#This Row],[Volume Exit RRR Reach]]&gt;=3,TABLE1[[#This Row],[Wick Exit]]=FALSE)), 3-TABLE1[[#This Row],[Missed RRR on Entry]],TABLE1[[#This Row],[RRR Realized]])</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B274DD-5081-4EF7-A480-4C8B22C329DA}" name="table2" displayName="table2" ref="A1:BE14" totalsRowShown="0" headerRowDxfId="58" dataDxfId="57">
  <autoFilter ref="A1:BE14" xr:uid="{3DB37CBD-7DCD-41B4-BA7C-F1368C8A2E01}"/>
  <tableColumns count="57">
    <tableColumn id="1" xr3:uid="{55397472-F9BA-409D-B736-C398127D96EB}" name="Instrument" dataDxfId="56"/>
    <tableColumn id="2" xr3:uid="{748C211E-57E6-44D4-9EF9-58A9905F07D4}" name="No" dataDxfId="55"/>
    <tableColumn id="3" xr3:uid="{70456BD0-5AC9-4352-BC2B-5CF2BFB30523}" name="Entry Date" dataDxfId="54"/>
    <tableColumn id="4" xr3:uid="{BE20990B-C070-4837-8BAD-E6C9BEC4C84E}" name="Entry Time" dataDxfId="53"/>
    <tableColumn id="5" xr3:uid="{BB1BE0C9-D380-4F77-882A-44BB537C416C}" name="Exit Time" dataDxfId="52"/>
    <tableColumn id="9" xr3:uid="{BF966A08-2F0D-4EDF-B8F1-8AE1B6F3E777}" name="Setup" dataDxfId="51"/>
    <tableColumn id="10" xr3:uid="{96F859AD-064F-4F58-8A21-0BBF87787804}" name="Buy/Sell" dataDxfId="50"/>
    <tableColumn id="11" xr3:uid="{03629D9B-54E5-4D94-A5F5-19B0A4870A02}" name="Intended Entry" dataDxfId="49"/>
    <tableColumn id="12" xr3:uid="{572908EB-CFFA-4ADA-A9F2-2CF3F407EAFF}" name="Entry Price" dataDxfId="48"/>
    <tableColumn id="13" xr3:uid="{10860968-EAAB-46AD-AC05-A42351171660}" name="SL Price" dataDxfId="47"/>
    <tableColumn id="14" xr3:uid="{BDAD1E7B-27B2-4F4E-BEE1-2375C3998CA2}" name="Exit Price" dataDxfId="46"/>
    <tableColumn id="15" xr3:uid="{606976D5-E521-49DC-AC74-F7729F5E6A65}" name="Highest Price" dataDxfId="45"/>
    <tableColumn id="16" xr3:uid="{EFCFFCD8-00BD-4595-A51A-6F5662762B59}" name="Lowest Price" dataDxfId="44"/>
    <tableColumn id="17" xr3:uid="{562E38EB-5373-4F2A-938E-97C3070A2715}" name="Price Before BE" dataDxfId="43"/>
    <tableColumn id="18" xr3:uid="{85ADAF46-AD65-491A-9459-0E84F1CAF9F7}" name="Potential Price" dataDxfId="42"/>
    <tableColumn id="19" xr3:uid="{3BCC0E76-C786-49E1-A360-D6614E0C4599}" name="Pattern SL" dataDxfId="41"/>
    <tableColumn id="20" xr3:uid="{4DB96B20-11AE-4167-942E-9C92E652D3FE}" name="Retest Price" dataDxfId="40"/>
    <tableColumn id="21" xr3:uid="{EF0EDC9F-DB0A-496F-B10E-6180D69910AB}" name="TP Hit" dataDxfId="39"/>
    <tableColumn id="22" xr3:uid="{BECF23DC-C810-42DF-B709-E1AA34EAF6F0}" name="Back to BE" dataDxfId="38"/>
    <tableColumn id="23" xr3:uid="{6EEC8EAF-3C43-4F64-8DCF-DFF9A442C689}" name="Volume Exit" dataDxfId="37"/>
    <tableColumn id="24" xr3:uid="{ADFD78F0-4768-442D-A91F-249F272573EA}" name="Volume Exit RRR Reach" dataDxfId="36"/>
    <tableColumn id="25" xr3:uid="{D7B03BEF-E4DF-41DC-BCE3-31F86F54B221}" name="Volume Exit BE" dataDxfId="35"/>
    <tableColumn id="26" xr3:uid="{095DD6AD-968D-4726-947C-A97A9B3ABC03}" name="Candle Exit" dataDxfId="34"/>
    <tableColumn id="27" xr3:uid="{21CAAFF7-E700-4F61-8B7C-8A1D828212D2}" name="Wick Exit" dataDxfId="33"/>
    <tableColumn id="28" xr3:uid="{A3E50707-9733-48BA-863F-3ABAB4667806}" name="Price Behaviour" dataDxfId="32"/>
    <tableColumn id="29" xr3:uid="{22D68781-1E6D-48ED-BF50-B69C83856864}" name="VPA" dataDxfId="31"/>
    <tableColumn id="30" xr3:uid="{5CC00B9B-2F51-4E7C-9F9E-5329B6363318}" name="Secotor" dataDxfId="30"/>
    <tableColumn id="31" xr3:uid="{E9AB9A9A-C0F4-4C71-8462-CFFA7033EB57}" name="Relative Volume" dataDxfId="29"/>
    <tableColumn id="40" xr3:uid="{E9CBBDCD-8647-4AF7-97D4-8D1D14B5FD00}" name="Outcome" dataDxfId="28">
      <calculatedColumnFormula>IF(#REF!&lt;0, "LOSER", "WINNER")</calculatedColumnFormula>
    </tableColumn>
    <tableColumn id="32" xr3:uid="{D34A8547-AF98-4C04-A1E1-0C1A61080962}" name="Daily Volume in Mil" dataDxfId="27"/>
    <tableColumn id="33" xr3:uid="{39E43053-0EAA-4CA2-87C6-2805DCE7A6ED}" name="Catalyst" dataDxfId="26"/>
    <tableColumn id="34" xr3:uid="{34AFC627-B66D-4CAD-9D31-EC18E2186CCB}" name="Percent Gain" dataDxfId="25"/>
    <tableColumn id="35" xr3:uid="{65F53589-7755-4555-ACEE-B541C25E30C7}" name="Float" dataDxfId="24"/>
    <tableColumn id="36" xr3:uid="{A9231791-356E-476C-9A35-51F7824732A6}" name="Short Float" dataDxfId="23"/>
    <tableColumn id="37" xr3:uid="{980EF4ED-CA85-4924-9039-4C5B40FBC47D}" name="Picture" dataDxfId="22"/>
    <tableColumn id="38" xr3:uid="{53C103CC-4AA0-4C2E-A6A9-6E0DE53C0CFD}" name="RRR in-trade" dataDxfId="21">
      <calculatedColumnFormula>IF(table2[[#This Row],[Buy/Sell]]="BUY",(table2[[#This Row],[Highest Price]]-table2[[#This Row],[Entry Price]])/(table2[[#This Row],[Intended Entry]]-table2[[#This Row],[SL Price]]),(table2[[#This Row],[Entry Price]]-table2[[#This Row],[Lowest Price]])/(table2[[#This Row],[SL Price]]-table2[[#This Row],[Intended Entry]]))</calculatedColumnFormula>
    </tableColumn>
    <tableColumn id="39" xr3:uid="{D3BE3FF1-0F36-4323-816D-72CF6C73A3A2}" name="Negative RRR in-trade" dataDxfId="20">
      <calculatedColumnFormula>IF(table2[[#This Row],[Buy/Sell]]="BUY",(table2[[#This Row],[Entry Price]]-table2[[#This Row],[Lowest Price]])/(table2[[#This Row],[SL Price]]-table2[[#This Row],[Intended Entry]]),(table2[[#This Row],[Entry Price]]-table2[[#This Row],[Highest Price]])/(table2[[#This Row],[SL Price]]-table2[[#This Row],[Intended Entry]]))</calculatedColumnFormula>
    </tableColumn>
    <tableColumn id="42" xr3:uid="{7434F870-60A3-4709-A264-A253EBE2083C}" name="Time" dataDxfId="19">
      <calculatedColumnFormula>table2[[#This Row],[Exit Time]]-table2[[#This Row],[Entry Time]]</calculatedColumnFormula>
    </tableColumn>
    <tableColumn id="43" xr3:uid="{561C53A9-7D59-4084-8DD5-B4FE2CF96C21}" name="RRR Closing Price" dataDxfId="18">
      <calculatedColumnFormula>IF(table2[[#This Row],[Retest Price]]&lt;&gt;FALSE,ROUND((table2[[#This Row],[Retest Price]]-table2[[#This Row],[Entry Price]])/(table2[[#This Row],[Intended Entry]]-table2[[#This Row],[SL Price]]),4), "FALSE")</calculatedColumnFormula>
    </tableColumn>
    <tableColumn id="44" xr3:uid="{AA026992-DC9A-4DF0-B64F-83D218758489}" name="Sum Gain" dataDxfId="17">
      <calculatedColumnFormula>232</calculatedColumnFormula>
    </tableColumn>
    <tableColumn id="45" xr3:uid="{F755EB5E-3A19-42FC-9674-A597821C0DA0}" name="Hard RRR Before BE" dataDxfId="16">
      <calculatedColumnFormula>IF(table2[[#This Row],[Price Before BE]]=FALSE,"FALSE",( table2[[#This Row],[Price Before BE]]-table2[[#This Row],[Intended Entry]])/(table2[[#This Row],[Intended Entry]]-table2[[#This Row],[SL Price]]))</calculatedColumnFormula>
    </tableColumn>
    <tableColumn id="46" xr3:uid="{01F5544A-F826-47B0-A343-938FD6D39D9D}" name="Missed RRR on Entry" dataDxfId="15">
      <calculatedColumnFormula>(IF(table2[[#This Row],[Buy/Sell]]="BUY",(table2[[#This Row],[Entry Price]]-table2[[#This Row],[SL Price]])/(table2[[#This Row],[Intended Entry]]-table2[[#This Row],[SL Price]]),(table2[[#This Row],[SL Price]]-table2[[#This Row],[Entry Price]])/(table2[[#This Row],[SL Price]]-table2[[#This Row],[Intended Entry]])))-1</calculatedColumnFormula>
    </tableColumn>
    <tableColumn id="47" xr3:uid="{A34C4608-8F75-45A6-B9FC-35159E125645}" name="Missed RRR" dataDxfId="14">
      <calculatedColumnFormula>table2[[#This Row],[Missed RRR on Entry]]</calculatedColumnFormula>
    </tableColumn>
    <tableColumn id="48" xr3:uid="{4CDEF865-B953-43FE-9401-8BBCC40B4121}" name="RRR Potential" dataDxfId="13">
      <calculatedColumnFormula>ROUND((table2[[#This Row],[Potential Price]]-table2[[#This Row],[Entry Price]])/(table2[[#This Row],[Intended Entry]]-table2[[#This Row],[SL Price]]),4)</calculatedColumnFormula>
    </tableColumn>
    <tableColumn id="49" xr3:uid="{6EDCBFF3-CE2F-4195-9A7E-18A79F18C780}" name="Hard RRR Potential" dataDxfId="12">
      <calculatedColumnFormula>ROUND((table2[[#This Row],[Potential Price]]-table2[[#This Row],[Intended Entry]])/(table2[[#This Row],[Intended Entry]]-table2[[#This Row],[SL Price]]),4)</calculatedColumnFormula>
    </tableColumn>
    <tableColumn id="50" xr3:uid="{932CF254-ED3E-4D12-945A-7BE0720D20D3}" name="RRR difference" dataDxfId="11">
      <calculatedColumnFormula>table2[[#This Row],[RRR Potential]]-table2[[#This Row],[RRR Realized]]</calculatedColumnFormula>
    </tableColumn>
    <tableColumn id="51" xr3:uid="{F9B7DEAB-A97E-48C5-BD1D-C5D2311ACBB4}" name="RRR Realized" dataDxfId="10">
      <calculatedColumnFormula>ROUND((table2[[#This Row],[Exit Price]]-table2[[#This Row],[Entry Price]])/(table2[[#This Row],[Intended Entry]]-table2[[#This Row],[SL Price]]),4)</calculatedColumnFormula>
    </tableColumn>
    <tableColumn id="52" xr3:uid="{9B488F6A-BD23-4974-B5B3-D0A2ADB2B6BA}" name=" Fast Reversal at 0" dataDxfId="9">
      <calculatedColumnFormula>IF(AND((table2[[#This Row],[Back to BE]])=TRUE,(table2[[#This Row],[Price Behaviour]])="Fast Reversal"), 0-(table2[[#This Row],[Missed RRR on Entry]]),ROUND((table2[[#This Row],[Exit Price]]-table2[[#This Row],[Entry Price]])/(table2[[#This Row],[Intended Entry]]-table2[[#This Row],[SL Price]]),4))</calculatedColumnFormula>
    </tableColumn>
    <tableColumn id="53" xr3:uid="{ED99130D-971E-4225-B88B-2FC450026896}" name=" Fast Reversal at 1" dataDxfId="8">
      <calculatedColumnFormula>IF(AND((table2[[#This Row],[Hard RRR Potential]])&gt;=1,(table2[[#This Row],[Back to BE]])="True",(table2[[#This Row],[Price Behaviour]])="Fast Reversal"), 1-(table2[[#This Row],[Missed RRR on Entry]]),ROUND((table2[[#This Row],[Exit Price]]-table2[[#This Row],[Entry Price]])/(table2[[#This Row],[Intended Entry]]-table2[[#This Row],[SL Price]]),4))</calculatedColumnFormula>
    </tableColumn>
    <tableColumn id="54" xr3:uid="{8DCC55D8-C66B-4C47-AB03-A6D173284567}" name=" Fast Reversal at 1.5" dataDxfId="7">
      <calculatedColumnFormula>IF(AND((table2[[#This Row],[Hard RRR Potential]])&gt;=1.5,(table2[[#This Row],[Back to BE]])="True",(table2[[#This Row],[Price Behaviour]])="Fast Reversal"), 1.5-(table2[[#This Row],[Missed RRR on Entry]]),ROUND((table2[[#This Row],[Exit Price]]-table2[[#This Row],[Entry Price]])/(table2[[#This Row],[Intended Entry]]-table2[[#This Row],[SL Price]]),4))</calculatedColumnFormula>
    </tableColumn>
    <tableColumn id="55" xr3:uid="{191AC0F3-0D53-439D-AA59-173B06CDA845}" name=" Fast Reversal at 2" dataDxfId="6">
      <calculatedColumnFormula>IF(AND((table2[[#This Row],[Hard RRR Potential]])&gt;=2,(table2[[#This Row],[Back to BE]])="True",(table2[[#This Row],[Price Behaviour]])="Fast Reversal"), 2-(table2[[#This Row],[Missed RRR on Entry]]),ROUND((table2[[#This Row],[Exit Price]]-table2[[#This Row],[Entry Price]])/(table2[[#This Row],[Intended Entry]]-table2[[#This Row],[SL Price]]),4))</calculatedColumnFormula>
    </tableColumn>
    <tableColumn id="56" xr3:uid="{4FD4E0EE-864C-4834-A970-B06CDBCD5D3E}" name=" with SL at pattern break" dataDxfId="5">
      <calculatedColumnFormula>IF((table2[[#This Row],[Pattern SL]])&lt;&gt;FALSE,((table2[[#This Row],[Pattern SL]])-(table2[[#This Row],[Entry Price]]))/((table2[[#This Row],[Intended Entry]])-(table2[[#This Row],[SL Price]])),ROUND((table2[[#This Row],[Exit Price]]-table2[[#This Row],[Entry Price]])/(table2[[#This Row],[Intended Entry]]-table2[[#This Row],[SL Price]]),4))</calculatedColumnFormula>
    </tableColumn>
    <tableColumn id="57" xr3:uid="{41DB9732-8447-4B38-A6EC-187BB5F10645}" name=" with Volume Exit" dataDxfId="4">
      <calculatedColumnFormula>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calculatedColumnFormula>
    </tableColumn>
    <tableColumn id="58" xr3:uid="{47B805DC-F955-4090-9107-A7D7ACB953B2}" name="RRR Wick Exit" dataDxfId="3">
      <calculatedColumnFormula>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calculatedColumnFormula>
    </tableColumn>
    <tableColumn id="59" xr3:uid="{05DB9AB7-80DE-421A-8306-91B44144027B}" name="RRR Candle Exit" dataDxfId="2">
      <calculatedColumnFormula>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calculatedColumnFormula>
    </tableColumn>
    <tableColumn id="60" xr3:uid="{BE72D7A4-68EC-4476-8966-1AF6B46DF7C9}" name="RRR at 2.5" dataDxfId="1">
      <calculatedColumnFormula>IF(OR(AND(table2[[#This Row],[Hard RRR Potential]]&gt;=2.5,table2[[#This Row],[Volume Exit]]=FALSE,table2[[#This Row],[Wick Exit]]=FALSE),AND(table2[[#This Row],[Hard RRR Potential]]&gt;=2.5,table2[[#This Row],[Volume Exit RRR Reach]]&gt;=2.5,table2[[#This Row],[Wick Exit]]=FALSE)), 2.5-table2[[#This Row],[Missed RRR on Entry]],table2[[#This Row],[RRR Realized]])</calculatedColumnFormula>
    </tableColumn>
    <tableColumn id="61" xr3:uid="{9D17AE1F-A6D1-4DC6-A560-F37F1F9B1B08}" name="RRR at 3" dataDxfId="0">
      <calculatedColumnFormula>IF(OR(AND(table2[[#This Row],[Hard RRR Potential]]&gt;=3,table2[[#This Row],[Volume Exit]]=FALSE,table2[[#This Row],[Wick Exit]]=FALSE),AND(table2[[#This Row],[Hard RRR Potential]]&gt;=3,table2[[#This Row],[Volume Exit RRR Reach]]&gt;=3,table2[[#This Row],[Wick Exit]]=FALSE)), 3-table2[[#This Row],[Missed RRR on Entry]],table2[[#This Row],[RRR Realized]])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ipwr_-1.png" TargetMode="External"/><Relationship Id="rId21" Type="http://schemas.openxmlformats.org/officeDocument/2006/relationships/hyperlink" Target="BLIN_-.png" TargetMode="External"/><Relationship Id="rId34" Type="http://schemas.openxmlformats.org/officeDocument/2006/relationships/hyperlink" Target="enph.png" TargetMode="External"/><Relationship Id="rId42" Type="http://schemas.openxmlformats.org/officeDocument/2006/relationships/hyperlink" Target="nby.png" TargetMode="External"/><Relationship Id="rId47" Type="http://schemas.openxmlformats.org/officeDocument/2006/relationships/hyperlink" Target="pdsb.png" TargetMode="External"/><Relationship Id="rId50" Type="http://schemas.openxmlformats.org/officeDocument/2006/relationships/hyperlink" Target="ELTK.png" TargetMode="External"/><Relationship Id="rId55" Type="http://schemas.openxmlformats.org/officeDocument/2006/relationships/hyperlink" Target="BIOC.png" TargetMode="External"/><Relationship Id="rId63" Type="http://schemas.openxmlformats.org/officeDocument/2006/relationships/hyperlink" Target="soly.png" TargetMode="External"/><Relationship Id="rId7" Type="http://schemas.openxmlformats.org/officeDocument/2006/relationships/hyperlink" Target="atos_-1_001.png" TargetMode="External"/><Relationship Id="rId2" Type="http://schemas.openxmlformats.org/officeDocument/2006/relationships/hyperlink" Target="seel_+.png" TargetMode="External"/><Relationship Id="rId16" Type="http://schemas.openxmlformats.org/officeDocument/2006/relationships/hyperlink" Target="OPTT.png" TargetMode="External"/><Relationship Id="rId29" Type="http://schemas.openxmlformats.org/officeDocument/2006/relationships/hyperlink" Target="aktx_+.png" TargetMode="External"/><Relationship Id="rId11" Type="http://schemas.openxmlformats.org/officeDocument/2006/relationships/hyperlink" Target="GBR_-1.png" TargetMode="External"/><Relationship Id="rId24" Type="http://schemas.openxmlformats.org/officeDocument/2006/relationships/hyperlink" Target="fcsc_-1.png" TargetMode="External"/><Relationship Id="rId32" Type="http://schemas.openxmlformats.org/officeDocument/2006/relationships/hyperlink" Target="MTP_001.png" TargetMode="External"/><Relationship Id="rId37" Type="http://schemas.openxmlformats.org/officeDocument/2006/relationships/hyperlink" Target="blin_.png" TargetMode="External"/><Relationship Id="rId40" Type="http://schemas.openxmlformats.org/officeDocument/2006/relationships/hyperlink" Target="MARA.png" TargetMode="External"/><Relationship Id="rId45" Type="http://schemas.openxmlformats.org/officeDocument/2006/relationships/hyperlink" Target="CLRB.png" TargetMode="External"/><Relationship Id="rId53" Type="http://schemas.openxmlformats.org/officeDocument/2006/relationships/hyperlink" Target="otlk_001.png" TargetMode="External"/><Relationship Id="rId58" Type="http://schemas.openxmlformats.org/officeDocument/2006/relationships/hyperlink" Target="NVCN.png" TargetMode="External"/><Relationship Id="rId66" Type="http://schemas.openxmlformats.org/officeDocument/2006/relationships/table" Target="../tables/table2.xml"/><Relationship Id="rId5" Type="http://schemas.openxmlformats.org/officeDocument/2006/relationships/hyperlink" Target="ATOS_-1.png" TargetMode="External"/><Relationship Id="rId61" Type="http://schemas.openxmlformats.org/officeDocument/2006/relationships/hyperlink" Target="RVLT.png" TargetMode="External"/><Relationship Id="rId19" Type="http://schemas.openxmlformats.org/officeDocument/2006/relationships/hyperlink" Target="VTL_+.png" TargetMode="External"/><Relationship Id="rId14" Type="http://schemas.openxmlformats.org/officeDocument/2006/relationships/hyperlink" Target="ctrm_.png" TargetMode="External"/><Relationship Id="rId22" Type="http://schemas.openxmlformats.org/officeDocument/2006/relationships/hyperlink" Target="GLG_+.png" TargetMode="External"/><Relationship Id="rId27" Type="http://schemas.openxmlformats.org/officeDocument/2006/relationships/hyperlink" Target="riot_.png" TargetMode="External"/><Relationship Id="rId30" Type="http://schemas.openxmlformats.org/officeDocument/2006/relationships/hyperlink" Target="RHE.png" TargetMode="External"/><Relationship Id="rId35" Type="http://schemas.openxmlformats.org/officeDocument/2006/relationships/hyperlink" Target="ABIO.png" TargetMode="External"/><Relationship Id="rId43" Type="http://schemas.openxmlformats.org/officeDocument/2006/relationships/hyperlink" Target="CEI_.png" TargetMode="External"/><Relationship Id="rId48" Type="http://schemas.openxmlformats.org/officeDocument/2006/relationships/hyperlink" Target="pdsb.png" TargetMode="External"/><Relationship Id="rId56" Type="http://schemas.openxmlformats.org/officeDocument/2006/relationships/hyperlink" Target="canf.png" TargetMode="External"/><Relationship Id="rId64" Type="http://schemas.openxmlformats.org/officeDocument/2006/relationships/hyperlink" Target="soly.png" TargetMode="External"/><Relationship Id="rId8" Type="http://schemas.openxmlformats.org/officeDocument/2006/relationships/hyperlink" Target="VXRT_+.png" TargetMode="External"/><Relationship Id="rId51" Type="http://schemas.openxmlformats.org/officeDocument/2006/relationships/hyperlink" Target="OTLK.png" TargetMode="External"/><Relationship Id="rId3" Type="http://schemas.openxmlformats.org/officeDocument/2006/relationships/hyperlink" Target="plag_+.png" TargetMode="External"/><Relationship Id="rId12" Type="http://schemas.openxmlformats.org/officeDocument/2006/relationships/hyperlink" Target="CIFS_.png" TargetMode="External"/><Relationship Id="rId17" Type="http://schemas.openxmlformats.org/officeDocument/2006/relationships/hyperlink" Target="TNXP_-.png" TargetMode="External"/><Relationship Id="rId25" Type="http://schemas.openxmlformats.org/officeDocument/2006/relationships/hyperlink" Target="ipwr_-1.png" TargetMode="External"/><Relationship Id="rId33" Type="http://schemas.openxmlformats.org/officeDocument/2006/relationships/hyperlink" Target="NOVN_.png" TargetMode="External"/><Relationship Id="rId38" Type="http://schemas.openxmlformats.org/officeDocument/2006/relationships/hyperlink" Target="TBLT.png" TargetMode="External"/><Relationship Id="rId46" Type="http://schemas.openxmlformats.org/officeDocument/2006/relationships/hyperlink" Target="CLRB.png" TargetMode="External"/><Relationship Id="rId59" Type="http://schemas.openxmlformats.org/officeDocument/2006/relationships/hyperlink" Target="CYCC.png" TargetMode="External"/><Relationship Id="rId20" Type="http://schemas.openxmlformats.org/officeDocument/2006/relationships/hyperlink" Target="vtl_-.png" TargetMode="External"/><Relationship Id="rId41" Type="http://schemas.openxmlformats.org/officeDocument/2006/relationships/hyperlink" Target="nby.png" TargetMode="External"/><Relationship Id="rId54" Type="http://schemas.openxmlformats.org/officeDocument/2006/relationships/hyperlink" Target="otlk_001.png" TargetMode="External"/><Relationship Id="rId62" Type="http://schemas.openxmlformats.org/officeDocument/2006/relationships/hyperlink" Target="RVLT.png" TargetMode="External"/><Relationship Id="rId1" Type="http://schemas.openxmlformats.org/officeDocument/2006/relationships/hyperlink" Target="seel_+.png" TargetMode="External"/><Relationship Id="rId6" Type="http://schemas.openxmlformats.org/officeDocument/2006/relationships/hyperlink" Target="slno_+.png" TargetMode="External"/><Relationship Id="rId15" Type="http://schemas.openxmlformats.org/officeDocument/2006/relationships/hyperlink" Target="pulm_-.png" TargetMode="External"/><Relationship Id="rId23" Type="http://schemas.openxmlformats.org/officeDocument/2006/relationships/hyperlink" Target="GLG_+.png" TargetMode="External"/><Relationship Id="rId28" Type="http://schemas.openxmlformats.org/officeDocument/2006/relationships/hyperlink" Target="aktx_+.png" TargetMode="External"/><Relationship Id="rId36" Type="http://schemas.openxmlformats.org/officeDocument/2006/relationships/hyperlink" Target="ABIO.png" TargetMode="External"/><Relationship Id="rId49" Type="http://schemas.openxmlformats.org/officeDocument/2006/relationships/hyperlink" Target="ELTK.png" TargetMode="External"/><Relationship Id="rId57" Type="http://schemas.openxmlformats.org/officeDocument/2006/relationships/hyperlink" Target="canf.png" TargetMode="External"/><Relationship Id="rId10" Type="http://schemas.openxmlformats.org/officeDocument/2006/relationships/hyperlink" Target="Aeti_-1.png" TargetMode="External"/><Relationship Id="rId31" Type="http://schemas.openxmlformats.org/officeDocument/2006/relationships/hyperlink" Target="MTP_001.png" TargetMode="External"/><Relationship Id="rId44" Type="http://schemas.openxmlformats.org/officeDocument/2006/relationships/hyperlink" Target="CLRB.png" TargetMode="External"/><Relationship Id="rId52" Type="http://schemas.openxmlformats.org/officeDocument/2006/relationships/hyperlink" Target="rbz.png" TargetMode="External"/><Relationship Id="rId60" Type="http://schemas.openxmlformats.org/officeDocument/2006/relationships/hyperlink" Target="CYCC.png" TargetMode="External"/><Relationship Id="rId65" Type="http://schemas.openxmlformats.org/officeDocument/2006/relationships/printerSettings" Target="../printerSettings/printerSettings2.bin"/><Relationship Id="rId4" Type="http://schemas.openxmlformats.org/officeDocument/2006/relationships/hyperlink" Target="jmu_-1.png" TargetMode="External"/><Relationship Id="rId9" Type="http://schemas.openxmlformats.org/officeDocument/2006/relationships/hyperlink" Target="scon%20+.jpg" TargetMode="External"/><Relationship Id="rId13" Type="http://schemas.openxmlformats.org/officeDocument/2006/relationships/hyperlink" Target="pulm_.png" TargetMode="External"/><Relationship Id="rId18" Type="http://schemas.openxmlformats.org/officeDocument/2006/relationships/hyperlink" Target="jmu_+.png" TargetMode="External"/><Relationship Id="rId39" Type="http://schemas.openxmlformats.org/officeDocument/2006/relationships/hyperlink" Target="TBLT.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Potential%20trades%202\TBO\emes.png" TargetMode="External"/><Relationship Id="rId13" Type="http://schemas.openxmlformats.org/officeDocument/2006/relationships/table" Target="../tables/table3.xml"/><Relationship Id="rId3" Type="http://schemas.openxmlformats.org/officeDocument/2006/relationships/hyperlink" Target="..\Potential%20trades%202\TBO\rbz_001.png" TargetMode="External"/><Relationship Id="rId7" Type="http://schemas.openxmlformats.org/officeDocument/2006/relationships/hyperlink" Target="..\Potential%20trades%202\TBO\ZSAN_001.png" TargetMode="External"/><Relationship Id="rId12" Type="http://schemas.openxmlformats.org/officeDocument/2006/relationships/printerSettings" Target="../printerSettings/printerSettings3.bin"/><Relationship Id="rId2" Type="http://schemas.openxmlformats.org/officeDocument/2006/relationships/hyperlink" Target="..\Potential%20trades%202\TBO\rbz_001.png" TargetMode="External"/><Relationship Id="rId1" Type="http://schemas.openxmlformats.org/officeDocument/2006/relationships/hyperlink" Target="..\Potential%20trades%202\TBO\RTTR.png" TargetMode="External"/><Relationship Id="rId6" Type="http://schemas.openxmlformats.org/officeDocument/2006/relationships/hyperlink" Target="..\Potential%20trades%202\TBO\novn.png" TargetMode="External"/><Relationship Id="rId11" Type="http://schemas.openxmlformats.org/officeDocument/2006/relationships/hyperlink" Target="..\Potential%20trades%202\TBO\OTLK_-1.png" TargetMode="External"/><Relationship Id="rId5" Type="http://schemas.openxmlformats.org/officeDocument/2006/relationships/hyperlink" Target="..\Potential%20trades%202\TBO\afh.png" TargetMode="External"/><Relationship Id="rId10" Type="http://schemas.openxmlformats.org/officeDocument/2006/relationships/hyperlink" Target="..\Potential%20trades%202\TBO\BIOC.png" TargetMode="External"/><Relationship Id="rId4" Type="http://schemas.openxmlformats.org/officeDocument/2006/relationships/hyperlink" Target="..\Potential%20trades%202\TBO\NVAX.png" TargetMode="External"/><Relationship Id="rId9" Type="http://schemas.openxmlformats.org/officeDocument/2006/relationships/hyperlink" Target="..\Potential%20trades%202\TBO\sunw_.png"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079F-D9E8-4CFD-A64D-A56F41463128}">
  <sheetPr codeName="Worksheet______1"/>
  <dimension ref="A1:T31"/>
  <sheetViews>
    <sheetView zoomScaleNormal="100" workbookViewId="0">
      <selection activeCell="I8" sqref="I8"/>
    </sheetView>
  </sheetViews>
  <sheetFormatPr defaultRowHeight="14.25" x14ac:dyDescent="0.45"/>
  <cols>
    <col min="1" max="1" width="11.3984375" bestFit="1" customWidth="1"/>
    <col min="2" max="2" width="12.265625" customWidth="1"/>
    <col min="8" max="8" width="14.86328125" bestFit="1" customWidth="1"/>
    <col min="9" max="9" width="17.1328125" bestFit="1" customWidth="1"/>
    <col min="10" max="10" width="18.73046875" bestFit="1" customWidth="1"/>
    <col min="11" max="11" width="13.265625" bestFit="1" customWidth="1"/>
    <col min="12" max="12" width="14.86328125" bestFit="1" customWidth="1"/>
    <col min="13" max="13" width="12.86328125" bestFit="1" customWidth="1"/>
    <col min="14" max="14" width="14.86328125" bestFit="1" customWidth="1"/>
    <col min="15" max="15" width="12.86328125" bestFit="1" customWidth="1"/>
    <col min="16" max="16" width="6.73046875" bestFit="1" customWidth="1"/>
    <col min="17" max="17" width="10.59765625" bestFit="1" customWidth="1"/>
    <col min="18" max="18" width="15.73046875" bestFit="1" customWidth="1"/>
    <col min="19" max="19" width="11.265625" bestFit="1" customWidth="1"/>
    <col min="20" max="22" width="6.73046875" bestFit="1" customWidth="1"/>
    <col min="23" max="23" width="4.73046875" bestFit="1" customWidth="1"/>
    <col min="24" max="26" width="6.73046875" bestFit="1" customWidth="1"/>
    <col min="27" max="27" width="4.73046875" bestFit="1" customWidth="1"/>
    <col min="28" max="29" width="6.73046875" bestFit="1" customWidth="1"/>
    <col min="30" max="32" width="4.73046875" bestFit="1" customWidth="1"/>
    <col min="33" max="34" width="6.73046875" bestFit="1" customWidth="1"/>
    <col min="35" max="35" width="4.73046875" bestFit="1" customWidth="1"/>
    <col min="36" max="36" width="6.73046875" bestFit="1" customWidth="1"/>
    <col min="37" max="37" width="4.73046875" bestFit="1" customWidth="1"/>
    <col min="38" max="38" width="6.73046875" bestFit="1" customWidth="1"/>
    <col min="39" max="41" width="4.73046875" bestFit="1" customWidth="1"/>
    <col min="42" max="42" width="6.73046875" bestFit="1" customWidth="1"/>
    <col min="43" max="48" width="4.73046875" bestFit="1" customWidth="1"/>
    <col min="49" max="49" width="3.73046875" bestFit="1" customWidth="1"/>
    <col min="50" max="50" width="8.73046875" bestFit="1" customWidth="1"/>
  </cols>
  <sheetData>
    <row r="1" spans="1:20" ht="21" x14ac:dyDescent="0.65">
      <c r="A1" s="9" t="s">
        <v>82</v>
      </c>
      <c r="B1" s="65" t="s">
        <v>91</v>
      </c>
      <c r="C1" s="65"/>
      <c r="D1" s="65"/>
      <c r="E1" s="65"/>
      <c r="F1" s="65"/>
      <c r="H1" s="66" t="s">
        <v>155</v>
      </c>
      <c r="I1" s="67"/>
      <c r="J1" s="67"/>
      <c r="K1" s="67"/>
      <c r="L1" s="64" t="s">
        <v>83</v>
      </c>
      <c r="M1" s="64"/>
      <c r="N1" s="64" t="s">
        <v>84</v>
      </c>
      <c r="O1" s="64"/>
      <c r="Q1" s="8" t="s">
        <v>82</v>
      </c>
      <c r="R1" s="8" t="s">
        <v>80</v>
      </c>
      <c r="S1" s="8" t="s">
        <v>81</v>
      </c>
      <c r="T1" s="6"/>
    </row>
    <row r="2" spans="1:20" ht="18" x14ac:dyDescent="0.55000000000000004">
      <c r="A2" s="58">
        <v>43603</v>
      </c>
      <c r="B2" s="60" t="s">
        <v>278</v>
      </c>
      <c r="C2" s="60"/>
      <c r="D2" s="60"/>
      <c r="E2" s="60"/>
      <c r="F2" s="61"/>
      <c r="H2" s="7" t="s">
        <v>87</v>
      </c>
      <c r="I2" s="12">
        <f>(SUM((ACTIONS[Amount])))+SUM((TABLE1[Net Gain/Loss]))</f>
        <v>26813.5789</v>
      </c>
      <c r="J2" s="7" t="s">
        <v>152</v>
      </c>
      <c r="K2" s="26">
        <f>(AVERAGEIF((TABLE1[Outcome]), "WINNER", (TABLE1[RRR Realized])))</f>
        <v>2.0822095238095235</v>
      </c>
      <c r="L2" s="7" t="s">
        <v>85</v>
      </c>
      <c r="M2" s="12">
        <f ca="1">IF(WEEKDAY(TODAY())=6,SUMIFS((TABLE1[Net Gain/Loss]),(TABLE1[Entry Date]),"&lt;="&amp;TODAY(), (TABLE1[Entry Date]),"&gt;="&amp;(TODAY()-4)),IF(WEEKDAY(TODAY())=5,SUMIFS((TABLE1[Net Gain/Loss]),(TABLE1[Entry Date]),"&lt;="&amp;TODAY(), (TABLE1[Entry Date]),"&gt;="&amp;(TODAY()-3)),IF(WEEKDAY(TODAY())=4,SUMIFS((TABLE1[Net Gain/Loss]),(TABLE1[Entry Date]),"&lt;="&amp;TODAY(), (TABLE1[Entry Date]),"&gt;="&amp;(TODAY()-2)), IF(WEEKDAY(TODAY())=3,SUMIFS((TABLE1[Net Gain/Loss]),(TABLE1[Entry Date]),"&lt;="&amp;TODAY(), (TABLE1[Entry Date]),"&gt;="&amp;(TODAY()-1)), IF(WEEKDAY(TODAY())=2,SUMIFS((TABLE1[Net Gain/Loss]),(TABLE1[Entry Date]),"&lt;="&amp;TODAY(), (TABLE1[Entry Date]),"&gt;="&amp;(TODAY()-0)),IF(WEEKDAY(TODAY())=7,SUMIFS((TABLE1[Net Gain/Loss]),(TABLE1[Entry Date]),"&lt;="&amp;TODAY(), (TABLE1[Entry Date]),"&gt;="&amp;(TODAY()-6)), IF(WEEKDAY(TODAY())=1,SUMIFS((TABLE1[Net Gain/Loss]),(TABLE1[Entry Date]),"&lt;="&amp;TODAY(), (TABLE1[Entry Date]),"&gt;="&amp;(TODAY()-7)))))))))</f>
        <v>0</v>
      </c>
      <c r="N2" s="7" t="s">
        <v>85</v>
      </c>
      <c r="O2" s="12">
        <f ca="1">SUMIF((TABLE1[Entry Date]),"="&amp;TODAY(),(TABLE1[Net Gain/Loss]))</f>
        <v>0</v>
      </c>
      <c r="Q2" s="5">
        <v>43538</v>
      </c>
      <c r="R2" t="s">
        <v>112</v>
      </c>
      <c r="S2">
        <v>26536</v>
      </c>
    </row>
    <row r="3" spans="1:20" ht="18" x14ac:dyDescent="0.55000000000000004">
      <c r="A3" s="59"/>
      <c r="B3" s="62"/>
      <c r="C3" s="62"/>
      <c r="D3" s="62"/>
      <c r="E3" s="62"/>
      <c r="F3" s="63"/>
      <c r="H3" s="7" t="s">
        <v>88</v>
      </c>
      <c r="I3" s="17">
        <f>(COUNTIF((TABLE1[Outcome]),"WINNER"))/(COUNTA((TABLE1[Outcome])))</f>
        <v>0.328125</v>
      </c>
      <c r="J3" s="7" t="s">
        <v>153</v>
      </c>
      <c r="K3" s="46">
        <f>(AVERAGEIF((TABLE1[Outcome]), "LOSER", (TABLE1[RRR Realized])))</f>
        <v>-1.044153846153846</v>
      </c>
      <c r="L3" s="7" t="s">
        <v>88</v>
      </c>
      <c r="M3" s="11"/>
      <c r="N3" s="7" t="s">
        <v>88</v>
      </c>
      <c r="O3" s="17" t="e">
        <f ca="1">(DCOUNTA(TABLE,"Outcome",Notes!O1:P2))/(DCOUNTA(TABLE,"Outcome",Notes!P1:P2))</f>
        <v>#DIV/0!</v>
      </c>
      <c r="Q3" s="5"/>
    </row>
    <row r="4" spans="1:20" ht="18" x14ac:dyDescent="0.55000000000000004">
      <c r="A4" s="58">
        <v>43603</v>
      </c>
      <c r="B4" s="60" t="s">
        <v>302</v>
      </c>
      <c r="C4" s="60"/>
      <c r="D4" s="60"/>
      <c r="E4" s="60"/>
      <c r="F4" s="61"/>
      <c r="H4" s="7" t="s">
        <v>86</v>
      </c>
      <c r="I4" s="12">
        <f>AVERAGE((TABLE1[Net Gain/Loss]))</f>
        <v>4.3371703124999925</v>
      </c>
      <c r="J4" s="7" t="s">
        <v>154</v>
      </c>
      <c r="K4" s="7" t="e">
        <f>AVERAGE(TABLE1[RRR Realized],#REF!)</f>
        <v>#REF!</v>
      </c>
      <c r="L4" s="7" t="s">
        <v>86</v>
      </c>
      <c r="M4" s="12" t="e">
        <f ca="1">IF(WEEKDAY(TODAY())=6,AVERAGEIFS((TABLE1[Net Gain/Loss]),(TABLE1[Entry Date]),"&lt;="&amp;TODAY(), (TABLE1[Entry Date]),"&gt;="&amp;(TODAY()-4)),IF(WEEKDAY(TODAY())=5,AVERAGEIFS((TABLE1[Net Gain/Loss]),(TABLE1[Entry Date]),"&lt;="&amp;TODAY(), (TABLE1[Entry Date]),"&gt;="&amp;(TODAY()-3)),IF(WEEKDAY(TODAY())=4,AVERAGEIFS((TABLE1[Net Gain/Loss]),(TABLE1[Entry Date]),"&lt;="&amp;TODAY(), (TABLE1[Entry Date]),"&gt;="&amp;(TODAY()-2)), IF(WEEKDAY(TODAY())=3,AVERAGEIFS((TABLE1[Net Gain/Loss]),(TABLE1[Entry Date]),"&lt;="&amp;TODAY(), (TABLE1[Entry Date]),"&gt;="&amp;(TODAY()-1)), IF(WEEKDAY(TODAY())=2,AVERAGEIFS((TABLE1[Net Gain/Loss]),(TABLE1[Entry Date]),"&lt;="&amp;TODAY(), (TABLE1[Entry Date]),"&gt;="&amp;(TODAY()-0)),IF(WEEKDAY(TODAY())=7,AVERAGEIFS((TABLE1[Net Gain/Loss]),(TABLE1[Entry Date]),"&lt;="&amp;TODAY(), (TABLE1[Entry Date]),"&gt;="&amp;(TODAY()-5)), IF(WEEKDAY(TODAY())=1,AVERAGEIFS((TABLE1[Net Gain/Loss]),(TABLE1[Entry Date]),"&lt;="&amp;TODAY(), (TABLE1[Entry Date]),"&gt;="&amp;(TODAY()-6)))))))))</f>
        <v>#DIV/0!</v>
      </c>
      <c r="N4" s="7" t="s">
        <v>86</v>
      </c>
      <c r="O4" s="12" t="e">
        <f ca="1">AVERAGEIF((TABLE1[Entry Date]),"="&amp;TODAY(),(TABLE1[Net Gain/Loss]))</f>
        <v>#DIV/0!</v>
      </c>
      <c r="Q4" s="5"/>
    </row>
    <row r="5" spans="1:20" ht="18" x14ac:dyDescent="0.55000000000000004">
      <c r="A5" s="59"/>
      <c r="B5" s="62"/>
      <c r="C5" s="62"/>
      <c r="D5" s="62"/>
      <c r="E5" s="62"/>
      <c r="F5" s="63"/>
      <c r="H5" s="7" t="s">
        <v>92</v>
      </c>
      <c r="I5" s="26">
        <f>COUNT((TABLE1[No]))</f>
        <v>64</v>
      </c>
      <c r="J5" s="7" t="s">
        <v>92</v>
      </c>
      <c r="L5" s="7" t="s">
        <v>92</v>
      </c>
      <c r="N5" s="7" t="s">
        <v>92</v>
      </c>
      <c r="Q5" s="5"/>
    </row>
    <row r="6" spans="1:20" ht="21" customHeight="1" x14ac:dyDescent="0.65">
      <c r="A6" s="58">
        <v>43603</v>
      </c>
      <c r="B6" s="60" t="s">
        <v>303</v>
      </c>
      <c r="C6" s="60"/>
      <c r="D6" s="60"/>
      <c r="E6" s="60"/>
      <c r="F6" s="61"/>
      <c r="H6" s="13" t="s">
        <v>18</v>
      </c>
      <c r="I6" s="14"/>
      <c r="J6" s="13" t="s">
        <v>151</v>
      </c>
      <c r="K6" s="14"/>
      <c r="L6" s="13" t="s">
        <v>150</v>
      </c>
      <c r="M6" s="14"/>
      <c r="N6" s="13"/>
      <c r="O6" s="14"/>
      <c r="Q6" s="5"/>
    </row>
    <row r="7" spans="1:20" ht="18" x14ac:dyDescent="0.55000000000000004">
      <c r="A7" s="59"/>
      <c r="B7" s="62"/>
      <c r="C7" s="62"/>
      <c r="D7" s="62"/>
      <c r="E7" s="62"/>
      <c r="F7" s="63"/>
      <c r="H7" s="7" t="s">
        <v>85</v>
      </c>
      <c r="I7" s="12">
        <f>SUMIFS((TABLE1[Net Gain/Loss]),(TABLE1[Setup]), "BO")</f>
        <v>277.57889999999952</v>
      </c>
      <c r="J7" s="7" t="s">
        <v>85</v>
      </c>
      <c r="K7" s="12" t="e">
        <f>SUMIFS((#REF!),(table2[Setup]), "TBO")</f>
        <v>#REF!</v>
      </c>
      <c r="L7" s="7" t="s">
        <v>85</v>
      </c>
      <c r="M7" s="12" t="e">
        <f>SUMIFS((#REF!),(#REF!), "TLR")</f>
        <v>#REF!</v>
      </c>
      <c r="N7" s="7" t="s">
        <v>85</v>
      </c>
      <c r="Q7" s="5"/>
    </row>
    <row r="8" spans="1:20" ht="18.75" customHeight="1" x14ac:dyDescent="0.55000000000000004">
      <c r="A8" s="58">
        <v>43611</v>
      </c>
      <c r="B8" s="60" t="s">
        <v>304</v>
      </c>
      <c r="C8" s="60"/>
      <c r="D8" s="60"/>
      <c r="E8" s="60"/>
      <c r="F8" s="61"/>
      <c r="H8" s="7" t="s">
        <v>88</v>
      </c>
      <c r="I8" s="17">
        <f>(COUNTIFS((TABLE1[Outcome]),"Winner",(TABLE1[Setup]),"BO")/(COUNTIF(TABLE1[Setup],"BO")))</f>
        <v>0.328125</v>
      </c>
      <c r="J8" s="7" t="s">
        <v>88</v>
      </c>
      <c r="K8" s="17">
        <f>(COUNTIFS((table2[Outcome]),"Winner",(table2[Setup]),"TBO")/(COUNTIF(table2[Setup],"TBO")))</f>
        <v>0.53846153846153844</v>
      </c>
      <c r="L8" s="7" t="s">
        <v>88</v>
      </c>
      <c r="M8" s="17" t="e">
        <f>(COUNTIFS((#REF!),"Winner",(#REF!),"TLR")/(COUNTIF(#REF!,"TLR")))</f>
        <v>#REF!</v>
      </c>
      <c r="N8" s="7" t="s">
        <v>88</v>
      </c>
      <c r="Q8" s="5"/>
      <c r="S8" s="27"/>
    </row>
    <row r="9" spans="1:20" ht="18" x14ac:dyDescent="0.55000000000000004">
      <c r="A9" s="59"/>
      <c r="B9" s="62"/>
      <c r="C9" s="62"/>
      <c r="D9" s="62"/>
      <c r="E9" s="62"/>
      <c r="F9" s="63"/>
      <c r="H9" s="7" t="s">
        <v>86</v>
      </c>
      <c r="I9" s="12">
        <f>AVERAGEIFS((TABLE1[Net Gain/Loss]),(TABLE1[Setup]), "BO")</f>
        <v>4.3371703124999925</v>
      </c>
      <c r="J9" s="7" t="s">
        <v>86</v>
      </c>
      <c r="K9" s="12" t="e">
        <f>AVERAGEIFS((#REF!),(table2[Setup]), "TBO")</f>
        <v>#REF!</v>
      </c>
      <c r="L9" s="7" t="s">
        <v>86</v>
      </c>
      <c r="M9" s="12" t="e">
        <f>AVERAGEIFS((#REF!),(#REF!), "TLR")</f>
        <v>#REF!</v>
      </c>
      <c r="N9" s="7" t="s">
        <v>86</v>
      </c>
    </row>
    <row r="10" spans="1:20" ht="18.75" customHeight="1" x14ac:dyDescent="0.55000000000000004">
      <c r="A10" s="58">
        <v>43611</v>
      </c>
      <c r="B10" s="60" t="s">
        <v>305</v>
      </c>
      <c r="C10" s="60"/>
      <c r="D10" s="60"/>
      <c r="E10" s="60"/>
      <c r="F10" s="61"/>
      <c r="H10" s="7" t="s">
        <v>92</v>
      </c>
      <c r="I10" s="26">
        <f>COUNTIF((TABLE1[Setup]),"BO")</f>
        <v>64</v>
      </c>
      <c r="J10" s="7" t="s">
        <v>92</v>
      </c>
      <c r="K10" s="26">
        <f>COUNTIF((table2[Setup]),"TBO")</f>
        <v>13</v>
      </c>
      <c r="L10" s="7" t="s">
        <v>92</v>
      </c>
      <c r="M10" s="11" t="e">
        <f>COUNTIF((#REF!),"TLR")</f>
        <v>#REF!</v>
      </c>
      <c r="N10" s="7" t="s">
        <v>92</v>
      </c>
    </row>
    <row r="11" spans="1:20" ht="18" x14ac:dyDescent="0.55000000000000004">
      <c r="A11" s="59"/>
      <c r="B11" s="62"/>
      <c r="C11" s="62"/>
      <c r="D11" s="62"/>
      <c r="E11" s="62"/>
      <c r="F11" s="63"/>
      <c r="H11" s="7" t="s">
        <v>152</v>
      </c>
      <c r="I11" s="46">
        <f>(AVERAGEIFS(TABLE1[RRR Realized],TABLE1[Outcome], "WINNER", TABLE1[Setup],"BO"))</f>
        <v>2.0822095238095235</v>
      </c>
      <c r="J11" s="7" t="s">
        <v>152</v>
      </c>
      <c r="K11" s="26">
        <f>(AVERAGEIFS(table2[RRR Realized],table2[Outcome], "WINNER", table2[Setup],"TBO"))</f>
        <v>2.1077857142857144</v>
      </c>
      <c r="L11" s="7" t="s">
        <v>152</v>
      </c>
      <c r="M11" s="46" t="e">
        <f>(AVERAGEIFS(#REF!,#REF!, "WINNER",#REF!, "TLR"))</f>
        <v>#REF!</v>
      </c>
      <c r="N11" s="7" t="s">
        <v>152</v>
      </c>
      <c r="O11" s="26"/>
    </row>
    <row r="12" spans="1:20" ht="18.75" customHeight="1" x14ac:dyDescent="0.55000000000000004">
      <c r="A12" s="58">
        <v>43613</v>
      </c>
      <c r="B12" s="60" t="s">
        <v>306</v>
      </c>
      <c r="C12" s="60"/>
      <c r="D12" s="60"/>
      <c r="E12" s="60"/>
      <c r="F12" s="61"/>
      <c r="H12" s="7" t="s">
        <v>153</v>
      </c>
      <c r="I12" s="46">
        <f>(AVERAGEIFS(TABLE1[RRR Realized],TABLE1[Outcome], "LOSER", TABLE1[Setup],"BO"))</f>
        <v>-1.044153846153846</v>
      </c>
      <c r="J12" s="7" t="s">
        <v>153</v>
      </c>
      <c r="K12" s="46">
        <f>(AVERAGEIFS(table2[RRR Realized],table2[Outcome], "LOSER", table2[Setup],"TBO"))</f>
        <v>-1.0227249999999999</v>
      </c>
      <c r="L12" s="7" t="s">
        <v>153</v>
      </c>
      <c r="M12" s="46" t="e">
        <f>(AVERAGEIFS(#REF!,#REF!, "LOSER",#REF!, "TLR"))</f>
        <v>#REF!</v>
      </c>
      <c r="N12" s="7" t="s">
        <v>153</v>
      </c>
      <c r="O12" s="46"/>
    </row>
    <row r="13" spans="1:20" ht="18" x14ac:dyDescent="0.55000000000000004">
      <c r="A13" s="59"/>
      <c r="B13" s="62"/>
      <c r="C13" s="62"/>
      <c r="D13" s="62"/>
      <c r="E13" s="62"/>
      <c r="F13" s="63"/>
      <c r="H13" s="7" t="s">
        <v>154</v>
      </c>
      <c r="I13" s="46">
        <f>AVERAGEIF(TABLE1[Setup],"BO",TABLE1[RRR Realized])</f>
        <v>0.26735937500000007</v>
      </c>
      <c r="J13" s="7" t="s">
        <v>154</v>
      </c>
      <c r="K13" s="46" t="e">
        <f>AVERAGEIF(table2[Setup],"TBO",table2[RRR Realized])</f>
        <v>#DIV/0!</v>
      </c>
      <c r="L13" s="7" t="s">
        <v>154</v>
      </c>
      <c r="M13" s="46" t="e">
        <f>AVERAGEIF(#REF!,"TLR",#REF!)</f>
        <v>#REF!</v>
      </c>
      <c r="N13" s="7" t="s">
        <v>154</v>
      </c>
      <c r="O13" s="7"/>
    </row>
    <row r="14" spans="1:20" ht="15" customHeight="1" x14ac:dyDescent="0.45">
      <c r="A14" s="58"/>
      <c r="B14" s="68"/>
      <c r="C14" s="68"/>
      <c r="D14" s="68"/>
      <c r="E14" s="68"/>
      <c r="F14" s="69"/>
    </row>
    <row r="15" spans="1:20" x14ac:dyDescent="0.45">
      <c r="A15" s="59"/>
      <c r="B15" s="70"/>
      <c r="C15" s="70"/>
      <c r="D15" s="70"/>
      <c r="E15" s="70"/>
      <c r="F15" s="71"/>
    </row>
    <row r="16" spans="1:20" ht="15" customHeight="1" x14ac:dyDescent="0.45">
      <c r="A16" s="58"/>
      <c r="B16" s="72"/>
      <c r="C16" s="72"/>
      <c r="D16" s="72"/>
      <c r="E16" s="72"/>
      <c r="F16" s="73"/>
    </row>
    <row r="17" spans="1:6" x14ac:dyDescent="0.45">
      <c r="A17" s="59"/>
      <c r="B17" s="74"/>
      <c r="C17" s="74"/>
      <c r="D17" s="74"/>
      <c r="E17" s="74"/>
      <c r="F17" s="75"/>
    </row>
    <row r="18" spans="1:6" ht="15" customHeight="1" x14ac:dyDescent="0.45">
      <c r="A18" s="58"/>
      <c r="B18" s="60"/>
      <c r="C18" s="60"/>
      <c r="D18" s="60"/>
      <c r="E18" s="60"/>
      <c r="F18" s="61"/>
    </row>
    <row r="19" spans="1:6" x14ac:dyDescent="0.45">
      <c r="A19" s="59"/>
      <c r="B19" s="62"/>
      <c r="C19" s="62"/>
      <c r="D19" s="62"/>
      <c r="E19" s="62"/>
      <c r="F19" s="63"/>
    </row>
    <row r="20" spans="1:6" ht="15" customHeight="1" x14ac:dyDescent="0.45">
      <c r="A20" s="58"/>
      <c r="B20" s="60"/>
      <c r="C20" s="60"/>
      <c r="D20" s="60"/>
      <c r="E20" s="60"/>
      <c r="F20" s="61"/>
    </row>
    <row r="21" spans="1:6" x14ac:dyDescent="0.45">
      <c r="A21" s="59"/>
      <c r="B21" s="62"/>
      <c r="C21" s="62"/>
      <c r="D21" s="62"/>
      <c r="E21" s="62"/>
      <c r="F21" s="63"/>
    </row>
    <row r="22" spans="1:6" ht="14.45" customHeight="1" x14ac:dyDescent="0.45">
      <c r="A22" s="58"/>
      <c r="B22" s="60"/>
      <c r="C22" s="60"/>
      <c r="D22" s="60"/>
      <c r="E22" s="60"/>
      <c r="F22" s="61"/>
    </row>
    <row r="23" spans="1:6" x14ac:dyDescent="0.45">
      <c r="A23" s="59"/>
      <c r="B23" s="62"/>
      <c r="C23" s="62"/>
      <c r="D23" s="62"/>
      <c r="E23" s="62"/>
      <c r="F23" s="63"/>
    </row>
    <row r="24" spans="1:6" ht="14.45" customHeight="1" x14ac:dyDescent="0.45">
      <c r="A24" s="58"/>
      <c r="B24" s="60"/>
      <c r="C24" s="60"/>
      <c r="D24" s="60"/>
      <c r="E24" s="60"/>
      <c r="F24" s="61"/>
    </row>
    <row r="25" spans="1:6" x14ac:dyDescent="0.45">
      <c r="A25" s="59"/>
      <c r="B25" s="62"/>
      <c r="C25" s="62"/>
      <c r="D25" s="62"/>
      <c r="E25" s="62"/>
      <c r="F25" s="63"/>
    </row>
    <row r="26" spans="1:6" ht="14.45" customHeight="1" x14ac:dyDescent="0.45">
      <c r="A26" s="58"/>
      <c r="B26" s="60"/>
      <c r="C26" s="60"/>
      <c r="D26" s="60"/>
      <c r="E26" s="60"/>
      <c r="F26" s="61"/>
    </row>
    <row r="27" spans="1:6" x14ac:dyDescent="0.45">
      <c r="A27" s="59"/>
      <c r="B27" s="62"/>
      <c r="C27" s="62"/>
      <c r="D27" s="62"/>
      <c r="E27" s="62"/>
      <c r="F27" s="63"/>
    </row>
    <row r="28" spans="1:6" ht="14.45" customHeight="1" x14ac:dyDescent="0.45">
      <c r="A28" s="58"/>
      <c r="B28" s="60"/>
      <c r="C28" s="60"/>
      <c r="D28" s="60"/>
      <c r="E28" s="60"/>
      <c r="F28" s="61"/>
    </row>
    <row r="29" spans="1:6" x14ac:dyDescent="0.45">
      <c r="A29" s="59"/>
      <c r="B29" s="62"/>
      <c r="C29" s="62"/>
      <c r="D29" s="62"/>
      <c r="E29" s="62"/>
      <c r="F29" s="63"/>
    </row>
    <row r="30" spans="1:6" ht="14.45" customHeight="1" x14ac:dyDescent="0.45">
      <c r="A30" s="58"/>
      <c r="B30" s="60"/>
      <c r="C30" s="60"/>
      <c r="D30" s="60"/>
      <c r="E30" s="60"/>
      <c r="F30" s="61"/>
    </row>
    <row r="31" spans="1:6" x14ac:dyDescent="0.45">
      <c r="A31" s="59"/>
      <c r="B31" s="62"/>
      <c r="C31" s="62"/>
      <c r="D31" s="62"/>
      <c r="E31" s="62"/>
      <c r="F31" s="63"/>
    </row>
  </sheetData>
  <mergeCells count="34">
    <mergeCell ref="A30:A31"/>
    <mergeCell ref="B30:F31"/>
    <mergeCell ref="A28:A29"/>
    <mergeCell ref="B28:F29"/>
    <mergeCell ref="B4:F5"/>
    <mergeCell ref="A4:A5"/>
    <mergeCell ref="B10:F11"/>
    <mergeCell ref="A10:A11"/>
    <mergeCell ref="A8:A9"/>
    <mergeCell ref="B8:F9"/>
    <mergeCell ref="A12:A13"/>
    <mergeCell ref="B12:F13"/>
    <mergeCell ref="B20:F21"/>
    <mergeCell ref="A20:A21"/>
    <mergeCell ref="B18:F19"/>
    <mergeCell ref="B16:F17"/>
    <mergeCell ref="A14:A15"/>
    <mergeCell ref="B14:F15"/>
    <mergeCell ref="L1:M1"/>
    <mergeCell ref="B6:F7"/>
    <mergeCell ref="A6:A7"/>
    <mergeCell ref="N1:O1"/>
    <mergeCell ref="B1:F1"/>
    <mergeCell ref="H1:K1"/>
    <mergeCell ref="A2:A3"/>
    <mergeCell ref="B2:F3"/>
    <mergeCell ref="A18:A19"/>
    <mergeCell ref="A16:A17"/>
    <mergeCell ref="A26:A27"/>
    <mergeCell ref="B26:F27"/>
    <mergeCell ref="A22:A23"/>
    <mergeCell ref="B22:F23"/>
    <mergeCell ref="A24:A25"/>
    <mergeCell ref="B24:F25"/>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0C8A-8522-4B7F-AC2F-01F05E12A6D2}">
  <sheetPr codeName="Worksheet______2"/>
  <dimension ref="A1:BO106"/>
  <sheetViews>
    <sheetView tabSelected="1" topLeftCell="A40" zoomScaleNormal="100" workbookViewId="0">
      <selection activeCell="AH64" sqref="AH64"/>
    </sheetView>
  </sheetViews>
  <sheetFormatPr defaultRowHeight="14.25" x14ac:dyDescent="0.45"/>
  <cols>
    <col min="1" max="1" width="12.265625" customWidth="1"/>
    <col min="2" max="2" width="5.86328125" bestFit="1" customWidth="1"/>
    <col min="3" max="3" width="12.3984375" style="2" bestFit="1" customWidth="1"/>
    <col min="4" max="4" width="11.3984375" style="1" bestFit="1" customWidth="1"/>
    <col min="5" max="5" width="10.19921875" style="1" hidden="1" customWidth="1"/>
    <col min="6" max="6" width="11.59765625" style="4" hidden="1" customWidth="1"/>
    <col min="7" max="7" width="10.53125" hidden="1" customWidth="1"/>
    <col min="8" max="8" width="9.86328125" hidden="1" customWidth="1"/>
    <col min="9" max="9" width="7.3984375" hidden="1" customWidth="1"/>
    <col min="10" max="10" width="9.33203125" hidden="1" customWidth="1"/>
    <col min="11" max="11" width="14.53125" bestFit="1" customWidth="1"/>
    <col min="12" max="12" width="11.3984375" hidden="1" customWidth="1"/>
    <col min="13" max="13" width="8.9296875" hidden="1" customWidth="1"/>
    <col min="14" max="14" width="10.19921875" hidden="1" customWidth="1"/>
    <col min="15" max="15" width="13.19921875" hidden="1" customWidth="1"/>
    <col min="16" max="16" width="12.796875" hidden="1" customWidth="1"/>
    <col min="17" max="17" width="22.6640625" hidden="1" customWidth="1"/>
    <col min="18" max="18" width="14.3984375" hidden="1" customWidth="1"/>
    <col min="19" max="19" width="10.9296875" hidden="1" customWidth="1"/>
    <col min="20" max="20" width="12.265625" hidden="1" customWidth="1"/>
    <col min="21" max="21" width="7.6640625" hidden="1" customWidth="1"/>
    <col min="22" max="22" width="11.19921875" hidden="1" customWidth="1"/>
    <col min="23" max="23" width="12.33203125" hidden="1" customWidth="1"/>
    <col min="24" max="24" width="21.33203125" hidden="1" customWidth="1"/>
    <col min="25" max="25" width="14.796875" hidden="1" customWidth="1"/>
    <col min="26" max="26" width="11.6640625" hidden="1" customWidth="1"/>
    <col min="27" max="27" width="10.19921875" hidden="1" customWidth="1"/>
    <col min="28" max="28" width="15.265625" hidden="1" customWidth="1"/>
    <col min="29" max="29" width="7.33203125" hidden="1" customWidth="1"/>
    <col min="30" max="30" width="14.06640625" hidden="1" customWidth="1"/>
    <col min="31" max="31" width="15.796875" hidden="1" customWidth="1"/>
    <col min="32" max="32" width="18.3984375" hidden="1" customWidth="1"/>
    <col min="33" max="35" width="20.86328125" customWidth="1"/>
    <col min="36" max="36" width="10.265625" bestFit="1" customWidth="1"/>
    <col min="37" max="37" width="9.86328125" bestFit="1" customWidth="1"/>
    <col min="38" max="38" width="7.73046875" hidden="1" customWidth="1"/>
    <col min="39" max="39" width="9.1328125" hidden="1" customWidth="1"/>
    <col min="40" max="40" width="12.86328125" hidden="1" customWidth="1"/>
    <col min="41" max="41" width="15.3984375" bestFit="1" customWidth="1"/>
    <col min="42" max="42" width="13.3984375" style="20" hidden="1" customWidth="1"/>
    <col min="43" max="43" width="21.265625" style="20" hidden="1" customWidth="1"/>
    <col min="44" max="44" width="10.73046875" hidden="1" customWidth="1"/>
    <col min="45" max="45" width="14.73046875" hidden="1" customWidth="1"/>
    <col min="46" max="46" width="7.265625" hidden="1" customWidth="1"/>
    <col min="47" max="47" width="10.73046875" hidden="1" customWidth="1"/>
    <col min="48" max="48" width="15.1328125" style="3" hidden="1" customWidth="1"/>
    <col min="49" max="49" width="20.1328125" style="3" hidden="1" customWidth="1"/>
    <col min="50" max="50" width="12.73046875" hidden="1" customWidth="1"/>
    <col min="51" max="51" width="14.265625" hidden="1" customWidth="1"/>
    <col min="52" max="52" width="0" hidden="1" customWidth="1"/>
    <col min="53" max="53" width="18.73046875" hidden="1" customWidth="1"/>
    <col min="54" max="54" width="14.265625" hidden="1" customWidth="1"/>
    <col min="55" max="55" width="13.73046875" hidden="1" customWidth="1"/>
    <col min="56" max="57" width="23.265625" hidden="1" customWidth="1"/>
    <col min="58" max="58" width="24.59765625" hidden="1" customWidth="1"/>
    <col min="59" max="59" width="23.265625" hidden="1" customWidth="1"/>
    <col min="60" max="60" width="28.73046875" customWidth="1"/>
    <col min="61" max="61" width="22.73046875" bestFit="1" customWidth="1"/>
    <col min="62" max="62" width="22.73046875" customWidth="1"/>
  </cols>
  <sheetData>
    <row r="1" spans="1:67" x14ac:dyDescent="0.45">
      <c r="A1" t="s">
        <v>0</v>
      </c>
      <c r="B1" t="s">
        <v>1</v>
      </c>
      <c r="C1" s="2" t="s">
        <v>2</v>
      </c>
      <c r="D1" s="1" t="s">
        <v>56</v>
      </c>
      <c r="E1" s="1" t="s">
        <v>57</v>
      </c>
      <c r="F1" s="4" t="s">
        <v>72</v>
      </c>
      <c r="G1" t="s">
        <v>65</v>
      </c>
      <c r="H1" t="s">
        <v>5</v>
      </c>
      <c r="I1" t="s">
        <v>3</v>
      </c>
      <c r="J1" t="s">
        <v>4</v>
      </c>
      <c r="K1" t="s">
        <v>106</v>
      </c>
      <c r="L1" t="s">
        <v>6</v>
      </c>
      <c r="M1" t="s">
        <v>11</v>
      </c>
      <c r="N1" t="s">
        <v>7</v>
      </c>
      <c r="O1" t="s">
        <v>8</v>
      </c>
      <c r="P1" t="s">
        <v>9</v>
      </c>
      <c r="Q1" t="s">
        <v>314</v>
      </c>
      <c r="R1" t="s">
        <v>10</v>
      </c>
      <c r="S1" t="s">
        <v>117</v>
      </c>
      <c r="T1" t="s">
        <v>144</v>
      </c>
      <c r="U1" t="s">
        <v>12</v>
      </c>
      <c r="V1" t="s">
        <v>118</v>
      </c>
      <c r="W1" t="s">
        <v>158</v>
      </c>
      <c r="X1" t="s">
        <v>165</v>
      </c>
      <c r="Y1" t="s">
        <v>160</v>
      </c>
      <c r="Z1" t="s">
        <v>168</v>
      </c>
      <c r="AA1" t="s">
        <v>162</v>
      </c>
      <c r="AB1" t="s">
        <v>16</v>
      </c>
      <c r="AC1" t="s">
        <v>15</v>
      </c>
      <c r="AD1" t="s">
        <v>313</v>
      </c>
      <c r="AE1" t="s">
        <v>169</v>
      </c>
      <c r="AF1" t="s">
        <v>170</v>
      </c>
      <c r="AG1" t="s">
        <v>318</v>
      </c>
      <c r="AH1" t="s">
        <v>317</v>
      </c>
      <c r="AI1" t="s">
        <v>76</v>
      </c>
      <c r="AJ1" t="s">
        <v>138</v>
      </c>
      <c r="AK1" t="s">
        <v>166</v>
      </c>
      <c r="AL1" t="s">
        <v>171</v>
      </c>
      <c r="AM1" t="s">
        <v>309</v>
      </c>
      <c r="AN1" t="s">
        <v>209</v>
      </c>
      <c r="AO1" s="23" t="s">
        <v>69</v>
      </c>
      <c r="AP1" t="s">
        <v>73</v>
      </c>
      <c r="AQ1" t="s">
        <v>123</v>
      </c>
      <c r="AR1" t="s">
        <v>63</v>
      </c>
      <c r="AS1" t="s">
        <v>66</v>
      </c>
      <c r="AT1" s="3" t="s">
        <v>67</v>
      </c>
      <c r="AU1" t="s">
        <v>93</v>
      </c>
      <c r="AV1" t="s">
        <v>161</v>
      </c>
      <c r="AW1" t="s">
        <v>126</v>
      </c>
      <c r="AX1" t="s">
        <v>109</v>
      </c>
      <c r="AY1" t="s">
        <v>68</v>
      </c>
      <c r="AZ1" t="s">
        <v>108</v>
      </c>
      <c r="BA1" t="s">
        <v>312</v>
      </c>
      <c r="BB1" s="24" t="s">
        <v>64</v>
      </c>
      <c r="BC1" t="s">
        <v>176</v>
      </c>
      <c r="BD1" t="s">
        <v>175</v>
      </c>
      <c r="BE1" t="s">
        <v>174</v>
      </c>
      <c r="BF1" t="s">
        <v>173</v>
      </c>
      <c r="BG1" s="47" t="s">
        <v>172</v>
      </c>
      <c r="BH1" s="20" t="s">
        <v>315</v>
      </c>
      <c r="BI1" s="20" t="s">
        <v>250</v>
      </c>
      <c r="BJ1" s="20" t="s">
        <v>316</v>
      </c>
      <c r="BK1" t="s">
        <v>251</v>
      </c>
      <c r="BL1" t="s">
        <v>222</v>
      </c>
      <c r="BM1" t="s">
        <v>223</v>
      </c>
    </row>
    <row r="2" spans="1:67" x14ac:dyDescent="0.45">
      <c r="A2" t="s">
        <v>184</v>
      </c>
      <c r="B2">
        <v>1</v>
      </c>
      <c r="C2" s="2">
        <v>43538</v>
      </c>
      <c r="D2" s="1">
        <v>0.40138888888888885</v>
      </c>
      <c r="E2" s="1">
        <v>0.40416666666666662</v>
      </c>
      <c r="F2" s="4">
        <v>3.09</v>
      </c>
      <c r="G2" s="4">
        <v>-100</v>
      </c>
      <c r="H2" s="15">
        <v>500</v>
      </c>
      <c r="I2" t="s">
        <v>18</v>
      </c>
      <c r="J2" t="s">
        <v>21</v>
      </c>
      <c r="K2">
        <v>5.43</v>
      </c>
      <c r="L2">
        <v>5.44</v>
      </c>
      <c r="M2">
        <v>5.03</v>
      </c>
      <c r="N2">
        <v>5.24</v>
      </c>
      <c r="O2">
        <v>5.5</v>
      </c>
      <c r="P2">
        <v>5.05</v>
      </c>
      <c r="Q2">
        <v>5.5</v>
      </c>
      <c r="R2">
        <v>5.5</v>
      </c>
      <c r="S2" t="b">
        <v>0</v>
      </c>
      <c r="T2" t="b">
        <v>0</v>
      </c>
      <c r="U2" t="b">
        <v>0</v>
      </c>
      <c r="V2" t="b">
        <v>1</v>
      </c>
      <c r="W2" t="b">
        <v>0</v>
      </c>
      <c r="Z2" t="b">
        <v>0</v>
      </c>
      <c r="AA2">
        <v>5.24</v>
      </c>
      <c r="AB2" t="s">
        <v>24</v>
      </c>
      <c r="AC2" t="s">
        <v>31</v>
      </c>
      <c r="AD2" t="s">
        <v>33</v>
      </c>
      <c r="AF2">
        <v>90</v>
      </c>
      <c r="AG2">
        <v>1</v>
      </c>
      <c r="AH2" t="s">
        <v>319</v>
      </c>
      <c r="AI2">
        <v>4.8</v>
      </c>
      <c r="AJ2" t="s">
        <v>135</v>
      </c>
      <c r="AK2" t="s">
        <v>167</v>
      </c>
      <c r="AL2">
        <v>5.62</v>
      </c>
      <c r="AM2">
        <v>0.15</v>
      </c>
      <c r="AO2" s="22" t="s">
        <v>185</v>
      </c>
      <c r="AP2" s="4">
        <f>IF(TABLE1[[#This Row],[Buy/Sell]]="BUY",(TABLE1[[#This Row],[Highest Price]]-TABLE1[[#This Row],[Entry Price]])/(TABLE1[[#This Row],[Intended Entry]]-TABLE1[[#This Row],[SL Price]]),(TABLE1[[#This Row],[Entry Price]]-TABLE1[[#This Row],[Lowest Price]])/(TABLE1[[#This Row],[SL Price]]-TABLE1[[#This Row],[Intended Entry]]))</f>
        <v>0.14999999999999922</v>
      </c>
      <c r="AQ2" s="19">
        <f>IF(TABLE1[[#This Row],[Buy/Sell]]="BUY",(TABLE1[[#This Row],[Entry Price]]-TABLE1[[#This Row],[Lowest Price]])/(TABLE1[[#This Row],[SL Price]]-TABLE1[[#This Row],[Intended Entry]]),(TABLE1[[#This Row],[Entry Price]]-TABLE1[[#This Row],[Highest Price]])/(TABLE1[[#This Row],[SL Price]]-TABLE1[[#This Row],[Intended Entry]]))</f>
        <v>-0.97500000000000275</v>
      </c>
      <c r="AR2" s="4" t="str">
        <f>IF(AND(TABLE1[[#This Row],[RRR Realized]]&lt;0.5,TABLE1[[#This Row],[RRR Realized]]&gt;-0.6),"BE",IF(TABLE1[[#This Row],[Gain/Loss]]&lt;0, "LOSER", "WINNER"))</f>
        <v>BE</v>
      </c>
      <c r="AS2" s="4">
        <f>TABLE1[[#This Row],[Gain/Loss]]-TABLE1[[#This Row],[Comissions]]</f>
        <v>-103.09</v>
      </c>
      <c r="AT2" s="3">
        <f>TABLE1[[#This Row],[Exit Time]]-TABLE1[[#This Row],[Entry Time]]</f>
        <v>2.7777777777777679E-3</v>
      </c>
      <c r="AU2" s="4">
        <f>-103.09</f>
        <v>-103.09</v>
      </c>
      <c r="AV2" s="4">
        <f>IF(TABLE1[[#This Row],[Potential Price Before BE]]=FALSE,"FALSE",( TABLE1[[#This Row],[Potential Price Before BE]]-TABLE1[[#This Row],[Intended Entry]])/(TABLE1[[#This Row],[Intended Entry]]-TABLE1[[#This Row],[SL Price]]))</f>
        <v>0.17500000000000093</v>
      </c>
      <c r="AW2" s="4">
        <f>(IF(TABLE1[[#This Row],[Buy/Sell]]="BUY",(TABLE1[[#This Row],[Entry Price]]-TABLE1[[#This Row],[SL Price]])/(TABLE1[[#This Row],[Intended Entry]]-TABLE1[[#This Row],[SL Price]]),(TABLE1[[#This Row],[SL Price]]-TABLE1[[#This Row],[Entry Price]])/(TABLE1[[#This Row],[SL Price]]-TABLE1[[#This Row],[Intended Entry]])))-1</f>
        <v>2.5000000000001688E-2</v>
      </c>
      <c r="AX2" s="19">
        <f>TABLE1[[#This Row],[Missed RRR on Entry]]</f>
        <v>2.5000000000001688E-2</v>
      </c>
      <c r="AY2" s="19">
        <f>ROUND((TABLE1[[#This Row],[Potential Price]]-TABLE1[[#This Row],[Entry Price]])/(TABLE1[[#This Row],[Intended Entry]]-TABLE1[[#This Row],[SL Price]]),4)</f>
        <v>0.15</v>
      </c>
      <c r="AZ2" s="19">
        <f>ROUND((TABLE1[[#This Row],[Potential Price]]-TABLE1[[#This Row],[Intended Entry]])/(TABLE1[[#This Row],[Intended Entry]]-TABLE1[[#This Row],[SL Price]]),4)</f>
        <v>0.17499999999999999</v>
      </c>
      <c r="BA2" s="19">
        <f>TABLE1[[#This Row],[RRR Potential]]-TABLE1[[#This Row],[RRR Realized]]</f>
        <v>0.65</v>
      </c>
      <c r="BB2" s="25">
        <f>ROUND((TABLE1[[#This Row],[Exit Price]]-TABLE1[[#This Row],[Entry Price]])/(TABLE1[[#This Row],[Intended Entry]]-TABLE1[[#This Row],[SL Price]]),4)</f>
        <v>-0.5</v>
      </c>
      <c r="BC2" s="4">
        <f>IF(AND((TABLE1[[#This Row],[Back to BE]])=TRUE,(TABLE1[[#This Row],[Price Behaviour]])="Fast Reversal"), 0-(TABLE1[[#This Row],[Missed RRR on Entry]]),ROUND((TABLE1[[#This Row],[Exit Price]]-TABLE1[[#This Row],[Entry Price]])/(TABLE1[[#This Row],[Intended Entry]]-TABLE1[[#This Row],[SL Price]]),4))</f>
        <v>-2.5000000000001688E-2</v>
      </c>
      <c r="BD2" s="4">
        <f>IF(AND((TABLE1[[#This Row],[Hard RRR Potential]])&gt;=1,(TABLE1[[#This Row],[Back to BE]])="True",(TABLE1[[#This Row],[Price Behaviour]])="Fast Reversal"), 1-(TABLE1[[#This Row],[Missed RRR on Entry]]),ROUND((TABLE1[[#This Row],[Exit Price]]-TABLE1[[#This Row],[Entry Price]])/(TABLE1[[#This Row],[Intended Entry]]-TABLE1[[#This Row],[SL Price]]),4))</f>
        <v>-0.5</v>
      </c>
      <c r="BE2" s="4">
        <f>IF(AND((TABLE1[[#This Row],[Hard RRR Potential]])&gt;=1.5,(TABLE1[[#This Row],[Back to BE]])="True",(TABLE1[[#This Row],[Price Behaviour]])="Fast Reversal"), 1.5-(TABLE1[[#This Row],[Missed RRR on Entry]]),ROUND((TABLE1[[#This Row],[Exit Price]]-TABLE1[[#This Row],[Entry Price]])/(TABLE1[[#This Row],[Intended Entry]]-TABLE1[[#This Row],[SL Price]]),4))</f>
        <v>-0.5</v>
      </c>
      <c r="BF2" s="4">
        <f>IF(AND((TABLE1[[#This Row],[Hard RRR Potential]])&gt;=2,(TABLE1[[#This Row],[Back to BE]])="True",(TABLE1[[#This Row],[Price Behaviour]])="Fast Reversal"), 2-(TABLE1[[#This Row],[Missed RRR on Entry]]),ROUND((TABLE1[[#This Row],[Exit Price]]-TABLE1[[#This Row],[Entry Price]])/(TABLE1[[#This Row],[Intended Entry]]-TABLE1[[#This Row],[SL Price]]),4))</f>
        <v>-0.5</v>
      </c>
      <c r="BG2" s="48">
        <f>IF((TABLE1[[#This Row],[Pattern SL]])&lt;&gt;FALSE,((TABLE1[[#This Row],[Pattern SL]])-(TABLE1[[#This Row],[Entry Price]]))/((TABLE1[[#This Row],[Intended Entry]])-(TABLE1[[#This Row],[SL Price]])),ROUND((TABLE1[[#This Row],[Exit Price]]-TABLE1[[#This Row],[Entry Price]])/(TABLE1[[#This Row],[Intended Entry]]-TABLE1[[#This Row],[SL Price]]),4))</f>
        <v>-0.5</v>
      </c>
      <c r="BH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v>
      </c>
      <c r="BI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-0.50000000000000111</v>
      </c>
      <c r="BJ2" s="21">
        <f>IF( TABLE1[[#This Row],[Wick Exit]]&lt;&gt; FALSE,TABLE1[[#This Row],[RRR Wick Exit]],IF(TABLE1[[#This Row],[Volume Exit]]&lt;&gt; FALSE,TABLE1[[#This Row],[RRR Volume Exit]],TABLE1[[#This Row],[RRR Realized]]))</f>
        <v>-0.50000000000000111</v>
      </c>
      <c r="BK2"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-0.5</v>
      </c>
      <c r="BL2" s="4">
        <f>IF(OR(AND(TABLE1[[#This Row],[Hard RRR Potential]]&gt;=2.5,TABLE1[[#This Row],[Volume Exit]]=FALSE,TABLE1[[#This Row],[Wick Exit]]=FALSE),AND(TABLE1[[#This Row],[Hard RRR Potential]]&gt;=2.5,TABLE1[[#This Row],[Volume Exit RRR Reach]]&gt;=2.5,TABLE1[[#This Row],[Wick Exit]]=FALSE)), 2.5-TABLE1[[#This Row],[Missed RRR on Entry]],TABLE1[[#This Row],[RRR Realized]])</f>
        <v>-0.5</v>
      </c>
      <c r="BM2" s="4">
        <f>IF(OR(AND(TABLE1[[#This Row],[Hard RRR Potential]]&gt;=3,TABLE1[[#This Row],[Volume Exit]]=FALSE,TABLE1[[#This Row],[Wick Exit]]=FALSE),AND(TABLE1[[#This Row],[Hard RRR Potential]]&gt;=3,TABLE1[[#This Row],[Volume Exit RRR Reach]]&gt;=3,TABLE1[[#This Row],[Wick Exit]]=FALSE)), 3-TABLE1[[#This Row],[Missed RRR on Entry]],TABLE1[[#This Row],[RRR Realized]])</f>
        <v>-0.5</v>
      </c>
      <c r="BN2" s="4"/>
      <c r="BO2" s="4"/>
    </row>
    <row r="3" spans="1:67" x14ac:dyDescent="0.45">
      <c r="A3" t="s">
        <v>186</v>
      </c>
      <c r="B3">
        <v>2</v>
      </c>
      <c r="C3" s="2">
        <v>43539</v>
      </c>
      <c r="D3" s="1">
        <v>0.40763888888888888</v>
      </c>
      <c r="E3" s="1">
        <v>0.42152777777777778</v>
      </c>
      <c r="F3" s="4">
        <v>5.09</v>
      </c>
      <c r="G3" s="4">
        <v>325</v>
      </c>
      <c r="H3" s="15">
        <v>500</v>
      </c>
      <c r="I3" t="s">
        <v>18</v>
      </c>
      <c r="J3" t="s">
        <v>21</v>
      </c>
      <c r="K3">
        <v>3.38</v>
      </c>
      <c r="L3">
        <v>3.39</v>
      </c>
      <c r="M3">
        <v>3.18</v>
      </c>
      <c r="N3">
        <v>4.04</v>
      </c>
      <c r="O3">
        <v>4.4400000000000004</v>
      </c>
      <c r="P3">
        <v>3.26</v>
      </c>
      <c r="Q3" t="b">
        <v>0</v>
      </c>
      <c r="R3">
        <v>4.8899999999999997</v>
      </c>
      <c r="S3" t="b">
        <v>0</v>
      </c>
      <c r="T3" t="b">
        <v>0</v>
      </c>
      <c r="U3" t="b">
        <v>1</v>
      </c>
      <c r="W3">
        <v>4.04</v>
      </c>
      <c r="X3">
        <v>6</v>
      </c>
      <c r="Y3" t="b">
        <v>0</v>
      </c>
      <c r="Z3" t="b">
        <v>0</v>
      </c>
      <c r="AA3" t="b">
        <v>0</v>
      </c>
      <c r="AB3" t="s">
        <v>25</v>
      </c>
      <c r="AC3" t="s">
        <v>28</v>
      </c>
      <c r="AD3" t="s">
        <v>33</v>
      </c>
      <c r="AE3">
        <v>120</v>
      </c>
      <c r="AF3">
        <v>73</v>
      </c>
      <c r="AG3">
        <v>1</v>
      </c>
      <c r="AH3" t="b">
        <v>0</v>
      </c>
      <c r="AI3">
        <v>3</v>
      </c>
      <c r="AJ3" t="s">
        <v>135</v>
      </c>
      <c r="AK3" t="s">
        <v>187</v>
      </c>
      <c r="AL3">
        <v>6.57</v>
      </c>
      <c r="AM3">
        <v>0.38</v>
      </c>
      <c r="AO3" s="22" t="s">
        <v>188</v>
      </c>
      <c r="AP3" s="4">
        <f>IF(TABLE1[[#This Row],[Buy/Sell]]="BUY",(TABLE1[[#This Row],[Highest Price]]-TABLE1[[#This Row],[Entry Price]])/(TABLE1[[#This Row],[Intended Entry]]-TABLE1[[#This Row],[SL Price]]),(TABLE1[[#This Row],[Entry Price]]-TABLE1[[#This Row],[Lowest Price]])/(TABLE1[[#This Row],[SL Price]]-TABLE1[[#This Row],[Intended Entry]]))</f>
        <v>5.250000000000008</v>
      </c>
      <c r="AQ3" s="19">
        <f>IF(TABLE1[[#This Row],[Buy/Sell]]="BUY",(TABLE1[[#This Row],[Entry Price]]-TABLE1[[#This Row],[Lowest Price]])/(TABLE1[[#This Row],[SL Price]]-TABLE1[[#This Row],[Intended Entry]]),(TABLE1[[#This Row],[Entry Price]]-TABLE1[[#This Row],[Highest Price]])/(TABLE1[[#This Row],[SL Price]]-TABLE1[[#This Row],[Intended Entry]]))</f>
        <v>-0.65000000000000258</v>
      </c>
      <c r="AR3" s="4" t="str">
        <f>IF(AND(TABLE1[[#This Row],[RRR Realized]]&lt;0.5,TABLE1[[#This Row],[RRR Realized]]&gt;-0.6),"BE",IF(TABLE1[[#This Row],[Gain/Loss]]&lt;0, "LOSER", "WINNER"))</f>
        <v>WINNER</v>
      </c>
      <c r="AS3" s="4">
        <f>TABLE1[[#This Row],[Gain/Loss]]-TABLE1[[#This Row],[Comissions]]</f>
        <v>319.91000000000003</v>
      </c>
      <c r="AT3" s="3">
        <f>TABLE1[[#This Row],[Exit Time]]-TABLE1[[#This Row],[Entry Time]]</f>
        <v>1.3888888888888895E-2</v>
      </c>
      <c r="AU3" s="4">
        <f>TABLE1[[#This Row],[Net Gain/Loss]]+AU2</f>
        <v>216.82000000000002</v>
      </c>
      <c r="AV3" s="4" t="str">
        <f>IF(TABLE1[[#This Row],[Potential Price Before BE]]=FALSE,"FALSE",( TABLE1[[#This Row],[Potential Price Before BE]]-TABLE1[[#This Row],[Intended Entry]])/(TABLE1[[#This Row],[Intended Entry]]-TABLE1[[#This Row],[SL Price]]))</f>
        <v>FALSE</v>
      </c>
      <c r="AW3" s="4">
        <f>(IF(TABLE1[[#This Row],[Buy/Sell]]="BUY",(TABLE1[[#This Row],[Entry Price]]-TABLE1[[#This Row],[SL Price]])/(TABLE1[[#This Row],[Intended Entry]]-TABLE1[[#This Row],[SL Price]]),(TABLE1[[#This Row],[SL Price]]-TABLE1[[#This Row],[Entry Price]])/(TABLE1[[#This Row],[SL Price]]-TABLE1[[#This Row],[Intended Entry]])))-1</f>
        <v>5.0000000000001155E-2</v>
      </c>
      <c r="AX3" s="19">
        <f>TABLE1[[#This Row],[Missed RRR on Entry]]</f>
        <v>5.0000000000001155E-2</v>
      </c>
      <c r="AY3" s="19">
        <f>ROUND((TABLE1[[#This Row],[Potential Price]]-TABLE1[[#This Row],[Entry Price]])/(TABLE1[[#This Row],[Intended Entry]]-TABLE1[[#This Row],[SL Price]]),4)</f>
        <v>7.5</v>
      </c>
      <c r="AZ3" s="19">
        <f>ROUND((TABLE1[[#This Row],[Potential Price]]-TABLE1[[#This Row],[Intended Entry]])/(TABLE1[[#This Row],[Intended Entry]]-TABLE1[[#This Row],[SL Price]]),4)</f>
        <v>7.55</v>
      </c>
      <c r="BA3" s="19">
        <f>TABLE1[[#This Row],[RRR Potential]]-TABLE1[[#This Row],[RRR Realized]]</f>
        <v>4.25</v>
      </c>
      <c r="BB3" s="25">
        <f>ROUND((TABLE1[[#This Row],[Exit Price]]-TABLE1[[#This Row],[Entry Price]])/(TABLE1[[#This Row],[Intended Entry]]-TABLE1[[#This Row],[SL Price]]),4)</f>
        <v>3.25</v>
      </c>
      <c r="BC3" s="4">
        <f>IF(AND((TABLE1[[#This Row],[Back to BE]])=TRUE,(TABLE1[[#This Row],[Price Behaviour]])="Fast Reversal"), 0-(TABLE1[[#This Row],[Missed RRR on Entry]]),ROUND((TABLE1[[#This Row],[Exit Price]]-TABLE1[[#This Row],[Entry Price]])/(TABLE1[[#This Row],[Intended Entry]]-TABLE1[[#This Row],[SL Price]]),4))</f>
        <v>3.25</v>
      </c>
      <c r="BD3" s="4">
        <f>IF(AND((TABLE1[[#This Row],[Hard RRR Potential]])&gt;=1,(TABLE1[[#This Row],[Back to BE]])="True",(TABLE1[[#This Row],[Price Behaviour]])="Fast Reversal"), 1-(TABLE1[[#This Row],[Missed RRR on Entry]]),ROUND((TABLE1[[#This Row],[Exit Price]]-TABLE1[[#This Row],[Entry Price]])/(TABLE1[[#This Row],[Intended Entry]]-TABLE1[[#This Row],[SL Price]]),4))</f>
        <v>3.25</v>
      </c>
      <c r="BE3" s="4">
        <f>IF(AND((TABLE1[[#This Row],[Hard RRR Potential]])&gt;=1.5,(TABLE1[[#This Row],[Back to BE]])="True",(TABLE1[[#This Row],[Price Behaviour]])="Fast Reversal"), 1.5-(TABLE1[[#This Row],[Missed RRR on Entry]]),ROUND((TABLE1[[#This Row],[Exit Price]]-TABLE1[[#This Row],[Entry Price]])/(TABLE1[[#This Row],[Intended Entry]]-TABLE1[[#This Row],[SL Price]]),4))</f>
        <v>3.25</v>
      </c>
      <c r="BF3" s="4">
        <f>IF(AND((TABLE1[[#This Row],[Hard RRR Potential]])&gt;=2,(TABLE1[[#This Row],[Back to BE]])="True",(TABLE1[[#This Row],[Price Behaviour]])="Fast Reversal"), 2-(TABLE1[[#This Row],[Missed RRR on Entry]]),ROUND((TABLE1[[#This Row],[Exit Price]]-TABLE1[[#This Row],[Entry Price]])/(TABLE1[[#This Row],[Intended Entry]]-TABLE1[[#This Row],[SL Price]]),4))</f>
        <v>3.25</v>
      </c>
      <c r="BG3" s="48">
        <f>IF((TABLE1[[#This Row],[Pattern SL]])&lt;&gt;FALSE,((TABLE1[[#This Row],[Pattern SL]])-(TABLE1[[#This Row],[Entry Price]]))/((TABLE1[[#This Row],[Intended Entry]])-(TABLE1[[#This Row],[SL Price]])),ROUND((TABLE1[[#This Row],[Exit Price]]-TABLE1[[#This Row],[Entry Price]])/(TABLE1[[#This Row],[Intended Entry]]-TABLE1[[#This Row],[SL Price]]),4))</f>
        <v>3.25</v>
      </c>
      <c r="BH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3.250000000000004</v>
      </c>
      <c r="BI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3.25</v>
      </c>
      <c r="BJ3" s="21">
        <f>IF( TABLE1[[#This Row],[Wick Exit]]&lt;&gt; FALSE,TABLE1[[#This Row],[RRR Wick Exit]],IF(TABLE1[[#This Row],[Volume Exit]]&lt;&gt; FALSE,TABLE1[[#This Row],[RRR Volume Exit]],TABLE1[[#This Row],[RRR Realized]]))</f>
        <v>3.250000000000004</v>
      </c>
      <c r="BK3"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3.25</v>
      </c>
      <c r="BL3" s="4">
        <f>IF(OR(AND(TABLE1[[#This Row],[Hard RRR Potential]]&gt;=2.5,TABLE1[[#This Row],[Volume Exit]]=FALSE,TABLE1[[#This Row],[Wick Exit]]=FALSE),AND(TABLE1[[#This Row],[Hard RRR Potential]]&gt;=2.5,TABLE1[[#This Row],[Volume Exit RRR Reach]]&gt;=2.5,TABLE1[[#This Row],[Wick Exit]]=FALSE)), 2.5-TABLE1[[#This Row],[Missed RRR on Entry]],TABLE1[[#This Row],[RRR Realized]])</f>
        <v>2.4499999999999988</v>
      </c>
      <c r="BM3" s="4">
        <f>IF(OR(AND(TABLE1[[#This Row],[Hard RRR Potential]]&gt;=3,TABLE1[[#This Row],[Volume Exit]]=FALSE,TABLE1[[#This Row],[Wick Exit]]=FALSE),AND(TABLE1[[#This Row],[Hard RRR Potential]]&gt;=3,TABLE1[[#This Row],[Volume Exit RRR Reach]]&gt;=3,TABLE1[[#This Row],[Wick Exit]]=FALSE)), 3-TABLE1[[#This Row],[Missed RRR on Entry]],TABLE1[[#This Row],[RRR Realized]])</f>
        <v>2.9499999999999988</v>
      </c>
      <c r="BN3" s="4"/>
      <c r="BO3" s="4"/>
    </row>
    <row r="4" spans="1:67" x14ac:dyDescent="0.45">
      <c r="A4" t="s">
        <v>184</v>
      </c>
      <c r="B4">
        <v>3</v>
      </c>
      <c r="C4" s="2">
        <v>43542</v>
      </c>
      <c r="D4" s="1">
        <v>0.44236111111111115</v>
      </c>
      <c r="E4" s="1">
        <v>0.44861111111111113</v>
      </c>
      <c r="F4" s="4">
        <v>5.09</v>
      </c>
      <c r="G4" s="4">
        <v>-125</v>
      </c>
      <c r="H4" s="15">
        <v>500</v>
      </c>
      <c r="I4" t="s">
        <v>18</v>
      </c>
      <c r="J4" t="s">
        <v>21</v>
      </c>
      <c r="K4">
        <v>4.99</v>
      </c>
      <c r="L4">
        <v>4.99</v>
      </c>
      <c r="M4">
        <v>4.79</v>
      </c>
      <c r="N4">
        <v>4.76</v>
      </c>
      <c r="O4">
        <v>5.35</v>
      </c>
      <c r="P4">
        <v>4.76</v>
      </c>
      <c r="Q4">
        <v>5.35</v>
      </c>
      <c r="R4">
        <v>5.35</v>
      </c>
      <c r="S4" t="b">
        <v>0</v>
      </c>
      <c r="T4" t="b">
        <v>0</v>
      </c>
      <c r="U4" t="b">
        <v>0</v>
      </c>
      <c r="V4" t="b">
        <v>0</v>
      </c>
      <c r="W4">
        <v>5.2</v>
      </c>
      <c r="X4" t="b">
        <v>0</v>
      </c>
      <c r="Y4" t="b">
        <v>0</v>
      </c>
      <c r="Z4" t="b">
        <v>0</v>
      </c>
      <c r="AA4" t="b">
        <v>0</v>
      </c>
      <c r="AB4" t="s">
        <v>25</v>
      </c>
      <c r="AC4" t="s">
        <v>28</v>
      </c>
      <c r="AD4" t="s">
        <v>33</v>
      </c>
      <c r="AE4">
        <v>10.220000000000001</v>
      </c>
      <c r="AF4">
        <v>25</v>
      </c>
      <c r="AG4">
        <v>3</v>
      </c>
      <c r="AH4" t="b">
        <v>0</v>
      </c>
      <c r="AI4">
        <v>4.4000000000000004</v>
      </c>
      <c r="AJ4" t="s">
        <v>135</v>
      </c>
      <c r="AK4" t="s">
        <v>189</v>
      </c>
      <c r="AL4">
        <v>5.62</v>
      </c>
      <c r="AM4">
        <v>0.02</v>
      </c>
      <c r="AO4" s="22" t="s">
        <v>190</v>
      </c>
      <c r="AP4" s="4">
        <f>IF(TABLE1[[#This Row],[Buy/Sell]]="BUY",(TABLE1[[#This Row],[Highest Price]]-TABLE1[[#This Row],[Entry Price]])/(TABLE1[[#This Row],[Intended Entry]]-TABLE1[[#This Row],[SL Price]]),(TABLE1[[#This Row],[Entry Price]]-TABLE1[[#This Row],[Lowest Price]])/(TABLE1[[#This Row],[SL Price]]-TABLE1[[#This Row],[Intended Entry]]))</f>
        <v>1.7999999999999956</v>
      </c>
      <c r="AQ4" s="19">
        <f>IF(TABLE1[[#This Row],[Buy/Sell]]="BUY",(TABLE1[[#This Row],[Entry Price]]-TABLE1[[#This Row],[Lowest Price]])/(TABLE1[[#This Row],[SL Price]]-TABLE1[[#This Row],[Intended Entry]]),(TABLE1[[#This Row],[Entry Price]]-TABLE1[[#This Row],[Highest Price]])/(TABLE1[[#This Row],[SL Price]]-TABLE1[[#This Row],[Intended Entry]]))</f>
        <v>-1.150000000000001</v>
      </c>
      <c r="AR4" s="4" t="str">
        <f>IF(AND(TABLE1[[#This Row],[RRR Realized]]&lt;0.5,TABLE1[[#This Row],[RRR Realized]]&gt;-0.6),"BE",IF(TABLE1[[#This Row],[Gain/Loss]]&lt;0, "LOSER", "WINNER"))</f>
        <v>LOSER</v>
      </c>
      <c r="AS4" s="4">
        <f>TABLE1[[#This Row],[Gain/Loss]]-TABLE1[[#This Row],[Comissions]]</f>
        <v>-130.09</v>
      </c>
      <c r="AT4" s="3">
        <f>TABLE1[[#This Row],[Exit Time]]-TABLE1[[#This Row],[Entry Time]]</f>
        <v>6.2499999999999778E-3</v>
      </c>
      <c r="AU4" s="4">
        <f>TABLE1[[#This Row],[Net Gain/Loss]]+AU3</f>
        <v>86.730000000000018</v>
      </c>
      <c r="AV4" s="4">
        <f>IF(TABLE1[[#This Row],[Potential Price Before BE]]=FALSE,"FALSE",( TABLE1[[#This Row],[Potential Price Before BE]]-TABLE1[[#This Row],[Intended Entry]])/(TABLE1[[#This Row],[Intended Entry]]-TABLE1[[#This Row],[SL Price]]))</f>
        <v>1.7999999999999956</v>
      </c>
      <c r="AW4" s="4">
        <f>(IF(TABLE1[[#This Row],[Buy/Sell]]="BUY",(TABLE1[[#This Row],[Entry Price]]-TABLE1[[#This Row],[SL Price]])/(TABLE1[[#This Row],[Intended Entry]]-TABLE1[[#This Row],[SL Price]]),(TABLE1[[#This Row],[SL Price]]-TABLE1[[#This Row],[Entry Price]])/(TABLE1[[#This Row],[SL Price]]-TABLE1[[#This Row],[Intended Entry]])))-1</f>
        <v>0</v>
      </c>
      <c r="AX4" s="19">
        <f>TABLE1[[#This Row],[Missed RRR on Entry]]</f>
        <v>0</v>
      </c>
      <c r="AY4" s="19">
        <f>ROUND((TABLE1[[#This Row],[Potential Price]]-TABLE1[[#This Row],[Entry Price]])/(TABLE1[[#This Row],[Intended Entry]]-TABLE1[[#This Row],[SL Price]]),4)</f>
        <v>1.8</v>
      </c>
      <c r="AZ4" s="19">
        <f>ROUND((TABLE1[[#This Row],[Potential Price]]-TABLE1[[#This Row],[Intended Entry]])/(TABLE1[[#This Row],[Intended Entry]]-TABLE1[[#This Row],[SL Price]]),4)</f>
        <v>1.8</v>
      </c>
      <c r="BA4" s="19">
        <f>TABLE1[[#This Row],[RRR Potential]]-TABLE1[[#This Row],[RRR Realized]]</f>
        <v>2.95</v>
      </c>
      <c r="BB4" s="25">
        <f>ROUND((TABLE1[[#This Row],[Exit Price]]-TABLE1[[#This Row],[Entry Price]])/(TABLE1[[#This Row],[Intended Entry]]-TABLE1[[#This Row],[SL Price]]),4)</f>
        <v>-1.1499999999999999</v>
      </c>
      <c r="BC4" s="4">
        <f>IF(AND((TABLE1[[#This Row],[Back to BE]])=TRUE,(TABLE1[[#This Row],[Price Behaviour]])="Fast Reversal"), 0-(TABLE1[[#This Row],[Missed RRR on Entry]]),ROUND((TABLE1[[#This Row],[Exit Price]]-TABLE1[[#This Row],[Entry Price]])/(TABLE1[[#This Row],[Intended Entry]]-TABLE1[[#This Row],[SL Price]]),4))</f>
        <v>-1.1499999999999999</v>
      </c>
      <c r="BD4" s="4">
        <f>IF(AND((TABLE1[[#This Row],[Hard RRR Potential]])&gt;=1,(TABLE1[[#This Row],[Back to BE]])="True",(TABLE1[[#This Row],[Price Behaviour]])="Fast Reversal"), 1-(TABLE1[[#This Row],[Missed RRR on Entry]]),ROUND((TABLE1[[#This Row],[Exit Price]]-TABLE1[[#This Row],[Entry Price]])/(TABLE1[[#This Row],[Intended Entry]]-TABLE1[[#This Row],[SL Price]]),4))</f>
        <v>-1.1499999999999999</v>
      </c>
      <c r="BE4" s="4">
        <f>IF(AND((TABLE1[[#This Row],[Hard RRR Potential]])&gt;=1.5,(TABLE1[[#This Row],[Back to BE]])="True",(TABLE1[[#This Row],[Price Behaviour]])="Fast Reversal"), 1.5-(TABLE1[[#This Row],[Missed RRR on Entry]]),ROUND((TABLE1[[#This Row],[Exit Price]]-TABLE1[[#This Row],[Entry Price]])/(TABLE1[[#This Row],[Intended Entry]]-TABLE1[[#This Row],[SL Price]]),4))</f>
        <v>-1.1499999999999999</v>
      </c>
      <c r="BF4" s="4">
        <f>IF(AND((TABLE1[[#This Row],[Hard RRR Potential]])&gt;=2,(TABLE1[[#This Row],[Back to BE]])="True",(TABLE1[[#This Row],[Price Behaviour]])="Fast Reversal"), 2-(TABLE1[[#This Row],[Missed RRR on Entry]]),ROUND((TABLE1[[#This Row],[Exit Price]]-TABLE1[[#This Row],[Entry Price]])/(TABLE1[[#This Row],[Intended Entry]]-TABLE1[[#This Row],[SL Price]]),4))</f>
        <v>-1.1499999999999999</v>
      </c>
      <c r="BG4" s="48">
        <f>IF((TABLE1[[#This Row],[Pattern SL]])&lt;&gt;FALSE,((TABLE1[[#This Row],[Pattern SL]])-(TABLE1[[#This Row],[Entry Price]]))/((TABLE1[[#This Row],[Intended Entry]])-(TABLE1[[#This Row],[SL Price]])),ROUND((TABLE1[[#This Row],[Exit Price]]-TABLE1[[#This Row],[Entry Price]])/(TABLE1[[#This Row],[Intended Entry]]-TABLE1[[#This Row],[SL Price]]),4))</f>
        <v>-1.1499999999999999</v>
      </c>
      <c r="BH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1.0499999999999989</v>
      </c>
      <c r="BI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-1.1499999999999999</v>
      </c>
      <c r="BJ4" s="21">
        <f>IF( TABLE1[[#This Row],[Wick Exit]]&lt;&gt; FALSE,TABLE1[[#This Row],[RRR Wick Exit]],IF(TABLE1[[#This Row],[Volume Exit]]&lt;&gt; FALSE,TABLE1[[#This Row],[RRR Volume Exit]],TABLE1[[#This Row],[RRR Realized]]))</f>
        <v>1.0499999999999989</v>
      </c>
      <c r="BK4"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-1.1499999999999999</v>
      </c>
      <c r="BL4" s="4">
        <f>IF(OR(AND(TABLE1[[#This Row],[Hard RRR Potential]]&gt;=2.5,TABLE1[[#This Row],[Volume Exit]]=FALSE,TABLE1[[#This Row],[Wick Exit]]=FALSE),AND(TABLE1[[#This Row],[Hard RRR Potential]]&gt;=2.5,TABLE1[[#This Row],[Volume Exit RRR Reach]]&gt;=2.5,TABLE1[[#This Row],[Wick Exit]]=FALSE)), 2.5-TABLE1[[#This Row],[Missed RRR on Entry]],TABLE1[[#This Row],[RRR Realized]])</f>
        <v>-1.1499999999999999</v>
      </c>
      <c r="BM4" s="4">
        <f>IF(OR(AND(TABLE1[[#This Row],[Hard RRR Potential]]&gt;=3,TABLE1[[#This Row],[Volume Exit]]=FALSE,TABLE1[[#This Row],[Wick Exit]]=FALSE),AND(TABLE1[[#This Row],[Hard RRR Potential]]&gt;=3,TABLE1[[#This Row],[Volume Exit RRR Reach]]&gt;=3,TABLE1[[#This Row],[Wick Exit]]=FALSE)), 3-TABLE1[[#This Row],[Missed RRR on Entry]],TABLE1[[#This Row],[RRR Realized]])</f>
        <v>-1.1499999999999999</v>
      </c>
      <c r="BN4" s="4"/>
      <c r="BO4" s="4"/>
    </row>
    <row r="5" spans="1:67" x14ac:dyDescent="0.45">
      <c r="A5" t="s">
        <v>191</v>
      </c>
      <c r="B5">
        <v>4</v>
      </c>
      <c r="C5" s="2">
        <v>43543</v>
      </c>
      <c r="D5" s="1">
        <v>0.40833333333333338</v>
      </c>
      <c r="E5" s="1">
        <v>0.41736111111111113</v>
      </c>
      <c r="F5" s="4">
        <v>2.54</v>
      </c>
      <c r="G5" s="4">
        <v>87.5</v>
      </c>
      <c r="H5" s="15">
        <v>250</v>
      </c>
      <c r="I5" t="s">
        <v>18</v>
      </c>
      <c r="J5" t="s">
        <v>21</v>
      </c>
      <c r="K5">
        <v>4.07</v>
      </c>
      <c r="L5">
        <v>4.07</v>
      </c>
      <c r="M5">
        <v>3.6700000000000004</v>
      </c>
      <c r="N5">
        <v>4.42</v>
      </c>
      <c r="O5">
        <v>4.99</v>
      </c>
      <c r="P5">
        <v>4.05</v>
      </c>
      <c r="Q5">
        <v>4.99</v>
      </c>
      <c r="R5">
        <v>4.99</v>
      </c>
      <c r="S5" t="b">
        <v>0</v>
      </c>
      <c r="T5" t="b">
        <v>0</v>
      </c>
      <c r="U5" t="b">
        <v>0</v>
      </c>
      <c r="W5">
        <v>4.42</v>
      </c>
      <c r="X5">
        <v>2.2999999999999998</v>
      </c>
      <c r="Y5" t="b">
        <v>0</v>
      </c>
      <c r="Z5" t="b">
        <v>0</v>
      </c>
      <c r="AA5" t="b">
        <v>0</v>
      </c>
      <c r="AB5" t="s">
        <v>25</v>
      </c>
      <c r="AC5" t="s">
        <v>28</v>
      </c>
      <c r="AD5" t="s">
        <v>33</v>
      </c>
      <c r="AE5">
        <v>1216</v>
      </c>
      <c r="AF5">
        <v>30</v>
      </c>
      <c r="AG5">
        <v>1</v>
      </c>
      <c r="AH5" t="s">
        <v>319</v>
      </c>
      <c r="AI5">
        <v>3.75</v>
      </c>
      <c r="AJ5" t="s">
        <v>135</v>
      </c>
      <c r="AK5" t="s">
        <v>167</v>
      </c>
      <c r="AL5">
        <v>3.96</v>
      </c>
      <c r="AM5">
        <v>0.24</v>
      </c>
      <c r="AO5" s="22" t="s">
        <v>192</v>
      </c>
      <c r="AP5" s="4">
        <f>IF(TABLE1[[#This Row],[Buy/Sell]]="BUY",(TABLE1[[#This Row],[Highest Price]]-TABLE1[[#This Row],[Entry Price]])/(TABLE1[[#This Row],[Intended Entry]]-TABLE1[[#This Row],[SL Price]]),(TABLE1[[#This Row],[Entry Price]]-TABLE1[[#This Row],[Lowest Price]])/(TABLE1[[#This Row],[SL Price]]-TABLE1[[#This Row],[Intended Entry]]))</f>
        <v>2.3000000000000003</v>
      </c>
      <c r="AQ5" s="19">
        <f>IF(TABLE1[[#This Row],[Buy/Sell]]="BUY",(TABLE1[[#This Row],[Entry Price]]-TABLE1[[#This Row],[Lowest Price]])/(TABLE1[[#This Row],[SL Price]]-TABLE1[[#This Row],[Intended Entry]]),(TABLE1[[#This Row],[Entry Price]]-TABLE1[[#This Row],[Highest Price]])/(TABLE1[[#This Row],[SL Price]]-TABLE1[[#This Row],[Intended Entry]]))</f>
        <v>-5.0000000000001169E-2</v>
      </c>
      <c r="AR5" s="4" t="str">
        <f>IF(AND(TABLE1[[#This Row],[RRR Realized]]&lt;0.5,TABLE1[[#This Row],[RRR Realized]]&gt;-0.6),"BE",IF(TABLE1[[#This Row],[Gain/Loss]]&lt;0, "LOSER", "WINNER"))</f>
        <v>WINNER</v>
      </c>
      <c r="AS5" s="4">
        <f>TABLE1[[#This Row],[Gain/Loss]]-TABLE1[[#This Row],[Comissions]]</f>
        <v>84.96</v>
      </c>
      <c r="AT5" s="3">
        <f>TABLE1[[#This Row],[Exit Time]]-TABLE1[[#This Row],[Entry Time]]</f>
        <v>9.0277777777777457E-3</v>
      </c>
      <c r="AU5" s="4">
        <f>TABLE1[[#This Row],[Net Gain/Loss]]+AU4</f>
        <v>171.69</v>
      </c>
      <c r="AV5" s="4">
        <f>IF(TABLE1[[#This Row],[Potential Price Before BE]]=FALSE,"FALSE",( TABLE1[[#This Row],[Potential Price Before BE]]-TABLE1[[#This Row],[Intended Entry]])/(TABLE1[[#This Row],[Intended Entry]]-TABLE1[[#This Row],[SL Price]]))</f>
        <v>2.3000000000000003</v>
      </c>
      <c r="AW5" s="4">
        <f>(IF(TABLE1[[#This Row],[Buy/Sell]]="BUY",(TABLE1[[#This Row],[Entry Price]]-TABLE1[[#This Row],[SL Price]])/(TABLE1[[#This Row],[Intended Entry]]-TABLE1[[#This Row],[SL Price]]),(TABLE1[[#This Row],[SL Price]]-TABLE1[[#This Row],[Entry Price]])/(TABLE1[[#This Row],[SL Price]]-TABLE1[[#This Row],[Intended Entry]])))-1</f>
        <v>0</v>
      </c>
      <c r="AX5" s="19">
        <f>TABLE1[[#This Row],[Missed RRR on Entry]]</f>
        <v>0</v>
      </c>
      <c r="AY5" s="19">
        <f>ROUND((TABLE1[[#This Row],[Potential Price]]-TABLE1[[#This Row],[Entry Price]])/(TABLE1[[#This Row],[Intended Entry]]-TABLE1[[#This Row],[SL Price]]),4)</f>
        <v>2.2999999999999998</v>
      </c>
      <c r="AZ5" s="19">
        <f>ROUND((TABLE1[[#This Row],[Potential Price]]-TABLE1[[#This Row],[Intended Entry]])/(TABLE1[[#This Row],[Intended Entry]]-TABLE1[[#This Row],[SL Price]]),4)</f>
        <v>2.2999999999999998</v>
      </c>
      <c r="BA5" s="19">
        <f>TABLE1[[#This Row],[RRR Potential]]-TABLE1[[#This Row],[RRR Realized]]</f>
        <v>1.4249999999999998</v>
      </c>
      <c r="BB5" s="25">
        <f>ROUND((TABLE1[[#This Row],[Exit Price]]-TABLE1[[#This Row],[Entry Price]])/(TABLE1[[#This Row],[Intended Entry]]-TABLE1[[#This Row],[SL Price]]),4)</f>
        <v>0.875</v>
      </c>
      <c r="BC5" s="4">
        <f>IF(AND((TABLE1[[#This Row],[Back to BE]])=TRUE,(TABLE1[[#This Row],[Price Behaviour]])="Fast Reversal"), 0-(TABLE1[[#This Row],[Missed RRR on Entry]]),ROUND((TABLE1[[#This Row],[Exit Price]]-TABLE1[[#This Row],[Entry Price]])/(TABLE1[[#This Row],[Intended Entry]]-TABLE1[[#This Row],[SL Price]]),4))</f>
        <v>0.875</v>
      </c>
      <c r="BD5" s="4">
        <f>IF(AND((TABLE1[[#This Row],[Hard RRR Potential]])&gt;=1,(TABLE1[[#This Row],[Back to BE]])="True",(TABLE1[[#This Row],[Price Behaviour]])="Fast Reversal"), 1-(TABLE1[[#This Row],[Missed RRR on Entry]]),ROUND((TABLE1[[#This Row],[Exit Price]]-TABLE1[[#This Row],[Entry Price]])/(TABLE1[[#This Row],[Intended Entry]]-TABLE1[[#This Row],[SL Price]]),4))</f>
        <v>0.875</v>
      </c>
      <c r="BE5" s="4">
        <f>IF(AND((TABLE1[[#This Row],[Hard RRR Potential]])&gt;=1.5,(TABLE1[[#This Row],[Back to BE]])="True",(TABLE1[[#This Row],[Price Behaviour]])="Fast Reversal"), 1.5-(TABLE1[[#This Row],[Missed RRR on Entry]]),ROUND((TABLE1[[#This Row],[Exit Price]]-TABLE1[[#This Row],[Entry Price]])/(TABLE1[[#This Row],[Intended Entry]]-TABLE1[[#This Row],[SL Price]]),4))</f>
        <v>0.875</v>
      </c>
      <c r="BF5" s="4">
        <f>IF(AND((TABLE1[[#This Row],[Hard RRR Potential]])&gt;=2,(TABLE1[[#This Row],[Back to BE]])="True",(TABLE1[[#This Row],[Price Behaviour]])="Fast Reversal"), 2-(TABLE1[[#This Row],[Missed RRR on Entry]]),ROUND((TABLE1[[#This Row],[Exit Price]]-TABLE1[[#This Row],[Entry Price]])/(TABLE1[[#This Row],[Intended Entry]]-TABLE1[[#This Row],[SL Price]]),4))</f>
        <v>0.875</v>
      </c>
      <c r="BG5" s="48">
        <f>IF((TABLE1[[#This Row],[Pattern SL]])&lt;&gt;FALSE,((TABLE1[[#This Row],[Pattern SL]])-(TABLE1[[#This Row],[Entry Price]]))/((TABLE1[[#This Row],[Intended Entry]])-(TABLE1[[#This Row],[SL Price]])),ROUND((TABLE1[[#This Row],[Exit Price]]-TABLE1[[#This Row],[Entry Price]])/(TABLE1[[#This Row],[Intended Entry]]-TABLE1[[#This Row],[SL Price]]),4))</f>
        <v>0.875</v>
      </c>
      <c r="BH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0.87499999999999933</v>
      </c>
      <c r="BI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0.875</v>
      </c>
      <c r="BJ5" s="21">
        <f>IF( TABLE1[[#This Row],[Wick Exit]]&lt;&gt; FALSE,TABLE1[[#This Row],[RRR Wick Exit]],IF(TABLE1[[#This Row],[Volume Exit]]&lt;&gt; FALSE,TABLE1[[#This Row],[RRR Volume Exit]],TABLE1[[#This Row],[RRR Realized]]))</f>
        <v>0.87499999999999933</v>
      </c>
      <c r="BK5"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0.875</v>
      </c>
      <c r="BL5" s="4">
        <f>IF(OR(AND(TABLE1[[#This Row],[Hard RRR Potential]]&gt;=2.5,TABLE1[[#This Row],[Volume Exit]]=FALSE,TABLE1[[#This Row],[Wick Exit]]=FALSE),AND(TABLE1[[#This Row],[Hard RRR Potential]]&gt;=2.5,TABLE1[[#This Row],[Volume Exit RRR Reach]]&gt;=2.5,TABLE1[[#This Row],[Wick Exit]]=FALSE)), 2.5-TABLE1[[#This Row],[Missed RRR on Entry]],TABLE1[[#This Row],[RRR Realized]])</f>
        <v>0.875</v>
      </c>
      <c r="BM5" s="4">
        <f>IF(OR(AND(TABLE1[[#This Row],[Hard RRR Potential]]&gt;=3,TABLE1[[#This Row],[Volume Exit]]=FALSE,TABLE1[[#This Row],[Wick Exit]]=FALSE),AND(TABLE1[[#This Row],[Hard RRR Potential]]&gt;=3,TABLE1[[#This Row],[Volume Exit RRR Reach]]&gt;=3,TABLE1[[#This Row],[Wick Exit]]=FALSE)), 3-TABLE1[[#This Row],[Missed RRR on Entry]],TABLE1[[#This Row],[RRR Realized]])</f>
        <v>0.875</v>
      </c>
      <c r="BN5" s="4"/>
      <c r="BO5" s="4"/>
    </row>
    <row r="6" spans="1:67" x14ac:dyDescent="0.45">
      <c r="A6" t="s">
        <v>193</v>
      </c>
      <c r="B6">
        <v>5</v>
      </c>
      <c r="C6" s="2">
        <v>43545</v>
      </c>
      <c r="D6" s="1">
        <v>0.43888888888888888</v>
      </c>
      <c r="E6" s="1">
        <v>0.44444444444444442</v>
      </c>
      <c r="F6" s="4">
        <v>7.25</v>
      </c>
      <c r="G6" s="4">
        <v>144</v>
      </c>
      <c r="H6" s="15">
        <v>714</v>
      </c>
      <c r="I6" t="s">
        <v>18</v>
      </c>
      <c r="J6" t="s">
        <v>21</v>
      </c>
      <c r="K6">
        <v>2.16</v>
      </c>
      <c r="L6">
        <v>2.17</v>
      </c>
      <c r="M6">
        <v>2.02</v>
      </c>
      <c r="N6">
        <v>2.3719999999999999</v>
      </c>
      <c r="O6">
        <v>2.4500000000000002</v>
      </c>
      <c r="P6">
        <v>2.17</v>
      </c>
      <c r="Q6">
        <v>2.58</v>
      </c>
      <c r="R6">
        <v>2.58</v>
      </c>
      <c r="S6" t="b">
        <v>0</v>
      </c>
      <c r="T6">
        <v>2.0499999999999998</v>
      </c>
      <c r="U6" t="b">
        <v>0</v>
      </c>
      <c r="W6">
        <v>2.3719999999999999</v>
      </c>
      <c r="X6">
        <v>2</v>
      </c>
      <c r="Y6" t="b">
        <v>0</v>
      </c>
      <c r="Z6" t="b">
        <v>0</v>
      </c>
      <c r="AA6" t="b">
        <v>0</v>
      </c>
      <c r="AB6" t="s">
        <v>25</v>
      </c>
      <c r="AC6" t="s">
        <v>28</v>
      </c>
      <c r="AD6" t="s">
        <v>34</v>
      </c>
      <c r="AE6">
        <v>260</v>
      </c>
      <c r="AF6">
        <v>9.1</v>
      </c>
      <c r="AG6">
        <v>1</v>
      </c>
      <c r="AH6" t="s">
        <v>18</v>
      </c>
      <c r="AI6">
        <v>2.1</v>
      </c>
      <c r="AJ6" t="s">
        <v>135</v>
      </c>
      <c r="AK6" t="s">
        <v>167</v>
      </c>
      <c r="AL6">
        <v>3.61</v>
      </c>
      <c r="AM6">
        <v>1.32</v>
      </c>
      <c r="AO6" s="22" t="s">
        <v>194</v>
      </c>
      <c r="AP6" s="4">
        <f>IF(TABLE1[[#This Row],[Buy/Sell]]="BUY",(TABLE1[[#This Row],[Highest Price]]-TABLE1[[#This Row],[Entry Price]])/(TABLE1[[#This Row],[Intended Entry]]-TABLE1[[#This Row],[SL Price]]),(TABLE1[[#This Row],[Entry Price]]-TABLE1[[#This Row],[Lowest Price]])/(TABLE1[[#This Row],[SL Price]]-TABLE1[[#This Row],[Intended Entry]]))</f>
        <v>2</v>
      </c>
      <c r="AQ6" s="19">
        <f>IF(TABLE1[[#This Row],[Buy/Sell]]="BUY",(TABLE1[[#This Row],[Entry Price]]-TABLE1[[#This Row],[Lowest Price]])/(TABLE1[[#This Row],[SL Price]]-TABLE1[[#This Row],[Intended Entry]]),(TABLE1[[#This Row],[Entry Price]]-TABLE1[[#This Row],[Highest Price]])/(TABLE1[[#This Row],[SL Price]]-TABLE1[[#This Row],[Intended Entry]]))</f>
        <v>0</v>
      </c>
      <c r="AR6" s="4" t="str">
        <f>IF(AND(TABLE1[[#This Row],[RRR Realized]]&lt;0.5,TABLE1[[#This Row],[RRR Realized]]&gt;-0.6),"BE",IF(TABLE1[[#This Row],[Gain/Loss]]&lt;0, "LOSER", "WINNER"))</f>
        <v>WINNER</v>
      </c>
      <c r="AS6" s="4">
        <f>TABLE1[[#This Row],[Gain/Loss]]-TABLE1[[#This Row],[Comissions]]</f>
        <v>136.75</v>
      </c>
      <c r="AT6" s="3">
        <f>TABLE1[[#This Row],[Exit Time]]-TABLE1[[#This Row],[Entry Time]]</f>
        <v>5.5555555555555358E-3</v>
      </c>
      <c r="AU6" s="4">
        <f>TABLE1[[#This Row],[Net Gain/Loss]]+AU5</f>
        <v>308.44</v>
      </c>
      <c r="AV6" s="4">
        <f>IF(TABLE1[[#This Row],[Potential Price Before BE]]=FALSE,"FALSE",( TABLE1[[#This Row],[Potential Price Before BE]]-TABLE1[[#This Row],[Intended Entry]])/(TABLE1[[#This Row],[Intended Entry]]-TABLE1[[#This Row],[SL Price]]))</f>
        <v>2.9999999999999969</v>
      </c>
      <c r="AW6" s="4">
        <f>(IF(TABLE1[[#This Row],[Buy/Sell]]="BUY",(TABLE1[[#This Row],[Entry Price]]-TABLE1[[#This Row],[SL Price]])/(TABLE1[[#This Row],[Intended Entry]]-TABLE1[[#This Row],[SL Price]]),(TABLE1[[#This Row],[SL Price]]-TABLE1[[#This Row],[Entry Price]])/(TABLE1[[#This Row],[SL Price]]-TABLE1[[#This Row],[Intended Entry]])))-1</f>
        <v>7.1428571428569843E-2</v>
      </c>
      <c r="AX6" s="19">
        <f>TABLE1[[#This Row],[Missed RRR on Entry]]</f>
        <v>7.1428571428569843E-2</v>
      </c>
      <c r="AY6" s="19">
        <f>ROUND((TABLE1[[#This Row],[Potential Price]]-TABLE1[[#This Row],[Entry Price]])/(TABLE1[[#This Row],[Intended Entry]]-TABLE1[[#This Row],[SL Price]]),4)</f>
        <v>2.9285999999999999</v>
      </c>
      <c r="AZ6" s="19">
        <f>ROUND((TABLE1[[#This Row],[Potential Price]]-TABLE1[[#This Row],[Intended Entry]])/(TABLE1[[#This Row],[Intended Entry]]-TABLE1[[#This Row],[SL Price]]),4)</f>
        <v>3</v>
      </c>
      <c r="BA6" s="19">
        <f>TABLE1[[#This Row],[RRR Potential]]-TABLE1[[#This Row],[RRR Realized]]</f>
        <v>1.4856999999999998</v>
      </c>
      <c r="BB6" s="25">
        <f>ROUND((TABLE1[[#This Row],[Exit Price]]-TABLE1[[#This Row],[Entry Price]])/(TABLE1[[#This Row],[Intended Entry]]-TABLE1[[#This Row],[SL Price]]),4)</f>
        <v>1.4429000000000001</v>
      </c>
      <c r="BC6" s="4">
        <f>IF(AND((TABLE1[[#This Row],[Back to BE]])=TRUE,(TABLE1[[#This Row],[Price Behaviour]])="Fast Reversal"), 0-(TABLE1[[#This Row],[Missed RRR on Entry]]),ROUND((TABLE1[[#This Row],[Exit Price]]-TABLE1[[#This Row],[Entry Price]])/(TABLE1[[#This Row],[Intended Entry]]-TABLE1[[#This Row],[SL Price]]),4))</f>
        <v>1.4429000000000001</v>
      </c>
      <c r="BD6" s="4">
        <f>IF(AND((TABLE1[[#This Row],[Hard RRR Potential]])&gt;=1,(TABLE1[[#This Row],[Back to BE]])="True",(TABLE1[[#This Row],[Price Behaviour]])="Fast Reversal"), 1-(TABLE1[[#This Row],[Missed RRR on Entry]]),ROUND((TABLE1[[#This Row],[Exit Price]]-TABLE1[[#This Row],[Entry Price]])/(TABLE1[[#This Row],[Intended Entry]]-TABLE1[[#This Row],[SL Price]]),4))</f>
        <v>1.4429000000000001</v>
      </c>
      <c r="BE6" s="4">
        <f>IF(AND((TABLE1[[#This Row],[Hard RRR Potential]])&gt;=1.5,(TABLE1[[#This Row],[Back to BE]])="True",(TABLE1[[#This Row],[Price Behaviour]])="Fast Reversal"), 1.5-(TABLE1[[#This Row],[Missed RRR on Entry]]),ROUND((TABLE1[[#This Row],[Exit Price]]-TABLE1[[#This Row],[Entry Price]])/(TABLE1[[#This Row],[Intended Entry]]-TABLE1[[#This Row],[SL Price]]),4))</f>
        <v>1.4429000000000001</v>
      </c>
      <c r="BF6" s="4">
        <f>IF(AND((TABLE1[[#This Row],[Hard RRR Potential]])&gt;=2,(TABLE1[[#This Row],[Back to BE]])="True",(TABLE1[[#This Row],[Price Behaviour]])="Fast Reversal"), 2-(TABLE1[[#This Row],[Missed RRR on Entry]]),ROUND((TABLE1[[#This Row],[Exit Price]]-TABLE1[[#This Row],[Entry Price]])/(TABLE1[[#This Row],[Intended Entry]]-TABLE1[[#This Row],[SL Price]]),4))</f>
        <v>1.4429000000000001</v>
      </c>
      <c r="BG6" s="48">
        <f>IF((TABLE1[[#This Row],[Pattern SL]])&lt;&gt;FALSE,((TABLE1[[#This Row],[Pattern SL]])-(TABLE1[[#This Row],[Entry Price]]))/((TABLE1[[#This Row],[Intended Entry]])-(TABLE1[[#This Row],[SL Price]])),ROUND((TABLE1[[#This Row],[Exit Price]]-TABLE1[[#This Row],[Entry Price]])/(TABLE1[[#This Row],[Intended Entry]]-TABLE1[[#This Row],[SL Price]]),4))</f>
        <v>1.4429000000000001</v>
      </c>
      <c r="BH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1.4428571428571413</v>
      </c>
      <c r="BI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1.4429000000000001</v>
      </c>
      <c r="BJ6" s="21">
        <f>IF( TABLE1[[#This Row],[Wick Exit]]&lt;&gt; FALSE,TABLE1[[#This Row],[RRR Wick Exit]],IF(TABLE1[[#This Row],[Volume Exit]]&lt;&gt; FALSE,TABLE1[[#This Row],[RRR Volume Exit]],TABLE1[[#This Row],[RRR Realized]]))</f>
        <v>1.4428571428571413</v>
      </c>
      <c r="BK6"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1.4429000000000001</v>
      </c>
      <c r="BL6" s="4">
        <f>IF(OR(AND(TABLE1[[#This Row],[Hard RRR Potential]]&gt;=2.5,TABLE1[[#This Row],[Volume Exit]]=FALSE,TABLE1[[#This Row],[Wick Exit]]=FALSE),AND(TABLE1[[#This Row],[Hard RRR Potential]]&gt;=2.5,TABLE1[[#This Row],[Volume Exit RRR Reach]]&gt;=2.5,TABLE1[[#This Row],[Wick Exit]]=FALSE)), 2.5-TABLE1[[#This Row],[Missed RRR on Entry]],TABLE1[[#This Row],[RRR Realized]])</f>
        <v>1.4429000000000001</v>
      </c>
      <c r="BM6" s="4">
        <f>IF(OR(AND(TABLE1[[#This Row],[Hard RRR Potential]]&gt;=3,TABLE1[[#This Row],[Volume Exit]]=FALSE,TABLE1[[#This Row],[Wick Exit]]=FALSE),AND(TABLE1[[#This Row],[Hard RRR Potential]]&gt;=3,TABLE1[[#This Row],[Volume Exit RRR Reach]]&gt;=3,TABLE1[[#This Row],[Wick Exit]]=FALSE)), 3-TABLE1[[#This Row],[Missed RRR on Entry]],TABLE1[[#This Row],[RRR Realized]])</f>
        <v>1.4429000000000001</v>
      </c>
      <c r="BN6" s="4"/>
      <c r="BO6" s="4"/>
    </row>
    <row r="7" spans="1:67" x14ac:dyDescent="0.45">
      <c r="A7" t="s">
        <v>195</v>
      </c>
      <c r="B7">
        <v>6</v>
      </c>
      <c r="C7" s="2">
        <v>43549</v>
      </c>
      <c r="D7" s="1">
        <v>0.41319444444444442</v>
      </c>
      <c r="E7" s="1">
        <v>0.42499999999999999</v>
      </c>
      <c r="F7" s="4">
        <v>10.130000000000001</v>
      </c>
      <c r="G7" s="4">
        <v>-40</v>
      </c>
      <c r="H7" s="15">
        <v>1000</v>
      </c>
      <c r="I7" t="s">
        <v>18</v>
      </c>
      <c r="J7" t="s">
        <v>21</v>
      </c>
      <c r="K7">
        <v>1.1100000000000001</v>
      </c>
      <c r="L7">
        <v>1.1100000000000001</v>
      </c>
      <c r="M7">
        <v>1.01</v>
      </c>
      <c r="N7">
        <v>1.07</v>
      </c>
      <c r="O7">
        <v>1.26</v>
      </c>
      <c r="P7">
        <v>1.04</v>
      </c>
      <c r="Q7">
        <v>1.26</v>
      </c>
      <c r="R7">
        <v>1.26</v>
      </c>
      <c r="S7" t="b">
        <v>0</v>
      </c>
      <c r="T7" t="b">
        <v>0</v>
      </c>
      <c r="U7" t="b">
        <v>0</v>
      </c>
      <c r="W7" t="b">
        <v>0</v>
      </c>
      <c r="Z7" t="b">
        <v>0</v>
      </c>
      <c r="AA7" t="b">
        <v>0</v>
      </c>
      <c r="AB7" t="s">
        <v>27</v>
      </c>
      <c r="AC7" t="s">
        <v>28</v>
      </c>
      <c r="AD7" t="s">
        <v>196</v>
      </c>
      <c r="AE7">
        <v>190</v>
      </c>
      <c r="AG7">
        <v>2</v>
      </c>
      <c r="AH7" t="s">
        <v>319</v>
      </c>
      <c r="AI7">
        <v>1.03</v>
      </c>
      <c r="AJ7" t="s">
        <v>137</v>
      </c>
      <c r="AK7" t="s">
        <v>167</v>
      </c>
      <c r="AL7">
        <v>5.34</v>
      </c>
      <c r="AM7">
        <v>0</v>
      </c>
      <c r="AO7" s="22" t="s">
        <v>197</v>
      </c>
      <c r="AP7" s="4">
        <f>IF(TABLE1[[#This Row],[Buy/Sell]]="BUY",(TABLE1[[#This Row],[Highest Price]]-TABLE1[[#This Row],[Entry Price]])/(TABLE1[[#This Row],[Intended Entry]]-TABLE1[[#This Row],[SL Price]]),(TABLE1[[#This Row],[Entry Price]]-TABLE1[[#This Row],[Lowest Price]])/(TABLE1[[#This Row],[SL Price]]-TABLE1[[#This Row],[Intended Entry]]))</f>
        <v>1.4999999999999978</v>
      </c>
      <c r="AQ7" s="19">
        <f>IF(TABLE1[[#This Row],[Buy/Sell]]="BUY",(TABLE1[[#This Row],[Entry Price]]-TABLE1[[#This Row],[Lowest Price]])/(TABLE1[[#This Row],[SL Price]]-TABLE1[[#This Row],[Intended Entry]]),(TABLE1[[#This Row],[Entry Price]]-TABLE1[[#This Row],[Highest Price]])/(TABLE1[[#This Row],[SL Price]]-TABLE1[[#This Row],[Intended Entry]]))</f>
        <v>-0.7</v>
      </c>
      <c r="AR7" s="4" t="str">
        <f>IF(AND(TABLE1[[#This Row],[RRR Realized]]&lt;0.5,TABLE1[[#This Row],[RRR Realized]]&gt;-0.6),"BE",IF(TABLE1[[#This Row],[Gain/Loss]]&lt;0, "LOSER", "WINNER"))</f>
        <v>BE</v>
      </c>
      <c r="AS7" s="4">
        <f>TABLE1[[#This Row],[Gain/Loss]]-TABLE1[[#This Row],[Comissions]]</f>
        <v>-50.13</v>
      </c>
      <c r="AT7" s="3">
        <f>TABLE1[[#This Row],[Exit Time]]-TABLE1[[#This Row],[Entry Time]]</f>
        <v>1.1805555555555569E-2</v>
      </c>
      <c r="AU7" s="4">
        <f>TABLE1[[#This Row],[Net Gain/Loss]]+AU6</f>
        <v>258.31</v>
      </c>
      <c r="AV7" s="4">
        <f>IF(TABLE1[[#This Row],[Potential Price Before BE]]=FALSE,"FALSE",( TABLE1[[#This Row],[Potential Price Before BE]]-TABLE1[[#This Row],[Intended Entry]])/(TABLE1[[#This Row],[Intended Entry]]-TABLE1[[#This Row],[SL Price]]))</f>
        <v>1.4999999999999978</v>
      </c>
      <c r="AW7" s="4">
        <f>(IF(TABLE1[[#This Row],[Buy/Sell]]="BUY",(TABLE1[[#This Row],[Entry Price]]-TABLE1[[#This Row],[SL Price]])/(TABLE1[[#This Row],[Intended Entry]]-TABLE1[[#This Row],[SL Price]]),(TABLE1[[#This Row],[SL Price]]-TABLE1[[#This Row],[Entry Price]])/(TABLE1[[#This Row],[SL Price]]-TABLE1[[#This Row],[Intended Entry]])))-1</f>
        <v>0</v>
      </c>
      <c r="AX7" s="19">
        <f>TABLE1[[#This Row],[Missed RRR on Entry]]</f>
        <v>0</v>
      </c>
      <c r="AY7" s="19">
        <f>ROUND((TABLE1[[#This Row],[Potential Price]]-TABLE1[[#This Row],[Entry Price]])/(TABLE1[[#This Row],[Intended Entry]]-TABLE1[[#This Row],[SL Price]]),4)</f>
        <v>1.5</v>
      </c>
      <c r="AZ7" s="19">
        <f>ROUND((TABLE1[[#This Row],[Potential Price]]-TABLE1[[#This Row],[Intended Entry]])/(TABLE1[[#This Row],[Intended Entry]]-TABLE1[[#This Row],[SL Price]]),4)</f>
        <v>1.5</v>
      </c>
      <c r="BA7" s="19">
        <f>TABLE1[[#This Row],[RRR Potential]]-TABLE1[[#This Row],[RRR Realized]]</f>
        <v>1.9</v>
      </c>
      <c r="BB7" s="25">
        <f>ROUND((TABLE1[[#This Row],[Exit Price]]-TABLE1[[#This Row],[Entry Price]])/(TABLE1[[#This Row],[Intended Entry]]-TABLE1[[#This Row],[SL Price]]),4)</f>
        <v>-0.4</v>
      </c>
      <c r="BC7" s="4">
        <f>IF(AND((TABLE1[[#This Row],[Back to BE]])=TRUE,(TABLE1[[#This Row],[Price Behaviour]])="Fast Reversal"), 0-(TABLE1[[#This Row],[Missed RRR on Entry]]),ROUND((TABLE1[[#This Row],[Exit Price]]-TABLE1[[#This Row],[Entry Price]])/(TABLE1[[#This Row],[Intended Entry]]-TABLE1[[#This Row],[SL Price]]),4))</f>
        <v>-0.4</v>
      </c>
      <c r="BD7" s="4">
        <f>IF(AND((TABLE1[[#This Row],[Hard RRR Potential]])&gt;=1,(TABLE1[[#This Row],[Back to BE]])="True",(TABLE1[[#This Row],[Price Behaviour]])="Fast Reversal"), 1-(TABLE1[[#This Row],[Missed RRR on Entry]]),ROUND((TABLE1[[#This Row],[Exit Price]]-TABLE1[[#This Row],[Entry Price]])/(TABLE1[[#This Row],[Intended Entry]]-TABLE1[[#This Row],[SL Price]]),4))</f>
        <v>-0.4</v>
      </c>
      <c r="BE7" s="4">
        <f>IF(AND((TABLE1[[#This Row],[Hard RRR Potential]])&gt;=1.5,(TABLE1[[#This Row],[Back to BE]])="True",(TABLE1[[#This Row],[Price Behaviour]])="Fast Reversal"), 1.5-(TABLE1[[#This Row],[Missed RRR on Entry]]),ROUND((TABLE1[[#This Row],[Exit Price]]-TABLE1[[#This Row],[Entry Price]])/(TABLE1[[#This Row],[Intended Entry]]-TABLE1[[#This Row],[SL Price]]),4))</f>
        <v>-0.4</v>
      </c>
      <c r="BF7" s="4">
        <f>IF(AND((TABLE1[[#This Row],[Hard RRR Potential]])&gt;=2,(TABLE1[[#This Row],[Back to BE]])="True",(TABLE1[[#This Row],[Price Behaviour]])="Fast Reversal"), 2-(TABLE1[[#This Row],[Missed RRR on Entry]]),ROUND((TABLE1[[#This Row],[Exit Price]]-TABLE1[[#This Row],[Entry Price]])/(TABLE1[[#This Row],[Intended Entry]]-TABLE1[[#This Row],[SL Price]]),4))</f>
        <v>-0.4</v>
      </c>
      <c r="BG7" s="48">
        <f>IF((TABLE1[[#This Row],[Pattern SL]])&lt;&gt;FALSE,((TABLE1[[#This Row],[Pattern SL]])-(TABLE1[[#This Row],[Entry Price]]))/((TABLE1[[#This Row],[Intended Entry]])-(TABLE1[[#This Row],[SL Price]])),ROUND((TABLE1[[#This Row],[Exit Price]]-TABLE1[[#This Row],[Entry Price]])/(TABLE1[[#This Row],[Intended Entry]]-TABLE1[[#This Row],[SL Price]]),4))</f>
        <v>-0.4</v>
      </c>
      <c r="BH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v>
      </c>
      <c r="BI7"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v>
      </c>
      <c r="BJ7" s="21">
        <f>IF( TABLE1[[#This Row],[Wick Exit]]&lt;&gt; FALSE,TABLE1[[#This Row],[RRR Wick Exit]],IF(TABLE1[[#This Row],[Volume Exit]]&lt;&gt; FALSE,TABLE1[[#This Row],[RRR Volume Exit]],TABLE1[[#This Row],[RRR Realized]]))</f>
        <v>-0.4</v>
      </c>
      <c r="BK7"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-0.4</v>
      </c>
      <c r="BL7" s="4">
        <f>IF(OR(AND(TABLE1[[#This Row],[Hard RRR Potential]]&gt;=2.5,TABLE1[[#This Row],[Volume Exit]]=FALSE,TABLE1[[#This Row],[Wick Exit]]=FALSE),AND(TABLE1[[#This Row],[Hard RRR Potential]]&gt;=2.5,TABLE1[[#This Row],[Volume Exit RRR Reach]]&gt;=2.5,TABLE1[[#This Row],[Wick Exit]]=FALSE)), 2.5-TABLE1[[#This Row],[Missed RRR on Entry]],TABLE1[[#This Row],[RRR Realized]])</f>
        <v>-0.4</v>
      </c>
      <c r="BM7" s="4">
        <f>IF(OR(AND(TABLE1[[#This Row],[Hard RRR Potential]]&gt;=3,TABLE1[[#This Row],[Volume Exit]]=FALSE,TABLE1[[#This Row],[Wick Exit]]=FALSE),AND(TABLE1[[#This Row],[Hard RRR Potential]]&gt;=3,TABLE1[[#This Row],[Volume Exit RRR Reach]]&gt;=3,TABLE1[[#This Row],[Wick Exit]]=FALSE)), 3-TABLE1[[#This Row],[Missed RRR on Entry]],TABLE1[[#This Row],[RRR Realized]])</f>
        <v>-0.4</v>
      </c>
      <c r="BN7" s="4"/>
      <c r="BO7" s="4"/>
    </row>
    <row r="8" spans="1:67" x14ac:dyDescent="0.45">
      <c r="A8" t="s">
        <v>177</v>
      </c>
      <c r="B8">
        <v>7</v>
      </c>
      <c r="C8" s="2">
        <v>43551</v>
      </c>
      <c r="D8" s="1">
        <v>0.42777777777777781</v>
      </c>
      <c r="E8" s="1">
        <v>0.43124999999999997</v>
      </c>
      <c r="F8" s="4">
        <v>12.7</v>
      </c>
      <c r="G8" s="4">
        <f>12.7+1.43</f>
        <v>14.129999999999999</v>
      </c>
      <c r="H8" s="15">
        <v>1250</v>
      </c>
      <c r="I8" t="s">
        <v>18</v>
      </c>
      <c r="J8" t="s">
        <v>21</v>
      </c>
      <c r="K8">
        <v>3.14</v>
      </c>
      <c r="L8">
        <v>3.1480000000000001</v>
      </c>
      <c r="M8">
        <v>3.06</v>
      </c>
      <c r="N8">
        <v>3.16</v>
      </c>
      <c r="O8">
        <v>3.24</v>
      </c>
      <c r="P8">
        <v>3.12</v>
      </c>
      <c r="Q8">
        <v>3.25</v>
      </c>
      <c r="R8">
        <v>3.25</v>
      </c>
      <c r="S8" t="b">
        <v>0</v>
      </c>
      <c r="T8" t="b">
        <v>0</v>
      </c>
      <c r="U8" t="b">
        <v>0</v>
      </c>
      <c r="V8" t="b">
        <v>1</v>
      </c>
      <c r="W8" t="b">
        <v>0</v>
      </c>
      <c r="Z8" t="b">
        <v>0</v>
      </c>
      <c r="AA8">
        <v>3.16</v>
      </c>
      <c r="AB8" t="s">
        <v>24</v>
      </c>
      <c r="AC8" t="s">
        <v>31</v>
      </c>
      <c r="AD8" t="s">
        <v>33</v>
      </c>
      <c r="AE8">
        <v>3.97</v>
      </c>
      <c r="AG8">
        <v>2</v>
      </c>
      <c r="AH8" t="s">
        <v>18</v>
      </c>
      <c r="AI8">
        <v>3.12</v>
      </c>
      <c r="AJ8" t="s">
        <v>137</v>
      </c>
      <c r="AK8" t="s">
        <v>167</v>
      </c>
      <c r="AL8">
        <v>2.54</v>
      </c>
      <c r="AM8">
        <v>-1</v>
      </c>
      <c r="AO8" s="22" t="s">
        <v>178</v>
      </c>
      <c r="AP8" s="4">
        <f>IF(TABLE1[[#This Row],[Buy/Sell]]="BUY",(TABLE1[[#This Row],[Highest Price]]-TABLE1[[#This Row],[Entry Price]])/(TABLE1[[#This Row],[Intended Entry]]-TABLE1[[#This Row],[SL Price]]),(TABLE1[[#This Row],[Entry Price]]-TABLE1[[#This Row],[Lowest Price]])/(TABLE1[[#This Row],[SL Price]]-TABLE1[[#This Row],[Intended Entry]]))</f>
        <v>1.1499999999999999</v>
      </c>
      <c r="AQ8" s="19">
        <f>IF(TABLE1[[#This Row],[Buy/Sell]]="BUY",(TABLE1[[#This Row],[Entry Price]]-TABLE1[[#This Row],[Lowest Price]])/(TABLE1[[#This Row],[SL Price]]-TABLE1[[#This Row],[Intended Entry]]),(TABLE1[[#This Row],[Entry Price]]-TABLE1[[#This Row],[Highest Price]])/(TABLE1[[#This Row],[SL Price]]-TABLE1[[#This Row],[Intended Entry]]))</f>
        <v>-0.35</v>
      </c>
      <c r="AR8" s="4" t="str">
        <f>IF(AND(TABLE1[[#This Row],[RRR Realized]]&lt;0.5,TABLE1[[#This Row],[RRR Realized]]&gt;-0.6),"BE",IF(TABLE1[[#This Row],[Gain/Loss]]&lt;0, "LOSER", "WINNER"))</f>
        <v>BE</v>
      </c>
      <c r="AS8" s="4">
        <f>TABLE1[[#This Row],[Gain/Loss]]-TABLE1[[#This Row],[Comissions]]</f>
        <v>1.4299999999999997</v>
      </c>
      <c r="AT8" s="3">
        <f>TABLE1[[#This Row],[Exit Time]]-TABLE1[[#This Row],[Entry Time]]</f>
        <v>3.4722222222221544E-3</v>
      </c>
      <c r="AU8" s="4">
        <f>TABLE1[[#This Row],[Net Gain/Loss]]+AU7</f>
        <v>259.74</v>
      </c>
      <c r="AV8" s="4">
        <f>IF(TABLE1[[#This Row],[Potential Price Before BE]]=FALSE,"FALSE",( TABLE1[[#This Row],[Potential Price Before BE]]-TABLE1[[#This Row],[Intended Entry]])/(TABLE1[[#This Row],[Intended Entry]]-TABLE1[[#This Row],[SL Price]]))</f>
        <v>1.3749999999999973</v>
      </c>
      <c r="AW8" s="4">
        <f>(IF(TABLE1[[#This Row],[Buy/Sell]]="BUY",(TABLE1[[#This Row],[Entry Price]]-TABLE1[[#This Row],[SL Price]])/(TABLE1[[#This Row],[Intended Entry]]-TABLE1[[#This Row],[SL Price]]),(TABLE1[[#This Row],[SL Price]]-TABLE1[[#This Row],[Entry Price]])/(TABLE1[[#This Row],[SL Price]]-TABLE1[[#This Row],[Intended Entry]])))-1</f>
        <v>0.10000000000000009</v>
      </c>
      <c r="AX8" s="19">
        <f>TABLE1[[#This Row],[Missed RRR on Entry]]</f>
        <v>0.10000000000000009</v>
      </c>
      <c r="AY8" s="19">
        <f>ROUND((TABLE1[[#This Row],[Potential Price]]-TABLE1[[#This Row],[Entry Price]])/(TABLE1[[#This Row],[Intended Entry]]-TABLE1[[#This Row],[SL Price]]),4)</f>
        <v>1.2749999999999999</v>
      </c>
      <c r="AZ8" s="19">
        <f>ROUND((TABLE1[[#This Row],[Potential Price]]-TABLE1[[#This Row],[Intended Entry]])/(TABLE1[[#This Row],[Intended Entry]]-TABLE1[[#This Row],[SL Price]]),4)</f>
        <v>1.375</v>
      </c>
      <c r="BA8" s="19">
        <f>TABLE1[[#This Row],[RRR Potential]]-TABLE1[[#This Row],[RRR Realized]]</f>
        <v>1.125</v>
      </c>
      <c r="BB8" s="25">
        <f>ROUND((TABLE1[[#This Row],[Exit Price]]-TABLE1[[#This Row],[Entry Price]])/(TABLE1[[#This Row],[Intended Entry]]-TABLE1[[#This Row],[SL Price]]),4)</f>
        <v>0.15</v>
      </c>
      <c r="BC8" s="4">
        <f>IF(AND((TABLE1[[#This Row],[Back to BE]])=TRUE,(TABLE1[[#This Row],[Price Behaviour]])="Fast Reversal"), 0-(TABLE1[[#This Row],[Missed RRR on Entry]]),ROUND((TABLE1[[#This Row],[Exit Price]]-TABLE1[[#This Row],[Entry Price]])/(TABLE1[[#This Row],[Intended Entry]]-TABLE1[[#This Row],[SL Price]]),4))</f>
        <v>-0.10000000000000009</v>
      </c>
      <c r="BD8" s="4">
        <f>IF(AND((TABLE1[[#This Row],[Hard RRR Potential]])&gt;=1,(TABLE1[[#This Row],[Back to BE]])="True",(TABLE1[[#This Row],[Price Behaviour]])="Fast Reversal"), 1-(TABLE1[[#This Row],[Missed RRR on Entry]]),ROUND((TABLE1[[#This Row],[Exit Price]]-TABLE1[[#This Row],[Entry Price]])/(TABLE1[[#This Row],[Intended Entry]]-TABLE1[[#This Row],[SL Price]]),4))</f>
        <v>0.15</v>
      </c>
      <c r="BE8" s="4">
        <f>IF(AND((TABLE1[[#This Row],[Hard RRR Potential]])&gt;=1.5,(TABLE1[[#This Row],[Back to BE]])="True",(TABLE1[[#This Row],[Price Behaviour]])="Fast Reversal"), 1.5-(TABLE1[[#This Row],[Missed RRR on Entry]]),ROUND((TABLE1[[#This Row],[Exit Price]]-TABLE1[[#This Row],[Entry Price]])/(TABLE1[[#This Row],[Intended Entry]]-TABLE1[[#This Row],[SL Price]]),4))</f>
        <v>0.15</v>
      </c>
      <c r="BF8" s="4">
        <f>IF(AND((TABLE1[[#This Row],[Hard RRR Potential]])&gt;=2,(TABLE1[[#This Row],[Back to BE]])="True",(TABLE1[[#This Row],[Price Behaviour]])="Fast Reversal"), 2-(TABLE1[[#This Row],[Missed RRR on Entry]]),ROUND((TABLE1[[#This Row],[Exit Price]]-TABLE1[[#This Row],[Entry Price]])/(TABLE1[[#This Row],[Intended Entry]]-TABLE1[[#This Row],[SL Price]]),4))</f>
        <v>0.15</v>
      </c>
      <c r="BG8" s="48">
        <f>IF((TABLE1[[#This Row],[Pattern SL]])&lt;&gt;FALSE,((TABLE1[[#This Row],[Pattern SL]])-(TABLE1[[#This Row],[Entry Price]]))/((TABLE1[[#This Row],[Intended Entry]])-(TABLE1[[#This Row],[SL Price]])),ROUND((TABLE1[[#This Row],[Exit Price]]-TABLE1[[#This Row],[Entry Price]])/(TABLE1[[#This Row],[Intended Entry]]-TABLE1[[#This Row],[SL Price]]),4))</f>
        <v>0.15</v>
      </c>
      <c r="BH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v>
      </c>
      <c r="BI8"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v>
      </c>
      <c r="BJ8" s="21">
        <f>IF( TABLE1[[#This Row],[Wick Exit]]&lt;&gt; FALSE,TABLE1[[#This Row],[RRR Wick Exit]],IF(TABLE1[[#This Row],[Volume Exit]]&lt;&gt; FALSE,TABLE1[[#This Row],[RRR Volume Exit]],TABLE1[[#This Row],[RRR Realized]]))</f>
        <v>0.15</v>
      </c>
      <c r="BK8"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0.15</v>
      </c>
      <c r="BL8" s="4">
        <f>IF(OR(AND(TABLE1[[#This Row],[Hard RRR Potential]]&gt;=2.5,TABLE1[[#This Row],[Volume Exit]]=FALSE,TABLE1[[#This Row],[Wick Exit]]=FALSE),AND(TABLE1[[#This Row],[Hard RRR Potential]]&gt;=2.5,TABLE1[[#This Row],[Volume Exit RRR Reach]]&gt;=2.5,TABLE1[[#This Row],[Wick Exit]]=FALSE)), 2.5-TABLE1[[#This Row],[Missed RRR on Entry]],TABLE1[[#This Row],[RRR Realized]])</f>
        <v>0.15</v>
      </c>
      <c r="BM8" s="4">
        <f>IF(OR(AND(TABLE1[[#This Row],[Hard RRR Potential]]&gt;=3,TABLE1[[#This Row],[Volume Exit]]=FALSE,TABLE1[[#This Row],[Wick Exit]]=FALSE),AND(TABLE1[[#This Row],[Hard RRR Potential]]&gt;=3,TABLE1[[#This Row],[Volume Exit RRR Reach]]&gt;=3,TABLE1[[#This Row],[Wick Exit]]=FALSE)), 3-TABLE1[[#This Row],[Missed RRR on Entry]],TABLE1[[#This Row],[RRR Realized]])</f>
        <v>0.15</v>
      </c>
      <c r="BN8" s="4"/>
      <c r="BO8" s="4"/>
    </row>
    <row r="9" spans="1:67" x14ac:dyDescent="0.45">
      <c r="A9" t="s">
        <v>177</v>
      </c>
      <c r="B9">
        <v>8</v>
      </c>
      <c r="C9" s="2">
        <v>43551</v>
      </c>
      <c r="D9" s="1">
        <v>0.43402777777777773</v>
      </c>
      <c r="E9" s="1">
        <v>0.43611111111111112</v>
      </c>
      <c r="F9" s="4">
        <v>12.7</v>
      </c>
      <c r="G9" s="4">
        <f>12.7-0.2</f>
        <v>12.5</v>
      </c>
      <c r="H9" s="15">
        <v>1250</v>
      </c>
      <c r="I9" t="s">
        <v>18</v>
      </c>
      <c r="J9" t="s">
        <v>21</v>
      </c>
      <c r="K9">
        <v>3.21</v>
      </c>
      <c r="L9">
        <v>3.2</v>
      </c>
      <c r="M9">
        <v>3.13</v>
      </c>
      <c r="N9">
        <v>3.21</v>
      </c>
      <c r="O9">
        <v>3.25</v>
      </c>
      <c r="P9">
        <v>3.16</v>
      </c>
      <c r="Q9">
        <v>3.25</v>
      </c>
      <c r="R9">
        <v>3.25</v>
      </c>
      <c r="S9" t="b">
        <v>0</v>
      </c>
      <c r="T9" t="b">
        <v>0</v>
      </c>
      <c r="U9" t="b">
        <v>0</v>
      </c>
      <c r="V9" t="b">
        <v>0</v>
      </c>
      <c r="W9" t="b">
        <v>0</v>
      </c>
      <c r="Z9" t="b">
        <v>0</v>
      </c>
      <c r="AA9">
        <v>3.21</v>
      </c>
      <c r="AB9" t="s">
        <v>24</v>
      </c>
      <c r="AC9" t="s">
        <v>31</v>
      </c>
      <c r="AD9" t="s">
        <v>33</v>
      </c>
      <c r="AE9">
        <v>3.97</v>
      </c>
      <c r="AG9">
        <v>2</v>
      </c>
      <c r="AH9" t="s">
        <v>319</v>
      </c>
      <c r="AI9">
        <v>3.13</v>
      </c>
      <c r="AJ9" t="s">
        <v>137</v>
      </c>
      <c r="AK9" t="s">
        <v>167</v>
      </c>
      <c r="AL9">
        <v>2.54</v>
      </c>
      <c r="AM9">
        <v>-1</v>
      </c>
      <c r="AO9" s="22" t="s">
        <v>178</v>
      </c>
      <c r="AP9" s="4">
        <f>IF(TABLE1[[#This Row],[Buy/Sell]]="BUY",(TABLE1[[#This Row],[Highest Price]]-TABLE1[[#This Row],[Entry Price]])/(TABLE1[[#This Row],[Intended Entry]]-TABLE1[[#This Row],[SL Price]]),(TABLE1[[#This Row],[Entry Price]]-TABLE1[[#This Row],[Lowest Price]])/(TABLE1[[#This Row],[SL Price]]-TABLE1[[#This Row],[Intended Entry]]))</f>
        <v>0.62499999999999722</v>
      </c>
      <c r="AQ9" s="19">
        <f>IF(TABLE1[[#This Row],[Buy/Sell]]="BUY",(TABLE1[[#This Row],[Entry Price]]-TABLE1[[#This Row],[Lowest Price]])/(TABLE1[[#This Row],[SL Price]]-TABLE1[[#This Row],[Intended Entry]]),(TABLE1[[#This Row],[Entry Price]]-TABLE1[[#This Row],[Highest Price]])/(TABLE1[[#This Row],[SL Price]]-TABLE1[[#This Row],[Intended Entry]]))</f>
        <v>-0.5</v>
      </c>
      <c r="AR9" s="4" t="str">
        <f>IF(AND(TABLE1[[#This Row],[RRR Realized]]&lt;0.5,TABLE1[[#This Row],[RRR Realized]]&gt;-0.6),"BE",IF(TABLE1[[#This Row],[Gain/Loss]]&lt;0, "LOSER", "WINNER"))</f>
        <v>BE</v>
      </c>
      <c r="AS9" s="4">
        <f>TABLE1[[#This Row],[Gain/Loss]]-TABLE1[[#This Row],[Comissions]]</f>
        <v>-0.19999999999999929</v>
      </c>
      <c r="AT9" s="3">
        <f>TABLE1[[#This Row],[Exit Time]]-TABLE1[[#This Row],[Entry Time]]</f>
        <v>2.0833333333333814E-3</v>
      </c>
      <c r="AU9" s="4">
        <f>TABLE1[[#This Row],[Net Gain/Loss]]+AU8</f>
        <v>259.54000000000002</v>
      </c>
      <c r="AV9" s="4">
        <f>IF(TABLE1[[#This Row],[Potential Price Before BE]]=FALSE,"FALSE",( TABLE1[[#This Row],[Potential Price Before BE]]-TABLE1[[#This Row],[Intended Entry]])/(TABLE1[[#This Row],[Intended Entry]]-TABLE1[[#This Row],[SL Price]]))</f>
        <v>0.5</v>
      </c>
      <c r="AW9" s="4">
        <f>(IF(TABLE1[[#This Row],[Buy/Sell]]="BUY",(TABLE1[[#This Row],[Entry Price]]-TABLE1[[#This Row],[SL Price]])/(TABLE1[[#This Row],[Intended Entry]]-TABLE1[[#This Row],[SL Price]]),(TABLE1[[#This Row],[SL Price]]-TABLE1[[#This Row],[Entry Price]])/(TABLE1[[#This Row],[SL Price]]-TABLE1[[#This Row],[Intended Entry]])))-1</f>
        <v>-0.12499999999999722</v>
      </c>
      <c r="AX9" s="19">
        <f>TABLE1[[#This Row],[Missed RRR on Entry]]</f>
        <v>-0.12499999999999722</v>
      </c>
      <c r="AY9" s="19">
        <f>ROUND((TABLE1[[#This Row],[Potential Price]]-TABLE1[[#This Row],[Entry Price]])/(TABLE1[[#This Row],[Intended Entry]]-TABLE1[[#This Row],[SL Price]]),4)</f>
        <v>0.625</v>
      </c>
      <c r="AZ9" s="19">
        <f>ROUND((TABLE1[[#This Row],[Potential Price]]-TABLE1[[#This Row],[Intended Entry]])/(TABLE1[[#This Row],[Intended Entry]]-TABLE1[[#This Row],[SL Price]]),4)</f>
        <v>0.5</v>
      </c>
      <c r="BA9" s="19">
        <f>TABLE1[[#This Row],[RRR Potential]]-TABLE1[[#This Row],[RRR Realized]]</f>
        <v>0.5</v>
      </c>
      <c r="BB9" s="25">
        <f>ROUND((TABLE1[[#This Row],[Exit Price]]-TABLE1[[#This Row],[Entry Price]])/(TABLE1[[#This Row],[Intended Entry]]-TABLE1[[#This Row],[SL Price]]),4)</f>
        <v>0.125</v>
      </c>
      <c r="BC9" s="4">
        <f>IF(AND((TABLE1[[#This Row],[Back to BE]])=TRUE,(TABLE1[[#This Row],[Price Behaviour]])="Fast Reversal"), 0-(TABLE1[[#This Row],[Missed RRR on Entry]]),ROUND((TABLE1[[#This Row],[Exit Price]]-TABLE1[[#This Row],[Entry Price]])/(TABLE1[[#This Row],[Intended Entry]]-TABLE1[[#This Row],[SL Price]]),4))</f>
        <v>0.125</v>
      </c>
      <c r="BD9" s="4">
        <f>IF(AND((TABLE1[[#This Row],[Hard RRR Potential]])&gt;=1,(TABLE1[[#This Row],[Back to BE]])="True",(TABLE1[[#This Row],[Price Behaviour]])="Fast Reversal"), 1-(TABLE1[[#This Row],[Missed RRR on Entry]]),ROUND((TABLE1[[#This Row],[Exit Price]]-TABLE1[[#This Row],[Entry Price]])/(TABLE1[[#This Row],[Intended Entry]]-TABLE1[[#This Row],[SL Price]]),4))</f>
        <v>0.125</v>
      </c>
      <c r="BE9" s="4">
        <f>IF(AND((TABLE1[[#This Row],[Hard RRR Potential]])&gt;=1.5,(TABLE1[[#This Row],[Back to BE]])="True",(TABLE1[[#This Row],[Price Behaviour]])="Fast Reversal"), 1.5-(TABLE1[[#This Row],[Missed RRR on Entry]]),ROUND((TABLE1[[#This Row],[Exit Price]]-TABLE1[[#This Row],[Entry Price]])/(TABLE1[[#This Row],[Intended Entry]]-TABLE1[[#This Row],[SL Price]]),4))</f>
        <v>0.125</v>
      </c>
      <c r="BF9" s="4">
        <f>IF(AND((TABLE1[[#This Row],[Hard RRR Potential]])&gt;=2,(TABLE1[[#This Row],[Back to BE]])="True",(TABLE1[[#This Row],[Price Behaviour]])="Fast Reversal"), 2-(TABLE1[[#This Row],[Missed RRR on Entry]]),ROUND((TABLE1[[#This Row],[Exit Price]]-TABLE1[[#This Row],[Entry Price]])/(TABLE1[[#This Row],[Intended Entry]]-TABLE1[[#This Row],[SL Price]]),4))</f>
        <v>0.125</v>
      </c>
      <c r="BG9" s="48">
        <f>IF((TABLE1[[#This Row],[Pattern SL]])&lt;&gt;FALSE,((TABLE1[[#This Row],[Pattern SL]])-(TABLE1[[#This Row],[Entry Price]]))/((TABLE1[[#This Row],[Intended Entry]])-(TABLE1[[#This Row],[SL Price]])),ROUND((TABLE1[[#This Row],[Exit Price]]-TABLE1[[#This Row],[Entry Price]])/(TABLE1[[#This Row],[Intended Entry]]-TABLE1[[#This Row],[SL Price]]),4))</f>
        <v>0.125</v>
      </c>
      <c r="BH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0.125</v>
      </c>
      <c r="BI9"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0.12499999999999722</v>
      </c>
      <c r="BJ9" s="21">
        <f>IF( TABLE1[[#This Row],[Wick Exit]]&lt;&gt; FALSE,TABLE1[[#This Row],[RRR Wick Exit]],IF(TABLE1[[#This Row],[Volume Exit]]&lt;&gt; FALSE,TABLE1[[#This Row],[RRR Volume Exit]],TABLE1[[#This Row],[RRR Realized]]))</f>
        <v>0.12499999999999722</v>
      </c>
      <c r="BK9"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0.125</v>
      </c>
      <c r="BL9" s="4">
        <f>IF(OR(AND(TABLE1[[#This Row],[Hard RRR Potential]]&gt;=2.5,TABLE1[[#This Row],[Volume Exit]]=FALSE,TABLE1[[#This Row],[Wick Exit]]=FALSE),AND(TABLE1[[#This Row],[Hard RRR Potential]]&gt;=2.5,TABLE1[[#This Row],[Volume Exit RRR Reach]]&gt;=2.5,TABLE1[[#This Row],[Wick Exit]]=FALSE)), 2.5-TABLE1[[#This Row],[Missed RRR on Entry]],TABLE1[[#This Row],[RRR Realized]])</f>
        <v>0.125</v>
      </c>
      <c r="BM9" s="4">
        <f>IF(OR(AND(TABLE1[[#This Row],[Hard RRR Potential]]&gt;=3,TABLE1[[#This Row],[Volume Exit]]=FALSE,TABLE1[[#This Row],[Wick Exit]]=FALSE),AND(TABLE1[[#This Row],[Hard RRR Potential]]&gt;=3,TABLE1[[#This Row],[Volume Exit RRR Reach]]&gt;=3,TABLE1[[#This Row],[Wick Exit]]=FALSE)), 3-TABLE1[[#This Row],[Missed RRR on Entry]],TABLE1[[#This Row],[RRR Realized]])</f>
        <v>0.125</v>
      </c>
      <c r="BN9" s="4"/>
      <c r="BO9" s="4"/>
    </row>
    <row r="10" spans="1:67" x14ac:dyDescent="0.45">
      <c r="A10" t="s">
        <v>179</v>
      </c>
      <c r="B10">
        <v>9</v>
      </c>
      <c r="C10" s="2">
        <v>43552</v>
      </c>
      <c r="D10" s="1">
        <v>0.4201388888888889</v>
      </c>
      <c r="E10" s="1">
        <v>0.44027777777777777</v>
      </c>
      <c r="F10" s="4">
        <v>2.5499999999999998</v>
      </c>
      <c r="G10" s="4">
        <v>270</v>
      </c>
      <c r="H10" s="15">
        <v>250</v>
      </c>
      <c r="I10" t="s">
        <v>18</v>
      </c>
      <c r="J10" t="s">
        <v>21</v>
      </c>
      <c r="K10">
        <v>5.34</v>
      </c>
      <c r="L10">
        <v>5.35</v>
      </c>
      <c r="M10">
        <f>5.35-0.4</f>
        <v>4.9499999999999993</v>
      </c>
      <c r="N10">
        <v>6.43</v>
      </c>
      <c r="O10">
        <v>7.22</v>
      </c>
      <c r="P10">
        <v>5.25</v>
      </c>
      <c r="Q10">
        <v>7.22</v>
      </c>
      <c r="R10">
        <v>7.22</v>
      </c>
      <c r="S10" t="b">
        <v>0</v>
      </c>
      <c r="T10" t="b">
        <v>0</v>
      </c>
      <c r="U10" t="b">
        <v>1</v>
      </c>
      <c r="W10">
        <v>6.43</v>
      </c>
      <c r="X10">
        <v>4.82</v>
      </c>
      <c r="Z10" t="b">
        <v>0</v>
      </c>
      <c r="AA10" t="b">
        <v>0</v>
      </c>
      <c r="AB10" t="s">
        <v>25</v>
      </c>
      <c r="AC10" t="s">
        <v>28</v>
      </c>
      <c r="AD10" t="s">
        <v>37</v>
      </c>
      <c r="AE10">
        <v>471</v>
      </c>
      <c r="AG10">
        <v>1</v>
      </c>
      <c r="AH10" t="s">
        <v>18</v>
      </c>
      <c r="AI10">
        <v>5.2</v>
      </c>
      <c r="AJ10" t="s">
        <v>137</v>
      </c>
      <c r="AK10" t="s">
        <v>181</v>
      </c>
      <c r="AL10">
        <v>1.1299999999999999</v>
      </c>
      <c r="AM10">
        <v>-0.3</v>
      </c>
      <c r="AO10" s="22" t="s">
        <v>182</v>
      </c>
      <c r="AP10" s="4">
        <f>IF(TABLE1[[#This Row],[Buy/Sell]]="BUY",(TABLE1[[#This Row],[Highest Price]]-TABLE1[[#This Row],[Entry Price]])/(TABLE1[[#This Row],[Intended Entry]]-TABLE1[[#This Row],[SL Price]]),(TABLE1[[#This Row],[Entry Price]]-TABLE1[[#This Row],[Lowest Price]])/(TABLE1[[#This Row],[SL Price]]-TABLE1[[#This Row],[Intended Entry]]))</f>
        <v>4.7948717948717885</v>
      </c>
      <c r="AQ10" s="19">
        <f>IF(TABLE1[[#This Row],[Buy/Sell]]="BUY",(TABLE1[[#This Row],[Entry Price]]-TABLE1[[#This Row],[Lowest Price]])/(TABLE1[[#This Row],[SL Price]]-TABLE1[[#This Row],[Intended Entry]]),(TABLE1[[#This Row],[Entry Price]]-TABLE1[[#This Row],[Highest Price]])/(TABLE1[[#This Row],[SL Price]]-TABLE1[[#This Row],[Intended Entry]]))</f>
        <v>-0.25641025641025511</v>
      </c>
      <c r="AR10" s="4" t="str">
        <f>IF(AND(TABLE1[[#This Row],[RRR Realized]]&lt;0.5,TABLE1[[#This Row],[RRR Realized]]&gt;-0.6),"BE",IF(TABLE1[[#This Row],[Gain/Loss]]&lt;0, "LOSER", "WINNER"))</f>
        <v>WINNER</v>
      </c>
      <c r="AS10" s="4">
        <f>TABLE1[[#This Row],[Gain/Loss]]-TABLE1[[#This Row],[Comissions]]</f>
        <v>267.45</v>
      </c>
      <c r="AT10" s="3">
        <f>TABLE1[[#This Row],[Exit Time]]-TABLE1[[#This Row],[Entry Time]]</f>
        <v>2.0138888888888873E-2</v>
      </c>
      <c r="AU10" s="4">
        <f>TABLE1[[#This Row],[Net Gain/Loss]]+AU9</f>
        <v>526.99</v>
      </c>
      <c r="AV10" s="4">
        <f>IF(TABLE1[[#This Row],[Potential Price Before BE]]=FALSE,"FALSE",( TABLE1[[#This Row],[Potential Price Before BE]]-TABLE1[[#This Row],[Intended Entry]])/(TABLE1[[#This Row],[Intended Entry]]-TABLE1[[#This Row],[SL Price]]))</f>
        <v>4.8205128205128132</v>
      </c>
      <c r="AW10" s="4">
        <f>(IF(TABLE1[[#This Row],[Buy/Sell]]="BUY",(TABLE1[[#This Row],[Entry Price]]-TABLE1[[#This Row],[SL Price]])/(TABLE1[[#This Row],[Intended Entry]]-TABLE1[[#This Row],[SL Price]]),(TABLE1[[#This Row],[SL Price]]-TABLE1[[#This Row],[Entry Price]])/(TABLE1[[#This Row],[SL Price]]-TABLE1[[#This Row],[Intended Entry]])))-1</f>
        <v>2.5641025641025106E-2</v>
      </c>
      <c r="AX10" s="19">
        <f>TABLE1[[#This Row],[Missed RRR on Entry]]</f>
        <v>2.5641025641025106E-2</v>
      </c>
      <c r="AY10" s="19">
        <f>ROUND((TABLE1[[#This Row],[Potential Price]]-TABLE1[[#This Row],[Entry Price]])/(TABLE1[[#This Row],[Intended Entry]]-TABLE1[[#This Row],[SL Price]]),4)</f>
        <v>4.7949000000000002</v>
      </c>
      <c r="AZ10" s="19">
        <f>ROUND((TABLE1[[#This Row],[Potential Price]]-TABLE1[[#This Row],[Intended Entry]])/(TABLE1[[#This Row],[Intended Entry]]-TABLE1[[#This Row],[SL Price]]),4)</f>
        <v>4.8205</v>
      </c>
      <c r="BA10" s="19">
        <f>TABLE1[[#This Row],[RRR Potential]]-TABLE1[[#This Row],[RRR Realized]]</f>
        <v>2.0257000000000001</v>
      </c>
      <c r="BB10" s="25">
        <f>ROUND((TABLE1[[#This Row],[Exit Price]]-TABLE1[[#This Row],[Entry Price]])/(TABLE1[[#This Row],[Intended Entry]]-TABLE1[[#This Row],[SL Price]]),4)</f>
        <v>2.7692000000000001</v>
      </c>
      <c r="BC10" s="4">
        <f>IF(AND((TABLE1[[#This Row],[Back to BE]])=TRUE,(TABLE1[[#This Row],[Price Behaviour]])="Fast Reversal"), 0-(TABLE1[[#This Row],[Missed RRR on Entry]]),ROUND((TABLE1[[#This Row],[Exit Price]]-TABLE1[[#This Row],[Entry Price]])/(TABLE1[[#This Row],[Intended Entry]]-TABLE1[[#This Row],[SL Price]]),4))</f>
        <v>2.7692000000000001</v>
      </c>
      <c r="BD10" s="4">
        <f>IF(AND((TABLE1[[#This Row],[Hard RRR Potential]])&gt;=1,(TABLE1[[#This Row],[Back to BE]])="True",(TABLE1[[#This Row],[Price Behaviour]])="Fast Reversal"), 1-(TABLE1[[#This Row],[Missed RRR on Entry]]),ROUND((TABLE1[[#This Row],[Exit Price]]-TABLE1[[#This Row],[Entry Price]])/(TABLE1[[#This Row],[Intended Entry]]-TABLE1[[#This Row],[SL Price]]),4))</f>
        <v>2.7692000000000001</v>
      </c>
      <c r="BE10" s="4">
        <f>IF(AND((TABLE1[[#This Row],[Hard RRR Potential]])&gt;=1.5,(TABLE1[[#This Row],[Back to BE]])="True",(TABLE1[[#This Row],[Price Behaviour]])="Fast Reversal"), 1.5-(TABLE1[[#This Row],[Missed RRR on Entry]]),ROUND((TABLE1[[#This Row],[Exit Price]]-TABLE1[[#This Row],[Entry Price]])/(TABLE1[[#This Row],[Intended Entry]]-TABLE1[[#This Row],[SL Price]]),4))</f>
        <v>2.7692000000000001</v>
      </c>
      <c r="BF10" s="4">
        <f>IF(AND((TABLE1[[#This Row],[Hard RRR Potential]])&gt;=2,(TABLE1[[#This Row],[Back to BE]])="True",(TABLE1[[#This Row],[Price Behaviour]])="Fast Reversal"), 2-(TABLE1[[#This Row],[Missed RRR on Entry]]),ROUND((TABLE1[[#This Row],[Exit Price]]-TABLE1[[#This Row],[Entry Price]])/(TABLE1[[#This Row],[Intended Entry]]-TABLE1[[#This Row],[SL Price]]),4))</f>
        <v>2.7692000000000001</v>
      </c>
      <c r="BG10" s="48">
        <f>IF((TABLE1[[#This Row],[Pattern SL]])&lt;&gt;FALSE,((TABLE1[[#This Row],[Pattern SL]])-(TABLE1[[#This Row],[Entry Price]]))/((TABLE1[[#This Row],[Intended Entry]])-(TABLE1[[#This Row],[SL Price]])),ROUND((TABLE1[[#This Row],[Exit Price]]-TABLE1[[#This Row],[Entry Price]])/(TABLE1[[#This Row],[Intended Entry]]-TABLE1[[#This Row],[SL Price]]),4))</f>
        <v>2.7692000000000001</v>
      </c>
      <c r="BH1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2.7692307692307652</v>
      </c>
      <c r="BI10"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2.7692000000000001</v>
      </c>
      <c r="BJ10" s="21">
        <f>IF( TABLE1[[#This Row],[Wick Exit]]&lt;&gt; FALSE,TABLE1[[#This Row],[RRR Wick Exit]],IF(TABLE1[[#This Row],[Volume Exit]]&lt;&gt; FALSE,TABLE1[[#This Row],[RRR Volume Exit]],TABLE1[[#This Row],[RRR Realized]]))</f>
        <v>2.7692307692307652</v>
      </c>
      <c r="BK10"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2.7692000000000001</v>
      </c>
      <c r="BL10" s="4">
        <f>IF(OR(AND(TABLE1[[#This Row],[Hard RRR Potential]]&gt;=2.5,TABLE1[[#This Row],[Volume Exit]]=FALSE,TABLE1[[#This Row],[Wick Exit]]=FALSE),AND(TABLE1[[#This Row],[Hard RRR Potential]]&gt;=2.5,TABLE1[[#This Row],[Volume Exit RRR Reach]]&gt;=2.5,TABLE1[[#This Row],[Wick Exit]]=FALSE)), 2.5-TABLE1[[#This Row],[Missed RRR on Entry]],TABLE1[[#This Row],[RRR Realized]])</f>
        <v>2.4743589743589749</v>
      </c>
      <c r="BM10" s="4">
        <f>IF(OR(AND(TABLE1[[#This Row],[Hard RRR Potential]]&gt;=3,TABLE1[[#This Row],[Volume Exit]]=FALSE,TABLE1[[#This Row],[Wick Exit]]=FALSE),AND(TABLE1[[#This Row],[Hard RRR Potential]]&gt;=3,TABLE1[[#This Row],[Volume Exit RRR Reach]]&gt;=3,TABLE1[[#This Row],[Wick Exit]]=FALSE)), 3-TABLE1[[#This Row],[Missed RRR on Entry]],TABLE1[[#This Row],[RRR Realized]])</f>
        <v>2.9743589743589749</v>
      </c>
      <c r="BN10" s="4"/>
      <c r="BO10" s="4"/>
    </row>
    <row r="11" spans="1:67" x14ac:dyDescent="0.45">
      <c r="A11" t="s">
        <v>180</v>
      </c>
      <c r="B11">
        <v>10</v>
      </c>
      <c r="C11" s="2">
        <v>43552</v>
      </c>
      <c r="D11" s="1">
        <v>0.44166666666666665</v>
      </c>
      <c r="E11" s="1">
        <v>0.45208333333333334</v>
      </c>
      <c r="F11" s="4">
        <v>8.4499999999999993</v>
      </c>
      <c r="G11" s="4">
        <v>-105</v>
      </c>
      <c r="H11" s="15">
        <v>833</v>
      </c>
      <c r="I11" t="s">
        <v>18</v>
      </c>
      <c r="J11" t="s">
        <v>21</v>
      </c>
      <c r="K11">
        <v>2.04</v>
      </c>
      <c r="L11">
        <v>2.04</v>
      </c>
      <c r="M11">
        <v>1.94</v>
      </c>
      <c r="N11">
        <v>1.9239999999999999</v>
      </c>
      <c r="O11">
        <v>2.17</v>
      </c>
      <c r="P11">
        <v>1.9239999999999999</v>
      </c>
      <c r="Q11">
        <v>2.17</v>
      </c>
      <c r="R11">
        <v>2.17</v>
      </c>
      <c r="S11" t="b">
        <v>0</v>
      </c>
      <c r="T11" t="b">
        <v>0</v>
      </c>
      <c r="U11" t="b">
        <v>0</v>
      </c>
      <c r="W11" t="b">
        <v>0</v>
      </c>
      <c r="Z11" t="b">
        <v>0</v>
      </c>
      <c r="AA11" t="b">
        <v>0</v>
      </c>
      <c r="AB11" t="s">
        <v>25</v>
      </c>
      <c r="AC11" t="s">
        <v>28</v>
      </c>
      <c r="AD11" t="s">
        <v>34</v>
      </c>
      <c r="AE11">
        <v>14.55</v>
      </c>
      <c r="AG11">
        <v>2</v>
      </c>
      <c r="AH11" t="b">
        <v>0</v>
      </c>
      <c r="AI11">
        <v>1.925</v>
      </c>
      <c r="AJ11" t="s">
        <v>137</v>
      </c>
      <c r="AK11" t="s">
        <v>181</v>
      </c>
      <c r="AL11">
        <v>0.04</v>
      </c>
      <c r="AM11">
        <v>-0.3</v>
      </c>
      <c r="AO11" s="22" t="s">
        <v>183</v>
      </c>
      <c r="AP11" s="4">
        <f>IF(TABLE1[[#This Row],[Buy/Sell]]="BUY",(TABLE1[[#This Row],[Highest Price]]-TABLE1[[#This Row],[Entry Price]])/(TABLE1[[#This Row],[Intended Entry]]-TABLE1[[#This Row],[SL Price]]),(TABLE1[[#This Row],[Entry Price]]-TABLE1[[#This Row],[Lowest Price]])/(TABLE1[[#This Row],[SL Price]]-TABLE1[[#This Row],[Intended Entry]]))</f>
        <v>1.2999999999999978</v>
      </c>
      <c r="AQ11" s="19">
        <f>IF(TABLE1[[#This Row],[Buy/Sell]]="BUY",(TABLE1[[#This Row],[Entry Price]]-TABLE1[[#This Row],[Lowest Price]])/(TABLE1[[#This Row],[SL Price]]-TABLE1[[#This Row],[Intended Entry]]),(TABLE1[[#This Row],[Entry Price]]-TABLE1[[#This Row],[Highest Price]])/(TABLE1[[#This Row],[SL Price]]-TABLE1[[#This Row],[Intended Entry]]))</f>
        <v>-1.1599999999999999</v>
      </c>
      <c r="AR11" s="4" t="str">
        <f>IF(AND(TABLE1[[#This Row],[RRR Realized]]&lt;0.5,TABLE1[[#This Row],[RRR Realized]]&gt;-0.6),"BE",IF(TABLE1[[#This Row],[Gain/Loss]]&lt;0, "LOSER", "WINNER"))</f>
        <v>LOSER</v>
      </c>
      <c r="AS11" s="4">
        <f>TABLE1[[#This Row],[Gain/Loss]]-TABLE1[[#This Row],[Comissions]]</f>
        <v>-113.45</v>
      </c>
      <c r="AT11" s="3">
        <f>TABLE1[[#This Row],[Exit Time]]-TABLE1[[#This Row],[Entry Time]]</f>
        <v>1.0416666666666685E-2</v>
      </c>
      <c r="AU11" s="4">
        <f>TABLE1[[#This Row],[Net Gain/Loss]]+AU10</f>
        <v>413.54</v>
      </c>
      <c r="AV11" s="4">
        <f>IF(TABLE1[[#This Row],[Potential Price Before BE]]=FALSE,"FALSE",( TABLE1[[#This Row],[Potential Price Before BE]]-TABLE1[[#This Row],[Intended Entry]])/(TABLE1[[#This Row],[Intended Entry]]-TABLE1[[#This Row],[SL Price]]))</f>
        <v>1.2999999999999978</v>
      </c>
      <c r="AW11" s="4">
        <f>(IF(TABLE1[[#This Row],[Buy/Sell]]="BUY",(TABLE1[[#This Row],[Entry Price]]-TABLE1[[#This Row],[SL Price]])/(TABLE1[[#This Row],[Intended Entry]]-TABLE1[[#This Row],[SL Price]]),(TABLE1[[#This Row],[SL Price]]-TABLE1[[#This Row],[Entry Price]])/(TABLE1[[#This Row],[SL Price]]-TABLE1[[#This Row],[Intended Entry]])))-1</f>
        <v>0</v>
      </c>
      <c r="AX11" s="19">
        <f>TABLE1[[#This Row],[Missed RRR on Entry]]</f>
        <v>0</v>
      </c>
      <c r="AY11" s="19">
        <f>ROUND((TABLE1[[#This Row],[Potential Price]]-TABLE1[[#This Row],[Entry Price]])/(TABLE1[[#This Row],[Intended Entry]]-TABLE1[[#This Row],[SL Price]]),4)</f>
        <v>1.3</v>
      </c>
      <c r="AZ11" s="19">
        <f>ROUND((TABLE1[[#This Row],[Potential Price]]-TABLE1[[#This Row],[Intended Entry]])/(TABLE1[[#This Row],[Intended Entry]]-TABLE1[[#This Row],[SL Price]]),4)</f>
        <v>1.3</v>
      </c>
      <c r="BA11" s="19">
        <f>TABLE1[[#This Row],[RRR Potential]]-TABLE1[[#This Row],[RRR Realized]]</f>
        <v>2.46</v>
      </c>
      <c r="BB11" s="25">
        <f>ROUND((TABLE1[[#This Row],[Exit Price]]-TABLE1[[#This Row],[Entry Price]])/(TABLE1[[#This Row],[Intended Entry]]-TABLE1[[#This Row],[SL Price]]),4)</f>
        <v>-1.1599999999999999</v>
      </c>
      <c r="BC11" s="4">
        <f>IF(AND((TABLE1[[#This Row],[Back to BE]])=TRUE,(TABLE1[[#This Row],[Price Behaviour]])="Fast Reversal"), 0-(TABLE1[[#This Row],[Missed RRR on Entry]]),ROUND((TABLE1[[#This Row],[Exit Price]]-TABLE1[[#This Row],[Entry Price]])/(TABLE1[[#This Row],[Intended Entry]]-TABLE1[[#This Row],[SL Price]]),4))</f>
        <v>-1.1599999999999999</v>
      </c>
      <c r="BD11" s="4">
        <f>IF(AND((TABLE1[[#This Row],[Hard RRR Potential]])&gt;=1,(TABLE1[[#This Row],[Back to BE]])="True",(TABLE1[[#This Row],[Price Behaviour]])="Fast Reversal"), 1-(TABLE1[[#This Row],[Missed RRR on Entry]]),ROUND((TABLE1[[#This Row],[Exit Price]]-TABLE1[[#This Row],[Entry Price]])/(TABLE1[[#This Row],[Intended Entry]]-TABLE1[[#This Row],[SL Price]]),4))</f>
        <v>-1.1599999999999999</v>
      </c>
      <c r="BE11" s="4">
        <f>IF(AND((TABLE1[[#This Row],[Hard RRR Potential]])&gt;=1.5,(TABLE1[[#This Row],[Back to BE]])="True",(TABLE1[[#This Row],[Price Behaviour]])="Fast Reversal"), 1.5-(TABLE1[[#This Row],[Missed RRR on Entry]]),ROUND((TABLE1[[#This Row],[Exit Price]]-TABLE1[[#This Row],[Entry Price]])/(TABLE1[[#This Row],[Intended Entry]]-TABLE1[[#This Row],[SL Price]]),4))</f>
        <v>-1.1599999999999999</v>
      </c>
      <c r="BF11" s="4">
        <f>IF(AND((TABLE1[[#This Row],[Hard RRR Potential]])&gt;=2,(TABLE1[[#This Row],[Back to BE]])="True",(TABLE1[[#This Row],[Price Behaviour]])="Fast Reversal"), 2-(TABLE1[[#This Row],[Missed RRR on Entry]]),ROUND((TABLE1[[#This Row],[Exit Price]]-TABLE1[[#This Row],[Entry Price]])/(TABLE1[[#This Row],[Intended Entry]]-TABLE1[[#This Row],[SL Price]]),4))</f>
        <v>-1.1599999999999999</v>
      </c>
      <c r="BG11" s="48">
        <f>IF((TABLE1[[#This Row],[Pattern SL]])&lt;&gt;FALSE,((TABLE1[[#This Row],[Pattern SL]])-(TABLE1[[#This Row],[Entry Price]]))/((TABLE1[[#This Row],[Intended Entry]])-(TABLE1[[#This Row],[SL Price]])),ROUND((TABLE1[[#This Row],[Exit Price]]-TABLE1[[#This Row],[Entry Price]])/(TABLE1[[#This Row],[Intended Entry]]-TABLE1[[#This Row],[SL Price]]),4))</f>
        <v>-1.1599999999999999</v>
      </c>
      <c r="BH1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-1.1599999999999999</v>
      </c>
      <c r="BI11"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-1.1599999999999999</v>
      </c>
      <c r="BJ11" s="21">
        <f>IF( TABLE1[[#This Row],[Wick Exit]]&lt;&gt; FALSE,TABLE1[[#This Row],[RRR Wick Exit]],IF(TABLE1[[#This Row],[Volume Exit]]&lt;&gt; FALSE,TABLE1[[#This Row],[RRR Volume Exit]],TABLE1[[#This Row],[RRR Realized]]))</f>
        <v>-1.1599999999999999</v>
      </c>
      <c r="BK11"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-1.1599999999999999</v>
      </c>
      <c r="BL11" s="4">
        <f>IF(OR(AND(TABLE1[[#This Row],[Hard RRR Potential]]&gt;=2.5,TABLE1[[#This Row],[Volume Exit]]=FALSE,TABLE1[[#This Row],[Wick Exit]]=FALSE),AND(TABLE1[[#This Row],[Hard RRR Potential]]&gt;=2.5,TABLE1[[#This Row],[Volume Exit RRR Reach]]&gt;=2.5,TABLE1[[#This Row],[Wick Exit]]=FALSE)), 2.5-TABLE1[[#This Row],[Missed RRR on Entry]],TABLE1[[#This Row],[RRR Realized]])</f>
        <v>-1.1599999999999999</v>
      </c>
      <c r="BM11" s="4">
        <f>IF(OR(AND(TABLE1[[#This Row],[Hard RRR Potential]]&gt;=3,TABLE1[[#This Row],[Volume Exit]]=FALSE,TABLE1[[#This Row],[Wick Exit]]=FALSE),AND(TABLE1[[#This Row],[Hard RRR Potential]]&gt;=3,TABLE1[[#This Row],[Volume Exit RRR Reach]]&gt;=3,TABLE1[[#This Row],[Wick Exit]]=FALSE)), 3-TABLE1[[#This Row],[Missed RRR on Entry]],TABLE1[[#This Row],[RRR Realized]])</f>
        <v>-1.1599999999999999</v>
      </c>
      <c r="BN11" s="4"/>
      <c r="BO11" s="4"/>
    </row>
    <row r="12" spans="1:67" x14ac:dyDescent="0.45">
      <c r="A12" t="s">
        <v>198</v>
      </c>
      <c r="B12">
        <v>11</v>
      </c>
      <c r="C12" s="2">
        <v>43553</v>
      </c>
      <c r="D12" s="1">
        <v>0.42777777777777781</v>
      </c>
      <c r="E12" s="1">
        <v>0.43124999999999997</v>
      </c>
      <c r="F12" s="4">
        <v>6.77</v>
      </c>
      <c r="G12" s="4">
        <v>246.42</v>
      </c>
      <c r="H12" s="15">
        <v>666</v>
      </c>
      <c r="I12" t="s">
        <v>18</v>
      </c>
      <c r="J12" t="s">
        <v>21</v>
      </c>
      <c r="K12">
        <v>3.22</v>
      </c>
      <c r="L12">
        <v>3.22</v>
      </c>
      <c r="M12">
        <v>2.92</v>
      </c>
      <c r="N12">
        <v>3.59</v>
      </c>
      <c r="O12">
        <v>3.7</v>
      </c>
      <c r="P12">
        <v>3.21</v>
      </c>
      <c r="Q12">
        <v>3.7</v>
      </c>
      <c r="R12">
        <v>3.7</v>
      </c>
      <c r="S12" t="b">
        <v>0</v>
      </c>
      <c r="T12" t="b">
        <v>0</v>
      </c>
      <c r="U12" t="b">
        <v>0</v>
      </c>
      <c r="W12">
        <v>3.59</v>
      </c>
      <c r="X12">
        <v>1.2</v>
      </c>
      <c r="Y12" t="b">
        <v>0</v>
      </c>
      <c r="Z12" t="b">
        <v>0</v>
      </c>
      <c r="AA12" t="b">
        <v>0</v>
      </c>
      <c r="AB12" t="s">
        <v>25</v>
      </c>
      <c r="AC12" t="s">
        <v>28</v>
      </c>
      <c r="AD12" t="s">
        <v>35</v>
      </c>
      <c r="AE12">
        <v>287</v>
      </c>
      <c r="AG12">
        <v>2</v>
      </c>
      <c r="AH12" t="b">
        <v>0</v>
      </c>
      <c r="AI12">
        <v>2.9</v>
      </c>
      <c r="AJ12" t="s">
        <v>137</v>
      </c>
      <c r="AK12" t="s">
        <v>248</v>
      </c>
      <c r="AL12">
        <v>2.13</v>
      </c>
      <c r="AM12">
        <v>-0.2</v>
      </c>
      <c r="AO12" s="22" t="s">
        <v>200</v>
      </c>
      <c r="AP12" s="21">
        <f>IF(TABLE1[[#This Row],[Buy/Sell]]="BUY",(TABLE1[[#This Row],[Highest Price]]-TABLE1[[#This Row],[Entry Price]])/(TABLE1[[#This Row],[Intended Entry]]-TABLE1[[#This Row],[SL Price]]),(TABLE1[[#This Row],[Entry Price]]-TABLE1[[#This Row],[Lowest Price]])/(TABLE1[[#This Row],[SL Price]]-TABLE1[[#This Row],[Intended Entry]]))</f>
        <v>1.5999999999999985</v>
      </c>
      <c r="AQ12" s="52">
        <f>IF(TABLE1[[#This Row],[Buy/Sell]]="BUY",(TABLE1[[#This Row],[Entry Price]]-TABLE1[[#This Row],[Lowest Price]])/(TABLE1[[#This Row],[SL Price]]-TABLE1[[#This Row],[Intended Entry]]),(TABLE1[[#This Row],[Entry Price]]-TABLE1[[#This Row],[Highest Price]])/(TABLE1[[#This Row],[SL Price]]-TABLE1[[#This Row],[Intended Entry]]))</f>
        <v>-3.3333333333334075E-2</v>
      </c>
      <c r="AR12" s="4" t="str">
        <f>IF(AND(TABLE1[[#This Row],[RRR Realized]]&lt;0.5,TABLE1[[#This Row],[RRR Realized]]&gt;-0.6),"BE",IF(TABLE1[[#This Row],[Gain/Loss]]&lt;0, "LOSER", "WINNER"))</f>
        <v>WINNER</v>
      </c>
      <c r="AS12" s="4">
        <f>TABLE1[[#This Row],[Gain/Loss]]-TABLE1[[#This Row],[Comissions]]</f>
        <v>239.64999999999998</v>
      </c>
      <c r="AT12" s="3">
        <f>TABLE1[[#This Row],[Exit Time]]-TABLE1[[#This Row],[Entry Time]]</f>
        <v>3.4722222222221544E-3</v>
      </c>
      <c r="AU12" s="4">
        <f>TABLE1[[#This Row],[Net Gain/Loss]]+AU11</f>
        <v>653.19000000000005</v>
      </c>
      <c r="AV12" s="4">
        <f>IF(TABLE1[[#This Row],[Potential Price Before BE]]=FALSE,"FALSE",( TABLE1[[#This Row],[Potential Price Before BE]]-TABLE1[[#This Row],[Intended Entry]])/(TABLE1[[#This Row],[Intended Entry]]-TABLE1[[#This Row],[SL Price]]))</f>
        <v>1.5999999999999985</v>
      </c>
      <c r="AW12" s="4">
        <f>(IF(TABLE1[[#This Row],[Buy/Sell]]="BUY",(TABLE1[[#This Row],[Entry Price]]-TABLE1[[#This Row],[SL Price]])/(TABLE1[[#This Row],[Intended Entry]]-TABLE1[[#This Row],[SL Price]]),(TABLE1[[#This Row],[SL Price]]-TABLE1[[#This Row],[Entry Price]])/(TABLE1[[#This Row],[SL Price]]-TABLE1[[#This Row],[Intended Entry]])))-1</f>
        <v>0</v>
      </c>
      <c r="AX12" s="19">
        <f>TABLE1[[#This Row],[Missed RRR on Entry]]</f>
        <v>0</v>
      </c>
      <c r="AY12" s="19">
        <f>ROUND((TABLE1[[#This Row],[Potential Price]]-TABLE1[[#This Row],[Entry Price]])/(TABLE1[[#This Row],[Intended Entry]]-TABLE1[[#This Row],[SL Price]]),4)</f>
        <v>1.6</v>
      </c>
      <c r="AZ12" s="19">
        <f>ROUND((TABLE1[[#This Row],[Potential Price]]-TABLE1[[#This Row],[Intended Entry]])/(TABLE1[[#This Row],[Intended Entry]]-TABLE1[[#This Row],[SL Price]]),4)</f>
        <v>1.6</v>
      </c>
      <c r="BA12" s="19">
        <f>TABLE1[[#This Row],[RRR Potential]]-TABLE1[[#This Row],[RRR Realized]]</f>
        <v>0.36670000000000003</v>
      </c>
      <c r="BB12" s="25">
        <f>ROUND((TABLE1[[#This Row],[Exit Price]]-TABLE1[[#This Row],[Entry Price]])/(TABLE1[[#This Row],[Intended Entry]]-TABLE1[[#This Row],[SL Price]]),4)</f>
        <v>1.2333000000000001</v>
      </c>
      <c r="BC12" s="4">
        <f>IF(AND((TABLE1[[#This Row],[Back to BE]])=TRUE,(TABLE1[[#This Row],[Price Behaviour]])="Fast Reversal"), 0-(TABLE1[[#This Row],[Missed RRR on Entry]]),ROUND((TABLE1[[#This Row],[Exit Price]]-TABLE1[[#This Row],[Entry Price]])/(TABLE1[[#This Row],[Intended Entry]]-TABLE1[[#This Row],[SL Price]]),4))</f>
        <v>1.2333000000000001</v>
      </c>
      <c r="BD12" s="4">
        <f>IF(AND((TABLE1[[#This Row],[Hard RRR Potential]])&gt;=1,(TABLE1[[#This Row],[Back to BE]])="True",(TABLE1[[#This Row],[Price Behaviour]])="Fast Reversal"), 1-(TABLE1[[#This Row],[Missed RRR on Entry]]),ROUND((TABLE1[[#This Row],[Exit Price]]-TABLE1[[#This Row],[Entry Price]])/(TABLE1[[#This Row],[Intended Entry]]-TABLE1[[#This Row],[SL Price]]),4))</f>
        <v>1.2333000000000001</v>
      </c>
      <c r="BE12" s="4">
        <f>IF(AND((TABLE1[[#This Row],[Hard RRR Potential]])&gt;=1.5,(TABLE1[[#This Row],[Back to BE]])="True",(TABLE1[[#This Row],[Price Behaviour]])="Fast Reversal"), 1.5-(TABLE1[[#This Row],[Missed RRR on Entry]]),ROUND((TABLE1[[#This Row],[Exit Price]]-TABLE1[[#This Row],[Entry Price]])/(TABLE1[[#This Row],[Intended Entry]]-TABLE1[[#This Row],[SL Price]]),4))</f>
        <v>1.2333000000000001</v>
      </c>
      <c r="BF12" s="4">
        <f>IF(AND((TABLE1[[#This Row],[Hard RRR Potential]])&gt;=2,(TABLE1[[#This Row],[Back to BE]])="True",(TABLE1[[#This Row],[Price Behaviour]])="Fast Reversal"), 2-(TABLE1[[#This Row],[Missed RRR on Entry]]),ROUND((TABLE1[[#This Row],[Exit Price]]-TABLE1[[#This Row],[Entry Price]])/(TABLE1[[#This Row],[Intended Entry]]-TABLE1[[#This Row],[SL Price]]),4))</f>
        <v>1.2333000000000001</v>
      </c>
      <c r="BG12" s="48">
        <f>IF((TABLE1[[#This Row],[Pattern SL]])&lt;&gt;FALSE,((TABLE1[[#This Row],[Pattern SL]])-(TABLE1[[#This Row],[Entry Price]]))/((TABLE1[[#This Row],[Intended Entry]])-(TABLE1[[#This Row],[SL Price]])),ROUND((TABLE1[[#This Row],[Exit Price]]-TABLE1[[#This Row],[Entry Price]])/(TABLE1[[#This Row],[Intended Entry]]-TABLE1[[#This Row],[SL Price]]),4))</f>
        <v>1.2333000000000001</v>
      </c>
      <c r="BH1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1.2333333333333312</v>
      </c>
      <c r="BI1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1.2333000000000001</v>
      </c>
      <c r="BJ12" s="21">
        <f>IF( TABLE1[[#This Row],[Wick Exit]]&lt;&gt; FALSE,TABLE1[[#This Row],[RRR Wick Exit]],IF(TABLE1[[#This Row],[Volume Exit]]&lt;&gt; FALSE,TABLE1[[#This Row],[RRR Volume Exit]],TABLE1[[#This Row],[RRR Realized]]))</f>
        <v>1.2333333333333312</v>
      </c>
      <c r="BK1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1.2333000000000001</v>
      </c>
      <c r="BL12" s="4">
        <f>IF(OR(AND(TABLE1[[#This Row],[Hard RRR Potential]]&gt;=2.5,TABLE1[[#This Row],[Volume Exit]]=FALSE,TABLE1[[#This Row],[Wick Exit]]=FALSE),AND(TABLE1[[#This Row],[Hard RRR Potential]]&gt;=2.5,TABLE1[[#This Row],[Volume Exit RRR Reach]]&gt;=2.5,TABLE1[[#This Row],[Wick Exit]]=FALSE)), 2.5-TABLE1[[#This Row],[Missed RRR on Entry]],TABLE1[[#This Row],[RRR Realized]])</f>
        <v>1.2333000000000001</v>
      </c>
      <c r="BM12" s="4">
        <f>IF(OR(AND(TABLE1[[#This Row],[Hard RRR Potential]]&gt;=3,TABLE1[[#This Row],[Volume Exit]]=FALSE,TABLE1[[#This Row],[Wick Exit]]=FALSE),AND(TABLE1[[#This Row],[Hard RRR Potential]]&gt;=3,TABLE1[[#This Row],[Volume Exit RRR Reach]]&gt;=3,TABLE1[[#This Row],[Wick Exit]]=FALSE)), 3-TABLE1[[#This Row],[Missed RRR on Entry]],TABLE1[[#This Row],[RRR Realized]])</f>
        <v>1.2333000000000001</v>
      </c>
      <c r="BN12" s="4"/>
      <c r="BO12" s="4"/>
    </row>
    <row r="13" spans="1:67" x14ac:dyDescent="0.45">
      <c r="A13" t="s">
        <v>199</v>
      </c>
      <c r="B13">
        <v>12</v>
      </c>
      <c r="C13" s="2">
        <v>43553</v>
      </c>
      <c r="D13" s="1">
        <v>0.43333333333333335</v>
      </c>
      <c r="E13" s="1">
        <v>0.43472222222222223</v>
      </c>
      <c r="F13" s="4">
        <v>23.5</v>
      </c>
      <c r="G13" s="4">
        <v>23.5</v>
      </c>
      <c r="H13" s="15">
        <v>1000</v>
      </c>
      <c r="I13" t="s">
        <v>18</v>
      </c>
      <c r="J13" t="s">
        <v>21</v>
      </c>
      <c r="K13">
        <v>4.0999999999999996</v>
      </c>
      <c r="L13">
        <v>4.1059999999999999</v>
      </c>
      <c r="M13">
        <v>4</v>
      </c>
      <c r="N13">
        <v>4.13</v>
      </c>
      <c r="O13">
        <v>4.2</v>
      </c>
      <c r="P13">
        <v>4.07</v>
      </c>
      <c r="Q13">
        <v>4.2</v>
      </c>
      <c r="R13">
        <v>4.2</v>
      </c>
      <c r="S13" t="b">
        <v>0</v>
      </c>
      <c r="T13" t="b">
        <v>0</v>
      </c>
      <c r="U13" t="b">
        <v>0</v>
      </c>
      <c r="W13" t="b">
        <v>0</v>
      </c>
      <c r="Z13" t="b">
        <v>0</v>
      </c>
      <c r="AA13">
        <v>4.13</v>
      </c>
      <c r="AB13" t="s">
        <v>24</v>
      </c>
      <c r="AC13" t="s">
        <v>28</v>
      </c>
      <c r="AD13" t="s">
        <v>39</v>
      </c>
      <c r="AE13">
        <v>2.72</v>
      </c>
      <c r="AG13">
        <v>1</v>
      </c>
      <c r="AH13" t="b">
        <v>0</v>
      </c>
      <c r="AI13">
        <v>3.85</v>
      </c>
      <c r="AJ13" t="s">
        <v>137</v>
      </c>
      <c r="AK13" t="s">
        <v>187</v>
      </c>
      <c r="AL13">
        <v>5.77</v>
      </c>
      <c r="AM13">
        <v>-0.2</v>
      </c>
      <c r="AO13" s="22" t="s">
        <v>202</v>
      </c>
      <c r="AP13" s="21">
        <f>IF(TABLE1[[#This Row],[Buy/Sell]]="BUY",(TABLE1[[#This Row],[Highest Price]]-TABLE1[[#This Row],[Entry Price]])/(TABLE1[[#This Row],[Intended Entry]]-TABLE1[[#This Row],[SL Price]]),(TABLE1[[#This Row],[Entry Price]]-TABLE1[[#This Row],[Lowest Price]])/(TABLE1[[#This Row],[SL Price]]-TABLE1[[#This Row],[Intended Entry]]))</f>
        <v>0.94000000000000639</v>
      </c>
      <c r="AQ13" s="52">
        <f>IF(TABLE1[[#This Row],[Buy/Sell]]="BUY",(TABLE1[[#This Row],[Entry Price]]-TABLE1[[#This Row],[Lowest Price]])/(TABLE1[[#This Row],[SL Price]]-TABLE1[[#This Row],[Intended Entry]]),(TABLE1[[#This Row],[Entry Price]]-TABLE1[[#This Row],[Highest Price]])/(TABLE1[[#This Row],[SL Price]]-TABLE1[[#This Row],[Intended Entry]]))</f>
        <v>-0.35999999999999716</v>
      </c>
      <c r="AR13" s="4" t="str">
        <f>IF(AND(TABLE1[[#This Row],[RRR Realized]]&lt;0.5,TABLE1[[#This Row],[RRR Realized]]&gt;-0.6),"BE",IF(TABLE1[[#This Row],[Gain/Loss]]&lt;0, "LOSER", "WINNER"))</f>
        <v>BE</v>
      </c>
      <c r="AS13" s="4">
        <f>TABLE1[[#This Row],[Gain/Loss]]-TABLE1[[#This Row],[Comissions]]</f>
        <v>0</v>
      </c>
      <c r="AT13" s="3">
        <f>TABLE1[[#This Row],[Exit Time]]-TABLE1[[#This Row],[Entry Time]]</f>
        <v>1.388888888888884E-3</v>
      </c>
      <c r="AU13" s="4">
        <f>TABLE1[[#This Row],[Net Gain/Loss]]+AU12</f>
        <v>653.19000000000005</v>
      </c>
      <c r="AV13" s="4">
        <f>IF(TABLE1[[#This Row],[Potential Price Before BE]]=FALSE,"FALSE",( TABLE1[[#This Row],[Potential Price Before BE]]-TABLE1[[#This Row],[Intended Entry]])/(TABLE1[[#This Row],[Intended Entry]]-TABLE1[[#This Row],[SL Price]]))</f>
        <v>1.0000000000000089</v>
      </c>
      <c r="AW13" s="4">
        <f>(IF(TABLE1[[#This Row],[Buy/Sell]]="BUY",(TABLE1[[#This Row],[Entry Price]]-TABLE1[[#This Row],[SL Price]])/(TABLE1[[#This Row],[Intended Entry]]-TABLE1[[#This Row],[SL Price]]),(TABLE1[[#This Row],[SL Price]]-TABLE1[[#This Row],[Entry Price]])/(TABLE1[[#This Row],[SL Price]]-TABLE1[[#This Row],[Intended Entry]])))-1</f>
        <v>6.0000000000002496E-2</v>
      </c>
      <c r="AX13" s="19">
        <f>TABLE1[[#This Row],[Missed RRR on Entry]]</f>
        <v>6.0000000000002496E-2</v>
      </c>
      <c r="AY13" s="19">
        <f>ROUND((TABLE1[[#This Row],[Potential Price]]-TABLE1[[#This Row],[Entry Price]])/(TABLE1[[#This Row],[Intended Entry]]-TABLE1[[#This Row],[SL Price]]),4)</f>
        <v>0.94</v>
      </c>
      <c r="AZ13" s="19">
        <f>ROUND((TABLE1[[#This Row],[Potential Price]]-TABLE1[[#This Row],[Intended Entry]])/(TABLE1[[#This Row],[Intended Entry]]-TABLE1[[#This Row],[SL Price]]),4)</f>
        <v>1</v>
      </c>
      <c r="BA13" s="19">
        <f>TABLE1[[#This Row],[RRR Potential]]-TABLE1[[#This Row],[RRR Realized]]</f>
        <v>0.7</v>
      </c>
      <c r="BB13" s="25">
        <f>ROUND((TABLE1[[#This Row],[Exit Price]]-TABLE1[[#This Row],[Entry Price]])/(TABLE1[[#This Row],[Intended Entry]]-TABLE1[[#This Row],[SL Price]]),4)</f>
        <v>0.24</v>
      </c>
      <c r="BC13" s="4">
        <f>IF(AND((TABLE1[[#This Row],[Back to BE]])=TRUE,(TABLE1[[#This Row],[Price Behaviour]])="Fast Reversal"), 0-(TABLE1[[#This Row],[Missed RRR on Entry]]),ROUND((TABLE1[[#This Row],[Exit Price]]-TABLE1[[#This Row],[Entry Price]])/(TABLE1[[#This Row],[Intended Entry]]-TABLE1[[#This Row],[SL Price]]),4))</f>
        <v>0.24</v>
      </c>
      <c r="BD13" s="4">
        <f>IF(AND((TABLE1[[#This Row],[Hard RRR Potential]])&gt;=1,(TABLE1[[#This Row],[Back to BE]])="True",(TABLE1[[#This Row],[Price Behaviour]])="Fast Reversal"), 1-(TABLE1[[#This Row],[Missed RRR on Entry]]),ROUND((TABLE1[[#This Row],[Exit Price]]-TABLE1[[#This Row],[Entry Price]])/(TABLE1[[#This Row],[Intended Entry]]-TABLE1[[#This Row],[SL Price]]),4))</f>
        <v>0.24</v>
      </c>
      <c r="BE13" s="4">
        <f>IF(AND((TABLE1[[#This Row],[Hard RRR Potential]])&gt;=1.5,(TABLE1[[#This Row],[Back to BE]])="True",(TABLE1[[#This Row],[Price Behaviour]])="Fast Reversal"), 1.5-(TABLE1[[#This Row],[Missed RRR on Entry]]),ROUND((TABLE1[[#This Row],[Exit Price]]-TABLE1[[#This Row],[Entry Price]])/(TABLE1[[#This Row],[Intended Entry]]-TABLE1[[#This Row],[SL Price]]),4))</f>
        <v>0.24</v>
      </c>
      <c r="BF13" s="4">
        <f>IF(AND((TABLE1[[#This Row],[Hard RRR Potential]])&gt;=2,(TABLE1[[#This Row],[Back to BE]])="True",(TABLE1[[#This Row],[Price Behaviour]])="Fast Reversal"), 2-(TABLE1[[#This Row],[Missed RRR on Entry]]),ROUND((TABLE1[[#This Row],[Exit Price]]-TABLE1[[#This Row],[Entry Price]])/(TABLE1[[#This Row],[Intended Entry]]-TABLE1[[#This Row],[SL Price]]),4))</f>
        <v>0.24</v>
      </c>
      <c r="BG13" s="48">
        <f>IF((TABLE1[[#This Row],[Pattern SL]])&lt;&gt;FALSE,((TABLE1[[#This Row],[Pattern SL]])-(TABLE1[[#This Row],[Entry Price]]))/((TABLE1[[#This Row],[Intended Entry]])-(TABLE1[[#This Row],[SL Price]])),ROUND((TABLE1[[#This Row],[Exit Price]]-TABLE1[[#This Row],[Entry Price]])/(TABLE1[[#This Row],[Intended Entry]]-TABLE1[[#This Row],[SL Price]]),4))</f>
        <v>0.24</v>
      </c>
      <c r="BH1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0.24</v>
      </c>
      <c r="BI1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0.24000000000000107</v>
      </c>
      <c r="BJ13" s="21">
        <f>IF( TABLE1[[#This Row],[Wick Exit]]&lt;&gt; FALSE,TABLE1[[#This Row],[RRR Wick Exit]],IF(TABLE1[[#This Row],[Volume Exit]]&lt;&gt; FALSE,TABLE1[[#This Row],[RRR Volume Exit]],TABLE1[[#This Row],[RRR Realized]]))</f>
        <v>0.24000000000000107</v>
      </c>
      <c r="BK1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0.24</v>
      </c>
      <c r="BL13" s="4">
        <f>IF(OR(AND(TABLE1[[#This Row],[Hard RRR Potential]]&gt;=2.5,TABLE1[[#This Row],[Volume Exit]]=FALSE,TABLE1[[#This Row],[Wick Exit]]=FALSE),AND(TABLE1[[#This Row],[Hard RRR Potential]]&gt;=2.5,TABLE1[[#This Row],[Volume Exit RRR Reach]]&gt;=2.5,TABLE1[[#This Row],[Wick Exit]]=FALSE)), 2.5-TABLE1[[#This Row],[Missed RRR on Entry]],TABLE1[[#This Row],[RRR Realized]])</f>
        <v>0.24</v>
      </c>
      <c r="BM13" s="4">
        <f>IF(OR(AND(TABLE1[[#This Row],[Hard RRR Potential]]&gt;=3,TABLE1[[#This Row],[Volume Exit]]=FALSE,TABLE1[[#This Row],[Wick Exit]]=FALSE),AND(TABLE1[[#This Row],[Hard RRR Potential]]&gt;=3,TABLE1[[#This Row],[Volume Exit RRR Reach]]&gt;=3,TABLE1[[#This Row],[Wick Exit]]=FALSE)), 3-TABLE1[[#This Row],[Missed RRR on Entry]],TABLE1[[#This Row],[RRR Realized]])</f>
        <v>0.24</v>
      </c>
      <c r="BN13" s="4"/>
      <c r="BO13" s="4"/>
    </row>
    <row r="14" spans="1:67" x14ac:dyDescent="0.45">
      <c r="A14" t="s">
        <v>203</v>
      </c>
      <c r="B14">
        <v>13</v>
      </c>
      <c r="C14" s="2">
        <v>43556</v>
      </c>
      <c r="D14" s="1">
        <v>0.4145833333333333</v>
      </c>
      <c r="E14" s="1">
        <v>0.41597222222222219</v>
      </c>
      <c r="F14" s="4">
        <v>7.24</v>
      </c>
      <c r="G14" s="4">
        <v>15.35</v>
      </c>
      <c r="H14" s="15">
        <v>714</v>
      </c>
      <c r="I14" t="s">
        <v>18</v>
      </c>
      <c r="J14" t="s">
        <v>21</v>
      </c>
      <c r="K14">
        <v>1.79</v>
      </c>
      <c r="L14">
        <v>1.788</v>
      </c>
      <c r="M14">
        <v>1.65</v>
      </c>
      <c r="N14">
        <v>1.81</v>
      </c>
      <c r="O14">
        <v>1.87</v>
      </c>
      <c r="P14">
        <v>1.78</v>
      </c>
      <c r="Q14" t="b">
        <v>0</v>
      </c>
      <c r="R14">
        <v>3</v>
      </c>
      <c r="S14" t="b">
        <v>0</v>
      </c>
      <c r="T14" t="b">
        <v>0</v>
      </c>
      <c r="U14" t="b">
        <v>0</v>
      </c>
      <c r="W14" t="b">
        <v>0</v>
      </c>
      <c r="Z14" t="b">
        <v>0</v>
      </c>
      <c r="AA14">
        <v>1.81</v>
      </c>
      <c r="AB14" t="s">
        <v>25</v>
      </c>
      <c r="AC14" t="s">
        <v>28</v>
      </c>
      <c r="AD14" t="s">
        <v>33</v>
      </c>
      <c r="AE14">
        <v>79</v>
      </c>
      <c r="AG14">
        <v>1</v>
      </c>
      <c r="AH14" t="s">
        <v>319</v>
      </c>
      <c r="AI14">
        <v>1.7</v>
      </c>
      <c r="AJ14" t="s">
        <v>135</v>
      </c>
      <c r="AK14" t="s">
        <v>167</v>
      </c>
      <c r="AL14">
        <v>7.42</v>
      </c>
      <c r="AM14">
        <v>0.34</v>
      </c>
      <c r="AO14" s="22" t="s">
        <v>204</v>
      </c>
      <c r="AP14" s="21">
        <f>IF(TABLE1[[#This Row],[Buy/Sell]]="BUY",(TABLE1[[#This Row],[Highest Price]]-TABLE1[[#This Row],[Entry Price]])/(TABLE1[[#This Row],[Intended Entry]]-TABLE1[[#This Row],[SL Price]]),(TABLE1[[#This Row],[Entry Price]]-TABLE1[[#This Row],[Lowest Price]])/(TABLE1[[#This Row],[SL Price]]-TABLE1[[#This Row],[Intended Entry]]))</f>
        <v>0.58571428571428574</v>
      </c>
      <c r="AQ14" s="52">
        <f>IF(TABLE1[[#This Row],[Buy/Sell]]="BUY",(TABLE1[[#This Row],[Entry Price]]-TABLE1[[#This Row],[Lowest Price]])/(TABLE1[[#This Row],[SL Price]]-TABLE1[[#This Row],[Intended Entry]]),(TABLE1[[#This Row],[Entry Price]]-TABLE1[[#This Row],[Highest Price]])/(TABLE1[[#This Row],[SL Price]]-TABLE1[[#This Row],[Intended Entry]]))</f>
        <v>-5.7142857142857141E-2</v>
      </c>
      <c r="AR14" s="4" t="str">
        <f>IF(AND(TABLE1[[#This Row],[RRR Realized]]&lt;0.5,TABLE1[[#This Row],[RRR Realized]]&gt;-0.6),"BE",IF(TABLE1[[#This Row],[Gain/Loss]]&lt;0, "LOSER", "WINNER"))</f>
        <v>BE</v>
      </c>
      <c r="AS14" s="4">
        <f>TABLE1[[#This Row],[Gain/Loss]]-TABLE1[[#This Row],[Comissions]]</f>
        <v>8.11</v>
      </c>
      <c r="AT14" s="3">
        <f>TABLE1[[#This Row],[Exit Time]]-TABLE1[[#This Row],[Entry Time]]</f>
        <v>1.388888888888884E-3</v>
      </c>
      <c r="AU14" s="4">
        <f>TABLE1[[#This Row],[Net Gain/Loss]]+AU13</f>
        <v>661.30000000000007</v>
      </c>
      <c r="AV14" s="4" t="str">
        <f>IF(TABLE1[[#This Row],[Potential Price Before BE]]=FALSE,"FALSE",( TABLE1[[#This Row],[Potential Price Before BE]]-TABLE1[[#This Row],[Intended Entry]])/(TABLE1[[#This Row],[Intended Entry]]-TABLE1[[#This Row],[SL Price]]))</f>
        <v>FALSE</v>
      </c>
      <c r="AW14" s="4">
        <f>(IF(TABLE1[[#This Row],[Buy/Sell]]="BUY",(TABLE1[[#This Row],[Entry Price]]-TABLE1[[#This Row],[SL Price]])/(TABLE1[[#This Row],[Intended Entry]]-TABLE1[[#This Row],[SL Price]]),(TABLE1[[#This Row],[SL Price]]-TABLE1[[#This Row],[Entry Price]])/(TABLE1[[#This Row],[SL Price]]-TABLE1[[#This Row],[Intended Entry]])))-1</f>
        <v>-1.4285714285714235E-2</v>
      </c>
      <c r="AX14" s="19">
        <f>TABLE1[[#This Row],[Missed RRR on Entry]]</f>
        <v>-1.4285714285714235E-2</v>
      </c>
      <c r="AY14" s="19">
        <f>ROUND((TABLE1[[#This Row],[Potential Price]]-TABLE1[[#This Row],[Entry Price]])/(TABLE1[[#This Row],[Intended Entry]]-TABLE1[[#This Row],[SL Price]]),4)</f>
        <v>8.6570999999999998</v>
      </c>
      <c r="AZ14" s="19">
        <f>ROUND((TABLE1[[#This Row],[Potential Price]]-TABLE1[[#This Row],[Intended Entry]])/(TABLE1[[#This Row],[Intended Entry]]-TABLE1[[#This Row],[SL Price]]),4)</f>
        <v>8.6428999999999991</v>
      </c>
      <c r="BA14" s="19">
        <f>TABLE1[[#This Row],[RRR Potential]]-TABLE1[[#This Row],[RRR Realized]]</f>
        <v>8.5</v>
      </c>
      <c r="BB14" s="25">
        <f>ROUND((TABLE1[[#This Row],[Exit Price]]-TABLE1[[#This Row],[Entry Price]])/(TABLE1[[#This Row],[Intended Entry]]-TABLE1[[#This Row],[SL Price]]),4)</f>
        <v>0.15709999999999999</v>
      </c>
      <c r="BC14" s="4">
        <f>IF(AND((TABLE1[[#This Row],[Back to BE]])=TRUE,(TABLE1[[#This Row],[Price Behaviour]])="Fast Reversal"), 0-(TABLE1[[#This Row],[Missed RRR on Entry]]),ROUND((TABLE1[[#This Row],[Exit Price]]-TABLE1[[#This Row],[Entry Price]])/(TABLE1[[#This Row],[Intended Entry]]-TABLE1[[#This Row],[SL Price]]),4))</f>
        <v>0.15709999999999999</v>
      </c>
      <c r="BD14" s="4">
        <f>IF(AND((TABLE1[[#This Row],[Hard RRR Potential]])&gt;=1,(TABLE1[[#This Row],[Back to BE]])="True",(TABLE1[[#This Row],[Price Behaviour]])="Fast Reversal"), 1-(TABLE1[[#This Row],[Missed RRR on Entry]]),ROUND((TABLE1[[#This Row],[Exit Price]]-TABLE1[[#This Row],[Entry Price]])/(TABLE1[[#This Row],[Intended Entry]]-TABLE1[[#This Row],[SL Price]]),4))</f>
        <v>0.15709999999999999</v>
      </c>
      <c r="BE14" s="4">
        <f>IF(AND((TABLE1[[#This Row],[Hard RRR Potential]])&gt;=1.5,(TABLE1[[#This Row],[Back to BE]])="True",(TABLE1[[#This Row],[Price Behaviour]])="Fast Reversal"), 1.5-(TABLE1[[#This Row],[Missed RRR on Entry]]),ROUND((TABLE1[[#This Row],[Exit Price]]-TABLE1[[#This Row],[Entry Price]])/(TABLE1[[#This Row],[Intended Entry]]-TABLE1[[#This Row],[SL Price]]),4))</f>
        <v>0.15709999999999999</v>
      </c>
      <c r="BF14" s="4">
        <f>IF(AND((TABLE1[[#This Row],[Hard RRR Potential]])&gt;=2,(TABLE1[[#This Row],[Back to BE]])="True",(TABLE1[[#This Row],[Price Behaviour]])="Fast Reversal"), 2-(TABLE1[[#This Row],[Missed RRR on Entry]]),ROUND((TABLE1[[#This Row],[Exit Price]]-TABLE1[[#This Row],[Entry Price]])/(TABLE1[[#This Row],[Intended Entry]]-TABLE1[[#This Row],[SL Price]]),4))</f>
        <v>0.15709999999999999</v>
      </c>
      <c r="BG14" s="48">
        <f>IF((TABLE1[[#This Row],[Pattern SL]])&lt;&gt;FALSE,((TABLE1[[#This Row],[Pattern SL]])-(TABLE1[[#This Row],[Entry Price]]))/((TABLE1[[#This Row],[Intended Entry]])-(TABLE1[[#This Row],[SL Price]])),ROUND((TABLE1[[#This Row],[Exit Price]]-TABLE1[[#This Row],[Entry Price]])/(TABLE1[[#This Row],[Intended Entry]]-TABLE1[[#This Row],[SL Price]]),4))</f>
        <v>0.15709999999999999</v>
      </c>
      <c r="BH1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0.15709999999999999</v>
      </c>
      <c r="BI1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0.15714285714285714</v>
      </c>
      <c r="BJ14" s="21">
        <f>IF( TABLE1[[#This Row],[Wick Exit]]&lt;&gt; FALSE,TABLE1[[#This Row],[RRR Wick Exit]],IF(TABLE1[[#This Row],[Volume Exit]]&lt;&gt; FALSE,TABLE1[[#This Row],[RRR Volume Exit]],TABLE1[[#This Row],[RRR Realized]]))</f>
        <v>0.15714285714285714</v>
      </c>
      <c r="BK1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0.15709999999999999</v>
      </c>
      <c r="BL14" s="4">
        <f>IF(OR(AND(TABLE1[[#This Row],[Hard RRR Potential]]&gt;=2.5,TABLE1[[#This Row],[Volume Exit]]=FALSE,TABLE1[[#This Row],[Wick Exit]]=FALSE),AND(TABLE1[[#This Row],[Hard RRR Potential]]&gt;=2.5,TABLE1[[#This Row],[Volume Exit RRR Reach]]&gt;=2.5,TABLE1[[#This Row],[Wick Exit]]=FALSE)), 2.5-TABLE1[[#This Row],[Missed RRR on Entry]],TABLE1[[#This Row],[RRR Realized]])</f>
        <v>0.15709999999999999</v>
      </c>
      <c r="BM14" s="4">
        <f>IF(OR(AND(TABLE1[[#This Row],[Hard RRR Potential]]&gt;=3,TABLE1[[#This Row],[Volume Exit]]=FALSE,TABLE1[[#This Row],[Wick Exit]]=FALSE),AND(TABLE1[[#This Row],[Hard RRR Potential]]&gt;=3,TABLE1[[#This Row],[Volume Exit RRR Reach]]&gt;=3,TABLE1[[#This Row],[Wick Exit]]=FALSE)), 3-TABLE1[[#This Row],[Missed RRR on Entry]],TABLE1[[#This Row],[RRR Realized]])</f>
        <v>0.15709999999999999</v>
      </c>
      <c r="BN14" s="4"/>
      <c r="BO14" s="4"/>
    </row>
    <row r="15" spans="1:67" x14ac:dyDescent="0.45">
      <c r="A15" t="s">
        <v>205</v>
      </c>
      <c r="B15">
        <v>14</v>
      </c>
      <c r="C15" s="2">
        <v>43557</v>
      </c>
      <c r="D15" s="1">
        <v>0.42638888888888887</v>
      </c>
      <c r="E15" s="1">
        <v>0.4291666666666667</v>
      </c>
      <c r="F15" s="4">
        <v>3.74</v>
      </c>
      <c r="G15" s="4">
        <v>35.11</v>
      </c>
      <c r="H15" s="15">
        <v>333</v>
      </c>
      <c r="I15" t="s">
        <v>18</v>
      </c>
      <c r="J15" t="s">
        <v>21</v>
      </c>
      <c r="K15">
        <v>7.11</v>
      </c>
      <c r="L15">
        <v>7.1180000000000003</v>
      </c>
      <c r="M15">
        <f>7.11-0.3</f>
        <v>6.8100000000000005</v>
      </c>
      <c r="N15">
        <v>7.22</v>
      </c>
      <c r="O15">
        <v>7.73</v>
      </c>
      <c r="P15">
        <v>6.85</v>
      </c>
      <c r="Q15">
        <v>7.73</v>
      </c>
      <c r="R15">
        <v>7.73</v>
      </c>
      <c r="S15" t="b">
        <v>0</v>
      </c>
      <c r="T15" t="b">
        <v>0</v>
      </c>
      <c r="U15" t="b">
        <v>0</v>
      </c>
      <c r="W15">
        <v>7.47</v>
      </c>
      <c r="X15">
        <v>1.6</v>
      </c>
      <c r="Y15" t="b">
        <v>0</v>
      </c>
      <c r="Z15" t="b">
        <v>0</v>
      </c>
      <c r="AA15" t="b">
        <v>0</v>
      </c>
      <c r="AB15" t="s">
        <v>25</v>
      </c>
      <c r="AC15" t="s">
        <v>28</v>
      </c>
      <c r="AD15" t="s">
        <v>38</v>
      </c>
      <c r="AE15">
        <v>9.3000000000000007</v>
      </c>
      <c r="AG15">
        <v>2</v>
      </c>
      <c r="AH15" t="s">
        <v>319</v>
      </c>
      <c r="AI15">
        <v>6.7</v>
      </c>
      <c r="AJ15" t="s">
        <v>137</v>
      </c>
      <c r="AK15" t="s">
        <v>187</v>
      </c>
      <c r="AL15">
        <v>0.81</v>
      </c>
      <c r="AM15">
        <v>-0.1</v>
      </c>
      <c r="AO15" s="22" t="s">
        <v>206</v>
      </c>
      <c r="AP15" s="21">
        <f>IF(TABLE1[[#This Row],[Buy/Sell]]="BUY",(TABLE1[[#This Row],[Highest Price]]-TABLE1[[#This Row],[Entry Price]])/(TABLE1[[#This Row],[Intended Entry]]-TABLE1[[#This Row],[SL Price]]),(TABLE1[[#This Row],[Entry Price]]-TABLE1[[#This Row],[Lowest Price]])/(TABLE1[[#This Row],[SL Price]]-TABLE1[[#This Row],[Intended Entry]]))</f>
        <v>2.0400000000000014</v>
      </c>
      <c r="AQ15" s="52">
        <f>IF(TABLE1[[#This Row],[Buy/Sell]]="BUY",(TABLE1[[#This Row],[Entry Price]]-TABLE1[[#This Row],[Lowest Price]])/(TABLE1[[#This Row],[SL Price]]-TABLE1[[#This Row],[Intended Entry]]),(TABLE1[[#This Row],[Entry Price]]-TABLE1[[#This Row],[Highest Price]])/(TABLE1[[#This Row],[SL Price]]-TABLE1[[#This Row],[Intended Entry]]))</f>
        <v>-0.89333333333333609</v>
      </c>
      <c r="AR15" s="4" t="str">
        <f>IF(AND(TABLE1[[#This Row],[RRR Realized]]&lt;0.5,TABLE1[[#This Row],[RRR Realized]]&gt;-0.6),"BE",IF(TABLE1[[#This Row],[Gain/Loss]]&lt;0, "LOSER", "WINNER"))</f>
        <v>BE</v>
      </c>
      <c r="AS15" s="4">
        <f>TABLE1[[#This Row],[Gain/Loss]]-TABLE1[[#This Row],[Comissions]]</f>
        <v>31.369999999999997</v>
      </c>
      <c r="AT15" s="3">
        <f>TABLE1[[#This Row],[Exit Time]]-TABLE1[[#This Row],[Entry Time]]</f>
        <v>2.7777777777778234E-3</v>
      </c>
      <c r="AU15" s="4">
        <f>TABLE1[[#This Row],[Net Gain/Loss]]+AU14</f>
        <v>692.67000000000007</v>
      </c>
      <c r="AV15" s="4">
        <f>IF(TABLE1[[#This Row],[Potential Price Before BE]]=FALSE,"FALSE",( TABLE1[[#This Row],[Potential Price Before BE]]-TABLE1[[#This Row],[Intended Entry]])/(TABLE1[[#This Row],[Intended Entry]]-TABLE1[[#This Row],[SL Price]]))</f>
        <v>2.0666666666666682</v>
      </c>
      <c r="AW15" s="4">
        <f>(IF(TABLE1[[#This Row],[Buy/Sell]]="BUY",(TABLE1[[#This Row],[Entry Price]]-TABLE1[[#This Row],[SL Price]])/(TABLE1[[#This Row],[Intended Entry]]-TABLE1[[#This Row],[SL Price]]),(TABLE1[[#This Row],[SL Price]]-TABLE1[[#This Row],[Entry Price]])/(TABLE1[[#This Row],[SL Price]]-TABLE1[[#This Row],[Intended Entry]])))-1</f>
        <v>2.6666666666666616E-2</v>
      </c>
      <c r="AX15" s="19">
        <f>TABLE1[[#This Row],[Missed RRR on Entry]]</f>
        <v>2.6666666666666616E-2</v>
      </c>
      <c r="AY15" s="19">
        <f>ROUND((TABLE1[[#This Row],[Potential Price]]-TABLE1[[#This Row],[Entry Price]])/(TABLE1[[#This Row],[Intended Entry]]-TABLE1[[#This Row],[SL Price]]),4)</f>
        <v>2.04</v>
      </c>
      <c r="AZ15" s="19">
        <f>ROUND((TABLE1[[#This Row],[Potential Price]]-TABLE1[[#This Row],[Intended Entry]])/(TABLE1[[#This Row],[Intended Entry]]-TABLE1[[#This Row],[SL Price]]),4)</f>
        <v>2.0667</v>
      </c>
      <c r="BA15" s="19">
        <f>TABLE1[[#This Row],[RRR Potential]]-TABLE1[[#This Row],[RRR Realized]]</f>
        <v>1.7</v>
      </c>
      <c r="BB15" s="25">
        <f>ROUND((TABLE1[[#This Row],[Exit Price]]-TABLE1[[#This Row],[Entry Price]])/(TABLE1[[#This Row],[Intended Entry]]-TABLE1[[#This Row],[SL Price]]),4)</f>
        <v>0.34</v>
      </c>
      <c r="BC15" s="4">
        <f>IF(AND((TABLE1[[#This Row],[Back to BE]])=TRUE,(TABLE1[[#This Row],[Price Behaviour]])="Fast Reversal"), 0-(TABLE1[[#This Row],[Missed RRR on Entry]]),ROUND((TABLE1[[#This Row],[Exit Price]]-TABLE1[[#This Row],[Entry Price]])/(TABLE1[[#This Row],[Intended Entry]]-TABLE1[[#This Row],[SL Price]]),4))</f>
        <v>0.34</v>
      </c>
      <c r="BD15" s="4">
        <f>IF(AND((TABLE1[[#This Row],[Hard RRR Potential]])&gt;=1,(TABLE1[[#This Row],[Back to BE]])="True",(TABLE1[[#This Row],[Price Behaviour]])="Fast Reversal"), 1-(TABLE1[[#This Row],[Missed RRR on Entry]]),ROUND((TABLE1[[#This Row],[Exit Price]]-TABLE1[[#This Row],[Entry Price]])/(TABLE1[[#This Row],[Intended Entry]]-TABLE1[[#This Row],[SL Price]]),4))</f>
        <v>0.34</v>
      </c>
      <c r="BE15" s="4">
        <f>IF(AND((TABLE1[[#This Row],[Hard RRR Potential]])&gt;=1.5,(TABLE1[[#This Row],[Back to BE]])="True",(TABLE1[[#This Row],[Price Behaviour]])="Fast Reversal"), 1.5-(TABLE1[[#This Row],[Missed RRR on Entry]]),ROUND((TABLE1[[#This Row],[Exit Price]]-TABLE1[[#This Row],[Entry Price]])/(TABLE1[[#This Row],[Intended Entry]]-TABLE1[[#This Row],[SL Price]]),4))</f>
        <v>0.34</v>
      </c>
      <c r="BF15" s="4">
        <f>IF(AND((TABLE1[[#This Row],[Hard RRR Potential]])&gt;=2,(TABLE1[[#This Row],[Back to BE]])="True",(TABLE1[[#This Row],[Price Behaviour]])="Fast Reversal"), 2-(TABLE1[[#This Row],[Missed RRR on Entry]]),ROUND((TABLE1[[#This Row],[Exit Price]]-TABLE1[[#This Row],[Entry Price]])/(TABLE1[[#This Row],[Intended Entry]]-TABLE1[[#This Row],[SL Price]]),4))</f>
        <v>0.34</v>
      </c>
      <c r="BG15" s="48">
        <f>IF((TABLE1[[#This Row],[Pattern SL]])&lt;&gt;FALSE,((TABLE1[[#This Row],[Pattern SL]])-(TABLE1[[#This Row],[Entry Price]]))/((TABLE1[[#This Row],[Intended Entry]])-(TABLE1[[#This Row],[SL Price]])),ROUND((TABLE1[[#This Row],[Exit Price]]-TABLE1[[#This Row],[Entry Price]])/(TABLE1[[#This Row],[Intended Entry]]-TABLE1[[#This Row],[SL Price]]),4))</f>
        <v>0.34</v>
      </c>
      <c r="BH1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1.173333333333332</v>
      </c>
      <c r="BI1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0.34</v>
      </c>
      <c r="BJ15" s="21">
        <f>IF( TABLE1[[#This Row],[Wick Exit]]&lt;&gt; FALSE,TABLE1[[#This Row],[RRR Wick Exit]],IF(TABLE1[[#This Row],[Volume Exit]]&lt;&gt; FALSE,TABLE1[[#This Row],[RRR Volume Exit]],TABLE1[[#This Row],[RRR Realized]]))</f>
        <v>1.173333333333332</v>
      </c>
      <c r="BK1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0.34</v>
      </c>
      <c r="BL15" s="4">
        <f>IF(OR(AND(TABLE1[[#This Row],[Hard RRR Potential]]&gt;=2.5,TABLE1[[#This Row],[Volume Exit]]=FALSE,TABLE1[[#This Row],[Wick Exit]]=FALSE),AND(TABLE1[[#This Row],[Hard RRR Potential]]&gt;=2.5,TABLE1[[#This Row],[Volume Exit RRR Reach]]&gt;=2.5,TABLE1[[#This Row],[Wick Exit]]=FALSE)), 2.5-TABLE1[[#This Row],[Missed RRR on Entry]],TABLE1[[#This Row],[RRR Realized]])</f>
        <v>0.34</v>
      </c>
      <c r="BM15" s="4">
        <f>IF(OR(AND(TABLE1[[#This Row],[Hard RRR Potential]]&gt;=3,TABLE1[[#This Row],[Volume Exit]]=FALSE,TABLE1[[#This Row],[Wick Exit]]=FALSE),AND(TABLE1[[#This Row],[Hard RRR Potential]]&gt;=3,TABLE1[[#This Row],[Volume Exit RRR Reach]]&gt;=3,TABLE1[[#This Row],[Wick Exit]]=FALSE)), 3-TABLE1[[#This Row],[Missed RRR on Entry]],TABLE1[[#This Row],[RRR Realized]])</f>
        <v>0.34</v>
      </c>
      <c r="BN15" s="4"/>
      <c r="BO15" s="4"/>
    </row>
    <row r="16" spans="1:67" x14ac:dyDescent="0.45">
      <c r="A16" t="s">
        <v>203</v>
      </c>
      <c r="B16">
        <v>15</v>
      </c>
      <c r="C16" s="2">
        <v>43557</v>
      </c>
      <c r="D16" s="1">
        <v>0.43541666666666662</v>
      </c>
      <c r="E16" s="1">
        <v>0.45069444444444445</v>
      </c>
      <c r="F16" s="4">
        <v>12.68</v>
      </c>
      <c r="G16" s="4">
        <v>-97.69</v>
      </c>
      <c r="H16" s="15">
        <v>1250</v>
      </c>
      <c r="I16" t="s">
        <v>18</v>
      </c>
      <c r="J16" t="s">
        <v>21</v>
      </c>
      <c r="K16">
        <v>2.2400000000000002</v>
      </c>
      <c r="L16">
        <v>2.2400000000000002</v>
      </c>
      <c r="M16">
        <v>2.16</v>
      </c>
      <c r="N16">
        <v>2.1619999999999999</v>
      </c>
      <c r="O16">
        <v>2.31</v>
      </c>
      <c r="P16">
        <v>2.15</v>
      </c>
      <c r="Q16">
        <v>2.31</v>
      </c>
      <c r="R16">
        <v>2.31</v>
      </c>
      <c r="S16">
        <v>2.23</v>
      </c>
      <c r="T16" t="b">
        <v>0</v>
      </c>
      <c r="U16" t="b">
        <v>0</v>
      </c>
      <c r="W16" t="b">
        <v>0</v>
      </c>
      <c r="Y16" t="b">
        <v>0</v>
      </c>
      <c r="Z16" t="b">
        <v>0</v>
      </c>
      <c r="AA16" t="b">
        <v>0</v>
      </c>
      <c r="AB16" t="s">
        <v>24</v>
      </c>
      <c r="AC16" t="s">
        <v>28</v>
      </c>
      <c r="AD16" t="s">
        <v>33</v>
      </c>
      <c r="AE16">
        <v>2.92</v>
      </c>
      <c r="AG16">
        <v>1</v>
      </c>
      <c r="AH16" t="b">
        <v>0</v>
      </c>
      <c r="AI16">
        <v>2.0299999999999998</v>
      </c>
      <c r="AJ16" t="s">
        <v>137</v>
      </c>
      <c r="AK16" t="s">
        <v>167</v>
      </c>
      <c r="AL16">
        <v>7.42</v>
      </c>
      <c r="AM16">
        <v>-0.1</v>
      </c>
      <c r="AO16" s="22" t="s">
        <v>207</v>
      </c>
      <c r="AP16" s="4">
        <f>IF(TABLE1[[#This Row],[Buy/Sell]]="BUY",(TABLE1[[#This Row],[Highest Price]]-TABLE1[[#This Row],[Entry Price]])/(TABLE1[[#This Row],[Intended Entry]]-TABLE1[[#This Row],[SL Price]]),(TABLE1[[#This Row],[Entry Price]]-TABLE1[[#This Row],[Lowest Price]])/(TABLE1[[#This Row],[SL Price]]-TABLE1[[#This Row],[Intended Entry]]))</f>
        <v>0.87499999999999722</v>
      </c>
      <c r="AQ16" s="19">
        <f>IF(TABLE1[[#This Row],[Buy/Sell]]="BUY",(TABLE1[[#This Row],[Entry Price]]-TABLE1[[#This Row],[Lowest Price]])/(TABLE1[[#This Row],[SL Price]]-TABLE1[[#This Row],[Intended Entry]]),(TABLE1[[#This Row],[Entry Price]]-TABLE1[[#This Row],[Highest Price]])/(TABLE1[[#This Row],[SL Price]]-TABLE1[[#This Row],[Intended Entry]]))</f>
        <v>-1.1250000000000027</v>
      </c>
      <c r="AR16" s="4" t="str">
        <f>IF(AND(TABLE1[[#This Row],[RRR Realized]]&lt;0.5,TABLE1[[#This Row],[RRR Realized]]&gt;-0.6),"BE",IF(TABLE1[[#This Row],[Gain/Loss]]&lt;0, "LOSER", "WINNER"))</f>
        <v>LOSER</v>
      </c>
      <c r="AS16" s="4">
        <f>TABLE1[[#This Row],[Gain/Loss]]-TABLE1[[#This Row],[Comissions]]</f>
        <v>-110.37</v>
      </c>
      <c r="AT16" s="3">
        <f>TABLE1[[#This Row],[Exit Time]]-TABLE1[[#This Row],[Entry Time]]</f>
        <v>1.5277777777777835E-2</v>
      </c>
      <c r="AU16" s="4">
        <f>TABLE1[[#This Row],[Net Gain/Loss]]+AU15</f>
        <v>582.30000000000007</v>
      </c>
      <c r="AV16" s="4">
        <f>IF(TABLE1[[#This Row],[Potential Price Before BE]]=FALSE,"FALSE",( TABLE1[[#This Row],[Potential Price Before BE]]-TABLE1[[#This Row],[Intended Entry]])/(TABLE1[[#This Row],[Intended Entry]]-TABLE1[[#This Row],[SL Price]]))</f>
        <v>0.87499999999999722</v>
      </c>
      <c r="AW16" s="4">
        <f>(IF(TABLE1[[#This Row],[Buy/Sell]]="BUY",(TABLE1[[#This Row],[Entry Price]]-TABLE1[[#This Row],[SL Price]])/(TABLE1[[#This Row],[Intended Entry]]-TABLE1[[#This Row],[SL Price]]),(TABLE1[[#This Row],[SL Price]]-TABLE1[[#This Row],[Entry Price]])/(TABLE1[[#This Row],[SL Price]]-TABLE1[[#This Row],[Intended Entry]])))-1</f>
        <v>0</v>
      </c>
      <c r="AX16" s="19">
        <f>TABLE1[[#This Row],[Missed RRR on Entry]]</f>
        <v>0</v>
      </c>
      <c r="AY16" s="19">
        <f>ROUND((TABLE1[[#This Row],[Potential Price]]-TABLE1[[#This Row],[Entry Price]])/(TABLE1[[#This Row],[Intended Entry]]-TABLE1[[#This Row],[SL Price]]),4)</f>
        <v>0.875</v>
      </c>
      <c r="AZ16" s="19">
        <f>ROUND((TABLE1[[#This Row],[Potential Price]]-TABLE1[[#This Row],[Intended Entry]])/(TABLE1[[#This Row],[Intended Entry]]-TABLE1[[#This Row],[SL Price]]),4)</f>
        <v>0.875</v>
      </c>
      <c r="BA16" s="19">
        <f>TABLE1[[#This Row],[RRR Potential]]-TABLE1[[#This Row],[RRR Realized]]</f>
        <v>1.85</v>
      </c>
      <c r="BB16" s="25">
        <f>ROUND((TABLE1[[#This Row],[Exit Price]]-TABLE1[[#This Row],[Entry Price]])/(TABLE1[[#This Row],[Intended Entry]]-TABLE1[[#This Row],[SL Price]]),4)</f>
        <v>-0.97499999999999998</v>
      </c>
      <c r="BC16" s="4">
        <f>IF(AND((TABLE1[[#This Row],[Back to BE]])=TRUE,(TABLE1[[#This Row],[Price Behaviour]])="Fast Reversal"), 0-(TABLE1[[#This Row],[Missed RRR on Entry]]),ROUND((TABLE1[[#This Row],[Exit Price]]-TABLE1[[#This Row],[Entry Price]])/(TABLE1[[#This Row],[Intended Entry]]-TABLE1[[#This Row],[SL Price]]),4))</f>
        <v>-0.97499999999999998</v>
      </c>
      <c r="BD16" s="4">
        <f>IF(AND((TABLE1[[#This Row],[Hard RRR Potential]])&gt;=1,(TABLE1[[#This Row],[Back to BE]])="True",(TABLE1[[#This Row],[Price Behaviour]])="Fast Reversal"), 1-(TABLE1[[#This Row],[Missed RRR on Entry]]),ROUND((TABLE1[[#This Row],[Exit Price]]-TABLE1[[#This Row],[Entry Price]])/(TABLE1[[#This Row],[Intended Entry]]-TABLE1[[#This Row],[SL Price]]),4))</f>
        <v>-0.97499999999999998</v>
      </c>
      <c r="BE16" s="4">
        <f>IF(AND((TABLE1[[#This Row],[Hard RRR Potential]])&gt;=1.5,(TABLE1[[#This Row],[Back to BE]])="True",(TABLE1[[#This Row],[Price Behaviour]])="Fast Reversal"), 1.5-(TABLE1[[#This Row],[Missed RRR on Entry]]),ROUND((TABLE1[[#This Row],[Exit Price]]-TABLE1[[#This Row],[Entry Price]])/(TABLE1[[#This Row],[Intended Entry]]-TABLE1[[#This Row],[SL Price]]),4))</f>
        <v>-0.97499999999999998</v>
      </c>
      <c r="BF16" s="4">
        <f>IF(AND((TABLE1[[#This Row],[Hard RRR Potential]])&gt;=2,(TABLE1[[#This Row],[Back to BE]])="True",(TABLE1[[#This Row],[Price Behaviour]])="Fast Reversal"), 2-(TABLE1[[#This Row],[Missed RRR on Entry]]),ROUND((TABLE1[[#This Row],[Exit Price]]-TABLE1[[#This Row],[Entry Price]])/(TABLE1[[#This Row],[Intended Entry]]-TABLE1[[#This Row],[SL Price]]),4))</f>
        <v>-0.97499999999999998</v>
      </c>
      <c r="BG16" s="48">
        <f>IF((TABLE1[[#This Row],[Pattern SL]])&lt;&gt;FALSE,((TABLE1[[#This Row],[Pattern SL]])-(TABLE1[[#This Row],[Entry Price]]))/((TABLE1[[#This Row],[Intended Entry]])-(TABLE1[[#This Row],[SL Price]])),ROUND((TABLE1[[#This Row],[Exit Price]]-TABLE1[[#This Row],[Entry Price]])/(TABLE1[[#This Row],[Intended Entry]]-TABLE1[[#This Row],[SL Price]]),4))</f>
        <v>-0.12500000000000278</v>
      </c>
      <c r="BH1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-0.97499999999999998</v>
      </c>
      <c r="BI1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-0.97499999999999998</v>
      </c>
      <c r="BJ16" s="21">
        <f>IF( TABLE1[[#This Row],[Wick Exit]]&lt;&gt; FALSE,TABLE1[[#This Row],[RRR Wick Exit]],IF(TABLE1[[#This Row],[Volume Exit]]&lt;&gt; FALSE,TABLE1[[#This Row],[RRR Volume Exit]],TABLE1[[#This Row],[RRR Realized]]))</f>
        <v>-0.97499999999999998</v>
      </c>
      <c r="BK16"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-0.97499999999999998</v>
      </c>
      <c r="BL16" s="4">
        <f>IF(OR(AND(TABLE1[[#This Row],[Hard RRR Potential]]&gt;=2.5,TABLE1[[#This Row],[Volume Exit]]=FALSE,TABLE1[[#This Row],[Wick Exit]]=FALSE),AND(TABLE1[[#This Row],[Hard RRR Potential]]&gt;=2.5,TABLE1[[#This Row],[Volume Exit RRR Reach]]&gt;=2.5,TABLE1[[#This Row],[Wick Exit]]=FALSE)), 2.5-TABLE1[[#This Row],[Missed RRR on Entry]],TABLE1[[#This Row],[RRR Realized]])</f>
        <v>-0.97499999999999998</v>
      </c>
      <c r="BM16" s="4">
        <f>IF(OR(AND(TABLE1[[#This Row],[Hard RRR Potential]]&gt;=3,TABLE1[[#This Row],[Volume Exit]]=FALSE,TABLE1[[#This Row],[Wick Exit]]=FALSE),AND(TABLE1[[#This Row],[Hard RRR Potential]]&gt;=3,TABLE1[[#This Row],[Volume Exit RRR Reach]]&gt;=3,TABLE1[[#This Row],[Wick Exit]]=FALSE)), 3-TABLE1[[#This Row],[Missed RRR on Entry]],TABLE1[[#This Row],[RRR Realized]])</f>
        <v>-0.97499999999999998</v>
      </c>
      <c r="BN16" s="4"/>
      <c r="BO16" s="4"/>
    </row>
    <row r="17" spans="1:67" x14ac:dyDescent="0.45">
      <c r="A17" t="s">
        <v>208</v>
      </c>
      <c r="B17">
        <v>16</v>
      </c>
      <c r="C17" s="2">
        <v>43558</v>
      </c>
      <c r="D17" s="1">
        <v>0.44861111111111113</v>
      </c>
      <c r="E17" s="1">
        <v>0.45416666666666666</v>
      </c>
      <c r="F17" s="4">
        <v>2.02</v>
      </c>
      <c r="G17" s="4">
        <v>-101</v>
      </c>
      <c r="H17" s="15">
        <v>75</v>
      </c>
      <c r="I17" t="s">
        <v>18</v>
      </c>
      <c r="J17" t="s">
        <v>21</v>
      </c>
      <c r="K17">
        <v>15.18</v>
      </c>
      <c r="L17">
        <v>15.18</v>
      </c>
      <c r="M17">
        <v>13.87</v>
      </c>
      <c r="N17">
        <v>13.83</v>
      </c>
      <c r="O17">
        <v>15.18</v>
      </c>
      <c r="P17">
        <v>13.83</v>
      </c>
      <c r="Q17">
        <v>15.18</v>
      </c>
      <c r="R17">
        <v>15.18</v>
      </c>
      <c r="S17" t="b">
        <v>0</v>
      </c>
      <c r="T17">
        <v>13.87</v>
      </c>
      <c r="U17" t="b">
        <v>0</v>
      </c>
      <c r="V17" t="b">
        <v>0</v>
      </c>
      <c r="W17" t="b">
        <v>0</v>
      </c>
      <c r="Z17" t="b">
        <v>0</v>
      </c>
      <c r="AA17" t="b">
        <v>0</v>
      </c>
      <c r="AB17" t="s">
        <v>24</v>
      </c>
      <c r="AC17" t="s">
        <v>31</v>
      </c>
      <c r="AD17" t="s">
        <v>196</v>
      </c>
      <c r="AE17">
        <v>326</v>
      </c>
      <c r="AF17">
        <v>24</v>
      </c>
      <c r="AG17">
        <v>2</v>
      </c>
      <c r="AH17" t="b">
        <v>0</v>
      </c>
      <c r="AI17">
        <v>12</v>
      </c>
      <c r="AJ17" t="s">
        <v>135</v>
      </c>
      <c r="AK17" t="s">
        <v>167</v>
      </c>
      <c r="AL17">
        <v>0.94</v>
      </c>
      <c r="AM17">
        <v>0.14000000000000001</v>
      </c>
      <c r="AN17">
        <v>39.979999999999997</v>
      </c>
      <c r="AO17" s="22" t="s">
        <v>210</v>
      </c>
      <c r="AP17" s="4">
        <f>IF(TABLE1[[#This Row],[Buy/Sell]]="BUY",(TABLE1[[#This Row],[Highest Price]]-TABLE1[[#This Row],[Entry Price]])/(TABLE1[[#This Row],[Intended Entry]]-TABLE1[[#This Row],[SL Price]]),(TABLE1[[#This Row],[Entry Price]]-TABLE1[[#This Row],[Lowest Price]])/(TABLE1[[#This Row],[SL Price]]-TABLE1[[#This Row],[Intended Entry]]))</f>
        <v>0</v>
      </c>
      <c r="AQ17" s="19">
        <f>IF(TABLE1[[#This Row],[Buy/Sell]]="BUY",(TABLE1[[#This Row],[Entry Price]]-TABLE1[[#This Row],[Lowest Price]])/(TABLE1[[#This Row],[SL Price]]-TABLE1[[#This Row],[Intended Entry]]),(TABLE1[[#This Row],[Entry Price]]-TABLE1[[#This Row],[Highest Price]])/(TABLE1[[#This Row],[SL Price]]-TABLE1[[#This Row],[Intended Entry]]))</f>
        <v>-1.0305343511450376</v>
      </c>
      <c r="AR17" s="4" t="str">
        <f>IF(AND(TABLE1[[#This Row],[RRR Realized]]&lt;0.5,TABLE1[[#This Row],[RRR Realized]]&gt;-0.6),"BE",IF(TABLE1[[#This Row],[Gain/Loss]]&lt;0, "LOSER", "WINNER"))</f>
        <v>LOSER</v>
      </c>
      <c r="AS17" s="4">
        <f>TABLE1[[#This Row],[Gain/Loss]]-TABLE1[[#This Row],[Comissions]]</f>
        <v>-103.02</v>
      </c>
      <c r="AT17" s="3">
        <f>TABLE1[[#This Row],[Exit Time]]-TABLE1[[#This Row],[Entry Time]]</f>
        <v>5.5555555555555358E-3</v>
      </c>
      <c r="AU17" s="4">
        <f>TABLE1[[#This Row],[Net Gain/Loss]]+AU16</f>
        <v>479.28000000000009</v>
      </c>
      <c r="AV17" s="4">
        <f>IF(TABLE1[[#This Row],[Potential Price Before BE]]=FALSE,"FALSE",( TABLE1[[#This Row],[Potential Price Before BE]]-TABLE1[[#This Row],[Intended Entry]])/(TABLE1[[#This Row],[Intended Entry]]-TABLE1[[#This Row],[SL Price]]))</f>
        <v>0</v>
      </c>
      <c r="AW17" s="4">
        <f>(IF(TABLE1[[#This Row],[Buy/Sell]]="BUY",(TABLE1[[#This Row],[Entry Price]]-TABLE1[[#This Row],[SL Price]])/(TABLE1[[#This Row],[Intended Entry]]-TABLE1[[#This Row],[SL Price]]),(TABLE1[[#This Row],[SL Price]]-TABLE1[[#This Row],[Entry Price]])/(TABLE1[[#This Row],[SL Price]]-TABLE1[[#This Row],[Intended Entry]])))-1</f>
        <v>0</v>
      </c>
      <c r="AX17" s="19">
        <f>TABLE1[[#This Row],[Missed RRR on Entry]]</f>
        <v>0</v>
      </c>
      <c r="AY17" s="19">
        <f>ROUND((TABLE1[[#This Row],[Potential Price]]-TABLE1[[#This Row],[Entry Price]])/(TABLE1[[#This Row],[Intended Entry]]-TABLE1[[#This Row],[SL Price]]),4)</f>
        <v>0</v>
      </c>
      <c r="AZ17" s="19">
        <f>ROUND((TABLE1[[#This Row],[Potential Price]]-TABLE1[[#This Row],[Intended Entry]])/(TABLE1[[#This Row],[Intended Entry]]-TABLE1[[#This Row],[SL Price]]),4)</f>
        <v>0</v>
      </c>
      <c r="BA17" s="19">
        <f>TABLE1[[#This Row],[RRR Potential]]-TABLE1[[#This Row],[RRR Realized]]</f>
        <v>1.0305</v>
      </c>
      <c r="BB17" s="25">
        <f>ROUND((TABLE1[[#This Row],[Exit Price]]-TABLE1[[#This Row],[Entry Price]])/(TABLE1[[#This Row],[Intended Entry]]-TABLE1[[#This Row],[SL Price]]),4)</f>
        <v>-1.0305</v>
      </c>
      <c r="BC17" s="4">
        <f>IF(AND((TABLE1[[#This Row],[Back to BE]])=TRUE,(TABLE1[[#This Row],[Price Behaviour]])="Fast Reversal"), 0-(TABLE1[[#This Row],[Missed RRR on Entry]]),ROUND((TABLE1[[#This Row],[Exit Price]]-TABLE1[[#This Row],[Entry Price]])/(TABLE1[[#This Row],[Intended Entry]]-TABLE1[[#This Row],[SL Price]]),4))</f>
        <v>-1.0305</v>
      </c>
      <c r="BD17" s="4">
        <f>IF(AND((TABLE1[[#This Row],[Hard RRR Potential]])&gt;=1,(TABLE1[[#This Row],[Back to BE]])="True",(TABLE1[[#This Row],[Price Behaviour]])="Fast Reversal"), 1-(TABLE1[[#This Row],[Missed RRR on Entry]]),ROUND((TABLE1[[#This Row],[Exit Price]]-TABLE1[[#This Row],[Entry Price]])/(TABLE1[[#This Row],[Intended Entry]]-TABLE1[[#This Row],[SL Price]]),4))</f>
        <v>-1.0305</v>
      </c>
      <c r="BE17" s="4">
        <f>IF(AND((TABLE1[[#This Row],[Hard RRR Potential]])&gt;=1.5,(TABLE1[[#This Row],[Back to BE]])="True",(TABLE1[[#This Row],[Price Behaviour]])="Fast Reversal"), 1.5-(TABLE1[[#This Row],[Missed RRR on Entry]]),ROUND((TABLE1[[#This Row],[Exit Price]]-TABLE1[[#This Row],[Entry Price]])/(TABLE1[[#This Row],[Intended Entry]]-TABLE1[[#This Row],[SL Price]]),4))</f>
        <v>-1.0305</v>
      </c>
      <c r="BF17" s="4">
        <f>IF(AND((TABLE1[[#This Row],[Hard RRR Potential]])&gt;=2,(TABLE1[[#This Row],[Back to BE]])="True",(TABLE1[[#This Row],[Price Behaviour]])="Fast Reversal"), 2-(TABLE1[[#This Row],[Missed RRR on Entry]]),ROUND((TABLE1[[#This Row],[Exit Price]]-TABLE1[[#This Row],[Entry Price]])/(TABLE1[[#This Row],[Intended Entry]]-TABLE1[[#This Row],[SL Price]]),4))</f>
        <v>-1.0305</v>
      </c>
      <c r="BG17" s="48">
        <f>IF((TABLE1[[#This Row],[Pattern SL]])&lt;&gt;FALSE,((TABLE1[[#This Row],[Pattern SL]])-(TABLE1[[#This Row],[Entry Price]]))/((TABLE1[[#This Row],[Intended Entry]])-(TABLE1[[#This Row],[SL Price]])),ROUND((TABLE1[[#This Row],[Exit Price]]-TABLE1[[#This Row],[Entry Price]])/(TABLE1[[#This Row],[Intended Entry]]-TABLE1[[#This Row],[SL Price]]),4))</f>
        <v>-1.0305</v>
      </c>
      <c r="BH1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-1.0305</v>
      </c>
      <c r="BI17"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-1.0305</v>
      </c>
      <c r="BJ17" s="21">
        <f>IF( TABLE1[[#This Row],[Wick Exit]]&lt;&gt; FALSE,TABLE1[[#This Row],[RRR Wick Exit]],IF(TABLE1[[#This Row],[Volume Exit]]&lt;&gt; FALSE,TABLE1[[#This Row],[RRR Volume Exit]],TABLE1[[#This Row],[RRR Realized]]))</f>
        <v>-1.0305</v>
      </c>
      <c r="BK17"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-1.0305</v>
      </c>
      <c r="BL17" s="4">
        <f>IF(OR(AND(TABLE1[[#This Row],[Hard RRR Potential]]&gt;=2.5,TABLE1[[#This Row],[Volume Exit]]=FALSE,TABLE1[[#This Row],[Wick Exit]]=FALSE),AND(TABLE1[[#This Row],[Hard RRR Potential]]&gt;=2.5,TABLE1[[#This Row],[Volume Exit RRR Reach]]&gt;=2.5,TABLE1[[#This Row],[Wick Exit]]=FALSE)), 2.5-TABLE1[[#This Row],[Missed RRR on Entry]],TABLE1[[#This Row],[RRR Realized]])</f>
        <v>-1.0305</v>
      </c>
      <c r="BM17" s="4">
        <f>IF(OR(AND(TABLE1[[#This Row],[Hard RRR Potential]]&gt;=3,TABLE1[[#This Row],[Volume Exit]]=FALSE,TABLE1[[#This Row],[Wick Exit]]=FALSE),AND(TABLE1[[#This Row],[Hard RRR Potential]]&gt;=3,TABLE1[[#This Row],[Volume Exit RRR Reach]]&gt;=3,TABLE1[[#This Row],[Wick Exit]]=FALSE)), 3-TABLE1[[#This Row],[Missed RRR on Entry]],TABLE1[[#This Row],[RRR Realized]])</f>
        <v>-1.0305</v>
      </c>
      <c r="BN17" s="4"/>
      <c r="BO17" s="4"/>
    </row>
    <row r="18" spans="1:67" x14ac:dyDescent="0.45">
      <c r="A18" t="s">
        <v>211</v>
      </c>
      <c r="B18">
        <v>17</v>
      </c>
      <c r="C18" s="2">
        <v>43559</v>
      </c>
      <c r="D18" s="1">
        <v>0.41250000000000003</v>
      </c>
      <c r="E18" s="1">
        <v>0.41250000000000003</v>
      </c>
      <c r="F18" s="4">
        <v>8.4611000000000001</v>
      </c>
      <c r="G18" s="4">
        <f>-97.37</f>
        <v>-97.37</v>
      </c>
      <c r="H18" s="15">
        <v>833</v>
      </c>
      <c r="I18" t="s">
        <v>18</v>
      </c>
      <c r="J18" t="s">
        <v>21</v>
      </c>
      <c r="K18">
        <v>3.07</v>
      </c>
      <c r="L18">
        <v>3.07</v>
      </c>
      <c r="M18">
        <f>3.07-0.12</f>
        <v>2.9499999999999997</v>
      </c>
      <c r="N18">
        <v>2.95</v>
      </c>
      <c r="O18">
        <v>3.14</v>
      </c>
      <c r="P18">
        <v>2.95</v>
      </c>
      <c r="Q18">
        <v>3.14</v>
      </c>
      <c r="R18">
        <v>3.14</v>
      </c>
      <c r="S18" t="b">
        <v>0</v>
      </c>
      <c r="T18" t="b">
        <v>0</v>
      </c>
      <c r="U18" t="b">
        <v>0</v>
      </c>
      <c r="V18" t="b">
        <v>0</v>
      </c>
      <c r="W18" t="b">
        <v>0</v>
      </c>
      <c r="Z18" t="b">
        <v>0</v>
      </c>
      <c r="AA18" t="b">
        <v>0</v>
      </c>
      <c r="AB18" t="s">
        <v>24</v>
      </c>
      <c r="AC18" t="s">
        <v>31</v>
      </c>
      <c r="AD18" t="s">
        <v>33</v>
      </c>
      <c r="AE18">
        <v>43</v>
      </c>
      <c r="AF18">
        <v>16</v>
      </c>
      <c r="AG18">
        <v>1</v>
      </c>
      <c r="AH18" t="b">
        <v>0</v>
      </c>
      <c r="AI18">
        <v>2.87</v>
      </c>
      <c r="AJ18" t="s">
        <v>135</v>
      </c>
      <c r="AK18" t="s">
        <v>167</v>
      </c>
      <c r="AL18">
        <v>5.98</v>
      </c>
      <c r="AM18">
        <v>-0.1</v>
      </c>
      <c r="AN18">
        <v>2.94</v>
      </c>
      <c r="AO18" s="22" t="s">
        <v>212</v>
      </c>
      <c r="AP18" s="4">
        <f>IF(TABLE1[[#This Row],[Buy/Sell]]="BUY",(TABLE1[[#This Row],[Highest Price]]-TABLE1[[#This Row],[Entry Price]])/(TABLE1[[#This Row],[Intended Entry]]-TABLE1[[#This Row],[SL Price]]),(TABLE1[[#This Row],[Entry Price]]-TABLE1[[#This Row],[Lowest Price]])/(TABLE1[[#This Row],[SL Price]]-TABLE1[[#This Row],[Intended Entry]]))</f>
        <v>0.58333333333333515</v>
      </c>
      <c r="AQ18" s="19">
        <f>IF(TABLE1[[#This Row],[Buy/Sell]]="BUY",(TABLE1[[#This Row],[Entry Price]]-TABLE1[[#This Row],[Lowest Price]])/(TABLE1[[#This Row],[SL Price]]-TABLE1[[#This Row],[Intended Entry]]),(TABLE1[[#This Row],[Entry Price]]-TABLE1[[#This Row],[Highest Price]])/(TABLE1[[#This Row],[SL Price]]-TABLE1[[#This Row],[Intended Entry]]))</f>
        <v>-0.99999999999999634</v>
      </c>
      <c r="AR18" s="4" t="str">
        <f>IF(AND(TABLE1[[#This Row],[RRR Realized]]&lt;0.5,TABLE1[[#This Row],[RRR Realized]]&gt;-0.6),"BE",IF(TABLE1[[#This Row],[Gain/Loss]]&lt;0, "LOSER", "WINNER"))</f>
        <v>LOSER</v>
      </c>
      <c r="AS18" s="4">
        <f>TABLE1[[#This Row],[Gain/Loss]]-TABLE1[[#This Row],[Comissions]]</f>
        <v>-105.83110000000001</v>
      </c>
      <c r="AT18" s="3">
        <f>TABLE1[[#This Row],[Exit Time]]-TABLE1[[#This Row],[Entry Time]]</f>
        <v>0</v>
      </c>
      <c r="AU18" s="4">
        <f>TABLE1[[#This Row],[Net Gain/Loss]]+AU17</f>
        <v>373.44890000000009</v>
      </c>
      <c r="AV18" s="4">
        <f>IF(TABLE1[[#This Row],[Potential Price Before BE]]=FALSE,"FALSE",( TABLE1[[#This Row],[Potential Price Before BE]]-TABLE1[[#This Row],[Intended Entry]])/(TABLE1[[#This Row],[Intended Entry]]-TABLE1[[#This Row],[SL Price]]))</f>
        <v>0.58333333333333515</v>
      </c>
      <c r="AW18" s="4">
        <f>(IF(TABLE1[[#This Row],[Buy/Sell]]="BUY",(TABLE1[[#This Row],[Entry Price]]-TABLE1[[#This Row],[SL Price]])/(TABLE1[[#This Row],[Intended Entry]]-TABLE1[[#This Row],[SL Price]]),(TABLE1[[#This Row],[SL Price]]-TABLE1[[#This Row],[Entry Price]])/(TABLE1[[#This Row],[SL Price]]-TABLE1[[#This Row],[Intended Entry]])))-1</f>
        <v>0</v>
      </c>
      <c r="AX18" s="19">
        <f>TABLE1[[#This Row],[Missed RRR on Entry]]</f>
        <v>0</v>
      </c>
      <c r="AY18" s="19">
        <f>ROUND((TABLE1[[#This Row],[Potential Price]]-TABLE1[[#This Row],[Entry Price]])/(TABLE1[[#This Row],[Intended Entry]]-TABLE1[[#This Row],[SL Price]]),4)</f>
        <v>0.58330000000000004</v>
      </c>
      <c r="AZ18" s="19">
        <f>ROUND((TABLE1[[#This Row],[Potential Price]]-TABLE1[[#This Row],[Intended Entry]])/(TABLE1[[#This Row],[Intended Entry]]-TABLE1[[#This Row],[SL Price]]),4)</f>
        <v>0.58330000000000004</v>
      </c>
      <c r="BA18" s="19">
        <f>TABLE1[[#This Row],[RRR Potential]]-TABLE1[[#This Row],[RRR Realized]]</f>
        <v>1.5832999999999999</v>
      </c>
      <c r="BB18" s="25">
        <f>ROUND((TABLE1[[#This Row],[Exit Price]]-TABLE1[[#This Row],[Entry Price]])/(TABLE1[[#This Row],[Intended Entry]]-TABLE1[[#This Row],[SL Price]]),4)</f>
        <v>-1</v>
      </c>
      <c r="BC18" s="4">
        <f>IF(AND((TABLE1[[#This Row],[Back to BE]])=TRUE,(TABLE1[[#This Row],[Price Behaviour]])="Fast Reversal"), 0-(TABLE1[[#This Row],[Missed RRR on Entry]]),ROUND((TABLE1[[#This Row],[Exit Price]]-TABLE1[[#This Row],[Entry Price]])/(TABLE1[[#This Row],[Intended Entry]]-TABLE1[[#This Row],[SL Price]]),4))</f>
        <v>-1</v>
      </c>
      <c r="BD18" s="4">
        <f>IF(AND((TABLE1[[#This Row],[Hard RRR Potential]])&gt;=1,(TABLE1[[#This Row],[Back to BE]])="True",(TABLE1[[#This Row],[Price Behaviour]])="Fast Reversal"), 1-(TABLE1[[#This Row],[Missed RRR on Entry]]),ROUND((TABLE1[[#This Row],[Exit Price]]-TABLE1[[#This Row],[Entry Price]])/(TABLE1[[#This Row],[Intended Entry]]-TABLE1[[#This Row],[SL Price]]),4))</f>
        <v>-1</v>
      </c>
      <c r="BE18" s="4">
        <f>IF(AND((TABLE1[[#This Row],[Hard RRR Potential]])&gt;=1.5,(TABLE1[[#This Row],[Back to BE]])="True",(TABLE1[[#This Row],[Price Behaviour]])="Fast Reversal"), 1.5-(TABLE1[[#This Row],[Missed RRR on Entry]]),ROUND((TABLE1[[#This Row],[Exit Price]]-TABLE1[[#This Row],[Entry Price]])/(TABLE1[[#This Row],[Intended Entry]]-TABLE1[[#This Row],[SL Price]]),4))</f>
        <v>-1</v>
      </c>
      <c r="BF18" s="4">
        <f>IF(AND((TABLE1[[#This Row],[Hard RRR Potential]])&gt;=2,(TABLE1[[#This Row],[Back to BE]])="True",(TABLE1[[#This Row],[Price Behaviour]])="Fast Reversal"), 2-(TABLE1[[#This Row],[Missed RRR on Entry]]),ROUND((TABLE1[[#This Row],[Exit Price]]-TABLE1[[#This Row],[Entry Price]])/(TABLE1[[#This Row],[Intended Entry]]-TABLE1[[#This Row],[SL Price]]),4))</f>
        <v>-1</v>
      </c>
      <c r="BG18" s="48">
        <f>IF((TABLE1[[#This Row],[Pattern SL]])&lt;&gt;FALSE,((TABLE1[[#This Row],[Pattern SL]])-(TABLE1[[#This Row],[Entry Price]]))/((TABLE1[[#This Row],[Intended Entry]])-(TABLE1[[#This Row],[SL Price]])),ROUND((TABLE1[[#This Row],[Exit Price]]-TABLE1[[#This Row],[Entry Price]])/(TABLE1[[#This Row],[Intended Entry]]-TABLE1[[#This Row],[SL Price]]),4))</f>
        <v>-1</v>
      </c>
      <c r="BH1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I18"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J18" s="21">
        <f>IF( TABLE1[[#This Row],[Wick Exit]]&lt;&gt; FALSE,TABLE1[[#This Row],[RRR Wick Exit]],IF(TABLE1[[#This Row],[Volume Exit]]&lt;&gt; FALSE,TABLE1[[#This Row],[RRR Volume Exit]],TABLE1[[#This Row],[RRR Realized]]))</f>
        <v>-1</v>
      </c>
      <c r="BK18"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L18"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M18" s="4">
        <f>IF(OR(AND(TABLE1[[#This Row],[Hard RRR Potential]]&gt;=3,TABLE1[[#This Row],[Volume Exit]]=FALSE,TABLE1[[#This Row],[Wick Exit]]=FALSE),AND(TABLE1[[#This Row],[Hard RRR Potential]]&gt;=3,TABLE1[[#This Row],[Volume Exit RRR Reach]]&gt;=3,TABLE1[[#This Row],[Wick Exit]]=FALSE)), 3-TABLE1[[#This Row],[Missed RRR on Entry]],TABLE1[[#This Row],[RRR Realized]])</f>
        <v>-1</v>
      </c>
      <c r="BN18" s="4"/>
      <c r="BO18" s="4"/>
    </row>
    <row r="19" spans="1:67" x14ac:dyDescent="0.45">
      <c r="A19" t="s">
        <v>180</v>
      </c>
      <c r="B19">
        <v>18</v>
      </c>
      <c r="C19" s="2">
        <v>43560</v>
      </c>
      <c r="D19" s="1">
        <v>0.4284722222222222</v>
      </c>
      <c r="E19" s="1">
        <v>0.44166666666666665</v>
      </c>
      <c r="F19" s="4">
        <v>7.24</v>
      </c>
      <c r="G19" s="4">
        <f>57.12</f>
        <v>57.12</v>
      </c>
      <c r="H19" s="15">
        <v>714</v>
      </c>
      <c r="I19" t="s">
        <v>18</v>
      </c>
      <c r="J19" t="s">
        <v>21</v>
      </c>
      <c r="K19">
        <v>2.56</v>
      </c>
      <c r="L19">
        <v>2.56</v>
      </c>
      <c r="M19">
        <v>2.42</v>
      </c>
      <c r="N19">
        <v>2.64</v>
      </c>
      <c r="O19">
        <v>2.73</v>
      </c>
      <c r="P19">
        <v>2.46</v>
      </c>
      <c r="Q19">
        <v>2.73</v>
      </c>
      <c r="R19">
        <v>2.73</v>
      </c>
      <c r="S19" t="b">
        <v>0</v>
      </c>
      <c r="T19" t="b">
        <v>0</v>
      </c>
      <c r="U19" t="b">
        <v>0</v>
      </c>
      <c r="V19" t="b">
        <v>1</v>
      </c>
      <c r="W19">
        <v>2.64</v>
      </c>
      <c r="X19">
        <v>1.21</v>
      </c>
      <c r="Y19" t="b">
        <v>0</v>
      </c>
      <c r="Z19" t="b">
        <v>0</v>
      </c>
      <c r="AA19">
        <v>2.64</v>
      </c>
      <c r="AB19" t="s">
        <v>24</v>
      </c>
      <c r="AC19" t="s">
        <v>28</v>
      </c>
      <c r="AD19" t="s">
        <v>34</v>
      </c>
      <c r="AE19">
        <v>39.15</v>
      </c>
      <c r="AG19">
        <v>1</v>
      </c>
      <c r="AH19" t="s">
        <v>319</v>
      </c>
      <c r="AI19">
        <v>2.4300000000000002</v>
      </c>
      <c r="AJ19" t="s">
        <v>137</v>
      </c>
      <c r="AK19" t="s">
        <v>167</v>
      </c>
      <c r="AL19">
        <v>0.04</v>
      </c>
      <c r="AM19">
        <v>7.0000000000000007E-2</v>
      </c>
      <c r="AO19" s="22" t="s">
        <v>214</v>
      </c>
      <c r="AP19" s="4">
        <f>IF(TABLE1[[#This Row],[Buy/Sell]]="BUY",(TABLE1[[#This Row],[Highest Price]]-TABLE1[[#This Row],[Entry Price]])/(TABLE1[[#This Row],[Intended Entry]]-TABLE1[[#This Row],[SL Price]]),(TABLE1[[#This Row],[Entry Price]]-TABLE1[[#This Row],[Lowest Price]])/(TABLE1[[#This Row],[SL Price]]-TABLE1[[#This Row],[Intended Entry]]))</f>
        <v>1.2142857142857126</v>
      </c>
      <c r="AQ19" s="19">
        <f>IF(TABLE1[[#This Row],[Buy/Sell]]="BUY",(TABLE1[[#This Row],[Entry Price]]-TABLE1[[#This Row],[Lowest Price]])/(TABLE1[[#This Row],[SL Price]]-TABLE1[[#This Row],[Intended Entry]]),(TABLE1[[#This Row],[Entry Price]]-TABLE1[[#This Row],[Highest Price]])/(TABLE1[[#This Row],[SL Price]]-TABLE1[[#This Row],[Intended Entry]]))</f>
        <v>-0.7142857142857143</v>
      </c>
      <c r="AR19" s="4" t="str">
        <f>IF(AND(TABLE1[[#This Row],[RRR Realized]]&lt;0.5,TABLE1[[#This Row],[RRR Realized]]&gt;-0.6),"BE",IF(TABLE1[[#This Row],[Gain/Loss]]&lt;0, "LOSER", "WINNER"))</f>
        <v>WINNER</v>
      </c>
      <c r="AS19" s="4">
        <f>TABLE1[[#This Row],[Gain/Loss]]-TABLE1[[#This Row],[Comissions]]</f>
        <v>49.879999999999995</v>
      </c>
      <c r="AT19" s="3">
        <f>TABLE1[[#This Row],[Exit Time]]-TABLE1[[#This Row],[Entry Time]]</f>
        <v>1.3194444444444453E-2</v>
      </c>
      <c r="AU19" s="4">
        <f>TABLE1[[#This Row],[Net Gain/Loss]]+AU18</f>
        <v>423.32890000000009</v>
      </c>
      <c r="AV19" s="4">
        <f>IF(TABLE1[[#This Row],[Potential Price Before BE]]=FALSE,"FALSE",( TABLE1[[#This Row],[Potential Price Before BE]]-TABLE1[[#This Row],[Intended Entry]])/(TABLE1[[#This Row],[Intended Entry]]-TABLE1[[#This Row],[SL Price]]))</f>
        <v>1.2142857142857126</v>
      </c>
      <c r="AW19" s="4">
        <f>(IF(TABLE1[[#This Row],[Buy/Sell]]="BUY",(TABLE1[[#This Row],[Entry Price]]-TABLE1[[#This Row],[SL Price]])/(TABLE1[[#This Row],[Intended Entry]]-TABLE1[[#This Row],[SL Price]]),(TABLE1[[#This Row],[SL Price]]-TABLE1[[#This Row],[Entry Price]])/(TABLE1[[#This Row],[SL Price]]-TABLE1[[#This Row],[Intended Entry]])))-1</f>
        <v>0</v>
      </c>
      <c r="AX19" s="19">
        <f>TABLE1[[#This Row],[Missed RRR on Entry]]</f>
        <v>0</v>
      </c>
      <c r="AY19" s="19">
        <f>ROUND((TABLE1[[#This Row],[Potential Price]]-TABLE1[[#This Row],[Entry Price]])/(TABLE1[[#This Row],[Intended Entry]]-TABLE1[[#This Row],[SL Price]]),4)</f>
        <v>1.2142999999999999</v>
      </c>
      <c r="AZ19" s="19">
        <f>ROUND((TABLE1[[#This Row],[Potential Price]]-TABLE1[[#This Row],[Intended Entry]])/(TABLE1[[#This Row],[Intended Entry]]-TABLE1[[#This Row],[SL Price]]),4)</f>
        <v>1.2142999999999999</v>
      </c>
      <c r="BA19" s="19">
        <f>TABLE1[[#This Row],[RRR Potential]]-TABLE1[[#This Row],[RRR Realized]]</f>
        <v>0.64289999999999992</v>
      </c>
      <c r="BB19" s="25">
        <f>ROUND((TABLE1[[#This Row],[Exit Price]]-TABLE1[[#This Row],[Entry Price]])/(TABLE1[[#This Row],[Intended Entry]]-TABLE1[[#This Row],[SL Price]]),4)</f>
        <v>0.57140000000000002</v>
      </c>
      <c r="BC19" s="4">
        <f>IF(AND((TABLE1[[#This Row],[Back to BE]])=TRUE,(TABLE1[[#This Row],[Price Behaviour]])="Fast Reversal"), 0-(TABLE1[[#This Row],[Missed RRR on Entry]]),ROUND((TABLE1[[#This Row],[Exit Price]]-TABLE1[[#This Row],[Entry Price]])/(TABLE1[[#This Row],[Intended Entry]]-TABLE1[[#This Row],[SL Price]]),4))</f>
        <v>0</v>
      </c>
      <c r="BD19" s="4">
        <f>IF(AND((TABLE1[[#This Row],[Hard RRR Potential]])&gt;=1,(TABLE1[[#This Row],[Back to BE]])="True",(TABLE1[[#This Row],[Price Behaviour]])="Fast Reversal"), 1-(TABLE1[[#This Row],[Missed RRR on Entry]]),ROUND((TABLE1[[#This Row],[Exit Price]]-TABLE1[[#This Row],[Entry Price]])/(TABLE1[[#This Row],[Intended Entry]]-TABLE1[[#This Row],[SL Price]]),4))</f>
        <v>0.57140000000000002</v>
      </c>
      <c r="BE19" s="4">
        <f>IF(AND((TABLE1[[#This Row],[Hard RRR Potential]])&gt;=1.5,(TABLE1[[#This Row],[Back to BE]])="True",(TABLE1[[#This Row],[Price Behaviour]])="Fast Reversal"), 1.5-(TABLE1[[#This Row],[Missed RRR on Entry]]),ROUND((TABLE1[[#This Row],[Exit Price]]-TABLE1[[#This Row],[Entry Price]])/(TABLE1[[#This Row],[Intended Entry]]-TABLE1[[#This Row],[SL Price]]),4))</f>
        <v>0.57140000000000002</v>
      </c>
      <c r="BF19" s="4">
        <f>IF(AND((TABLE1[[#This Row],[Hard RRR Potential]])&gt;=2,(TABLE1[[#This Row],[Back to BE]])="True",(TABLE1[[#This Row],[Price Behaviour]])="Fast Reversal"), 2-(TABLE1[[#This Row],[Missed RRR on Entry]]),ROUND((TABLE1[[#This Row],[Exit Price]]-TABLE1[[#This Row],[Entry Price]])/(TABLE1[[#This Row],[Intended Entry]]-TABLE1[[#This Row],[SL Price]]),4))</f>
        <v>0.57140000000000002</v>
      </c>
      <c r="BG19" s="48">
        <f>IF((TABLE1[[#This Row],[Pattern SL]])&lt;&gt;FALSE,((TABLE1[[#This Row],[Pattern SL]])-(TABLE1[[#This Row],[Entry Price]]))/((TABLE1[[#This Row],[Intended Entry]])-(TABLE1[[#This Row],[SL Price]])),ROUND((TABLE1[[#This Row],[Exit Price]]-TABLE1[[#This Row],[Entry Price]])/(TABLE1[[#This Row],[Intended Entry]]-TABLE1[[#This Row],[SL Price]]),4))</f>
        <v>0.57140000000000002</v>
      </c>
      <c r="BH1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0.5714285714285714</v>
      </c>
      <c r="BI19"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0.5714285714285714</v>
      </c>
      <c r="BJ19" s="21">
        <f>IF( TABLE1[[#This Row],[Wick Exit]]&lt;&gt; FALSE,TABLE1[[#This Row],[RRR Wick Exit]],IF(TABLE1[[#This Row],[Volume Exit]]&lt;&gt; FALSE,TABLE1[[#This Row],[RRR Volume Exit]],TABLE1[[#This Row],[RRR Realized]]))</f>
        <v>0.5714285714285714</v>
      </c>
      <c r="BK19"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0.57140000000000002</v>
      </c>
      <c r="BL19" s="4">
        <f>IF(OR(AND(TABLE1[[#This Row],[Hard RRR Potential]]&gt;=2.5,TABLE1[[#This Row],[Volume Exit]]=FALSE,TABLE1[[#This Row],[Wick Exit]]=FALSE),AND(TABLE1[[#This Row],[Hard RRR Potential]]&gt;=2.5,TABLE1[[#This Row],[Volume Exit RRR Reach]]&gt;=2.5,TABLE1[[#This Row],[Wick Exit]]=FALSE)), 2.5-TABLE1[[#This Row],[Missed RRR on Entry]],TABLE1[[#This Row],[RRR Realized]])</f>
        <v>0.57140000000000002</v>
      </c>
      <c r="BM19" s="4">
        <f>IF(OR(AND(TABLE1[[#This Row],[Hard RRR Potential]]&gt;=3,TABLE1[[#This Row],[Volume Exit]]=FALSE,TABLE1[[#This Row],[Wick Exit]]=FALSE),AND(TABLE1[[#This Row],[Hard RRR Potential]]&gt;=3,TABLE1[[#This Row],[Volume Exit RRR Reach]]&gt;=3,TABLE1[[#This Row],[Wick Exit]]=FALSE)), 3-TABLE1[[#This Row],[Missed RRR on Entry]],TABLE1[[#This Row],[RRR Realized]])</f>
        <v>0.57140000000000002</v>
      </c>
      <c r="BN19" s="4"/>
      <c r="BO19" s="4"/>
    </row>
    <row r="20" spans="1:67" x14ac:dyDescent="0.45">
      <c r="A20" t="s">
        <v>213</v>
      </c>
      <c r="B20">
        <v>19</v>
      </c>
      <c r="C20" s="2">
        <v>43560</v>
      </c>
      <c r="D20" s="1">
        <v>0.42222222222222222</v>
      </c>
      <c r="E20" s="1">
        <v>0.44513888888888892</v>
      </c>
      <c r="F20" s="4">
        <v>32.200000000000003</v>
      </c>
      <c r="G20" s="4">
        <f>304.64</f>
        <v>304.64</v>
      </c>
      <c r="H20" s="15">
        <v>3333</v>
      </c>
      <c r="I20" t="s">
        <v>18</v>
      </c>
      <c r="J20" t="s">
        <v>21</v>
      </c>
      <c r="K20">
        <v>0.37259999999999999</v>
      </c>
      <c r="L20">
        <v>0.375</v>
      </c>
      <c r="M20">
        <v>0.34260000000000002</v>
      </c>
      <c r="N20">
        <v>0.46639999999999998</v>
      </c>
      <c r="O20">
        <v>0.46639999999999998</v>
      </c>
      <c r="P20">
        <v>0.3644</v>
      </c>
      <c r="Q20" t="b">
        <v>0</v>
      </c>
      <c r="R20">
        <v>0.59899999999999998</v>
      </c>
      <c r="S20" t="b">
        <v>0</v>
      </c>
      <c r="T20" t="b">
        <v>0</v>
      </c>
      <c r="U20" t="b">
        <v>1</v>
      </c>
      <c r="W20">
        <v>0.51</v>
      </c>
      <c r="X20">
        <v>7.5</v>
      </c>
      <c r="Y20" t="b">
        <v>0</v>
      </c>
      <c r="Z20" t="b">
        <v>0</v>
      </c>
      <c r="AA20" t="b">
        <v>0</v>
      </c>
      <c r="AB20" t="s">
        <v>27</v>
      </c>
      <c r="AC20" t="s">
        <v>30</v>
      </c>
      <c r="AD20" t="s">
        <v>33</v>
      </c>
      <c r="AE20">
        <v>157</v>
      </c>
      <c r="AF20">
        <v>147</v>
      </c>
      <c r="AG20">
        <v>1</v>
      </c>
      <c r="AH20" t="s">
        <v>319</v>
      </c>
      <c r="AI20">
        <v>3.39</v>
      </c>
      <c r="AJ20" t="s">
        <v>135</v>
      </c>
      <c r="AK20" t="s">
        <v>167</v>
      </c>
      <c r="AL20">
        <v>41.81</v>
      </c>
      <c r="AM20">
        <v>7.0000000000000007E-2</v>
      </c>
      <c r="AN20">
        <v>10.3</v>
      </c>
      <c r="AO20" s="22" t="s">
        <v>215</v>
      </c>
      <c r="AP20" s="4">
        <f>IF(TABLE1[[#This Row],[Buy/Sell]]="BUY",(TABLE1[[#This Row],[Highest Price]]-TABLE1[[#This Row],[Entry Price]])/(TABLE1[[#This Row],[Intended Entry]]-TABLE1[[#This Row],[SL Price]]),(TABLE1[[#This Row],[Entry Price]]-TABLE1[[#This Row],[Lowest Price]])/(TABLE1[[#This Row],[SL Price]]-TABLE1[[#This Row],[Intended Entry]]))</f>
        <v>3.0466666666666691</v>
      </c>
      <c r="AQ20" s="19">
        <f>IF(TABLE1[[#This Row],[Buy/Sell]]="BUY",(TABLE1[[#This Row],[Entry Price]]-TABLE1[[#This Row],[Lowest Price]])/(TABLE1[[#This Row],[SL Price]]-TABLE1[[#This Row],[Intended Entry]]),(TABLE1[[#This Row],[Entry Price]]-TABLE1[[#This Row],[Highest Price]])/(TABLE1[[#This Row],[SL Price]]-TABLE1[[#This Row],[Intended Entry]]))</f>
        <v>-0.35333333333333361</v>
      </c>
      <c r="AR20" s="4" t="str">
        <f>IF(AND(TABLE1[[#This Row],[RRR Realized]]&lt;0.5,TABLE1[[#This Row],[RRR Realized]]&gt;-0.6),"BE",IF(TABLE1[[#This Row],[Gain/Loss]]&lt;0, "LOSER", "WINNER"))</f>
        <v>WINNER</v>
      </c>
      <c r="AS20" s="4">
        <f>TABLE1[[#This Row],[Gain/Loss]]-TABLE1[[#This Row],[Comissions]]</f>
        <v>272.44</v>
      </c>
      <c r="AT20" s="3">
        <f>TABLE1[[#This Row],[Exit Time]]-TABLE1[[#This Row],[Entry Time]]</f>
        <v>2.2916666666666696E-2</v>
      </c>
      <c r="AU20" s="4">
        <f>TABLE1[[#This Row],[Net Gain/Loss]]+AU19</f>
        <v>695.76890000000003</v>
      </c>
      <c r="AV20" s="4" t="str">
        <f>IF(TABLE1[[#This Row],[Potential Price Before BE]]=FALSE,"FALSE",( TABLE1[[#This Row],[Potential Price Before BE]]-TABLE1[[#This Row],[Intended Entry]])/(TABLE1[[#This Row],[Intended Entry]]-TABLE1[[#This Row],[SL Price]]))</f>
        <v>FALSE</v>
      </c>
      <c r="AW20" s="4">
        <f>(IF(TABLE1[[#This Row],[Buy/Sell]]="BUY",(TABLE1[[#This Row],[Entry Price]]-TABLE1[[#This Row],[SL Price]])/(TABLE1[[#This Row],[Intended Entry]]-TABLE1[[#This Row],[SL Price]]),(TABLE1[[#This Row],[SL Price]]-TABLE1[[#This Row],[Entry Price]])/(TABLE1[[#This Row],[SL Price]]-TABLE1[[#This Row],[Intended Entry]])))-1</f>
        <v>8.0000000000000515E-2</v>
      </c>
      <c r="AX20" s="19">
        <f>TABLE1[[#This Row],[Missed RRR on Entry]]</f>
        <v>8.0000000000000515E-2</v>
      </c>
      <c r="AY20" s="19">
        <f>ROUND((TABLE1[[#This Row],[Potential Price]]-TABLE1[[#This Row],[Entry Price]])/(TABLE1[[#This Row],[Intended Entry]]-TABLE1[[#This Row],[SL Price]]),4)</f>
        <v>7.4667000000000003</v>
      </c>
      <c r="AZ20" s="19">
        <f>ROUND((TABLE1[[#This Row],[Potential Price]]-TABLE1[[#This Row],[Intended Entry]])/(TABLE1[[#This Row],[Intended Entry]]-TABLE1[[#This Row],[SL Price]]),4)</f>
        <v>7.5467000000000004</v>
      </c>
      <c r="BA20" s="19">
        <f>TABLE1[[#This Row],[RRR Potential]]-TABLE1[[#This Row],[RRR Realized]]</f>
        <v>4.42</v>
      </c>
      <c r="BB20" s="25">
        <f>ROUND((TABLE1[[#This Row],[Exit Price]]-TABLE1[[#This Row],[Entry Price]])/(TABLE1[[#This Row],[Intended Entry]]-TABLE1[[#This Row],[SL Price]]),4)</f>
        <v>3.0467</v>
      </c>
      <c r="BC20" s="4">
        <f>IF(AND((TABLE1[[#This Row],[Back to BE]])=TRUE,(TABLE1[[#This Row],[Price Behaviour]])="Fast Reversal"), 0-(TABLE1[[#This Row],[Missed RRR on Entry]]),ROUND((TABLE1[[#This Row],[Exit Price]]-TABLE1[[#This Row],[Entry Price]])/(TABLE1[[#This Row],[Intended Entry]]-TABLE1[[#This Row],[SL Price]]),4))</f>
        <v>3.0467</v>
      </c>
      <c r="BD20" s="4">
        <f>IF(AND((TABLE1[[#This Row],[Hard RRR Potential]])&gt;=1,(TABLE1[[#This Row],[Back to BE]])="True",(TABLE1[[#This Row],[Price Behaviour]])="Fast Reversal"), 1-(TABLE1[[#This Row],[Missed RRR on Entry]]),ROUND((TABLE1[[#This Row],[Exit Price]]-TABLE1[[#This Row],[Entry Price]])/(TABLE1[[#This Row],[Intended Entry]]-TABLE1[[#This Row],[SL Price]]),4))</f>
        <v>3.0467</v>
      </c>
      <c r="BE20" s="4">
        <f>IF(AND((TABLE1[[#This Row],[Hard RRR Potential]])&gt;=1.5,(TABLE1[[#This Row],[Back to BE]])="True",(TABLE1[[#This Row],[Price Behaviour]])="Fast Reversal"), 1.5-(TABLE1[[#This Row],[Missed RRR on Entry]]),ROUND((TABLE1[[#This Row],[Exit Price]]-TABLE1[[#This Row],[Entry Price]])/(TABLE1[[#This Row],[Intended Entry]]-TABLE1[[#This Row],[SL Price]]),4))</f>
        <v>3.0467</v>
      </c>
      <c r="BF20" s="4">
        <f>IF(AND((TABLE1[[#This Row],[Hard RRR Potential]])&gt;=2,(TABLE1[[#This Row],[Back to BE]])="True",(TABLE1[[#This Row],[Price Behaviour]])="Fast Reversal"), 2-(TABLE1[[#This Row],[Missed RRR on Entry]]),ROUND((TABLE1[[#This Row],[Exit Price]]-TABLE1[[#This Row],[Entry Price]])/(TABLE1[[#This Row],[Intended Entry]]-TABLE1[[#This Row],[SL Price]]),4))</f>
        <v>3.0467</v>
      </c>
      <c r="BG20" s="48">
        <f>IF((TABLE1[[#This Row],[Pattern SL]])&lt;&gt;FALSE,((TABLE1[[#This Row],[Pattern SL]])-(TABLE1[[#This Row],[Entry Price]]))/((TABLE1[[#This Row],[Intended Entry]])-(TABLE1[[#This Row],[SL Price]])),ROUND((TABLE1[[#This Row],[Exit Price]]-TABLE1[[#This Row],[Entry Price]])/(TABLE1[[#This Row],[Intended Entry]]-TABLE1[[#This Row],[SL Price]]),4))</f>
        <v>3.0467</v>
      </c>
      <c r="BH2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4.5000000000000044</v>
      </c>
      <c r="BI20"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3.0467</v>
      </c>
      <c r="BJ20" s="21">
        <f>IF( TABLE1[[#This Row],[Wick Exit]]&lt;&gt; FALSE,TABLE1[[#This Row],[RRR Wick Exit]],IF(TABLE1[[#This Row],[Volume Exit]]&lt;&gt; FALSE,TABLE1[[#This Row],[RRR Volume Exit]],TABLE1[[#This Row],[RRR Realized]]))</f>
        <v>4.5000000000000044</v>
      </c>
      <c r="BK20"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3.0467</v>
      </c>
      <c r="BL20" s="4">
        <f>IF(OR(AND(TABLE1[[#This Row],[Hard RRR Potential]]&gt;=2.5,TABLE1[[#This Row],[Volume Exit]]=FALSE,TABLE1[[#This Row],[Wick Exit]]=FALSE),AND(TABLE1[[#This Row],[Hard RRR Potential]]&gt;=2.5,TABLE1[[#This Row],[Volume Exit RRR Reach]]&gt;=2.5,TABLE1[[#This Row],[Wick Exit]]=FALSE)), 2.5-TABLE1[[#This Row],[Missed RRR on Entry]],TABLE1[[#This Row],[RRR Realized]])</f>
        <v>2.4199999999999995</v>
      </c>
      <c r="BM20" s="4">
        <f>IF(OR(AND(TABLE1[[#This Row],[Hard RRR Potential]]&gt;=3,TABLE1[[#This Row],[Volume Exit]]=FALSE,TABLE1[[#This Row],[Wick Exit]]=FALSE),AND(TABLE1[[#This Row],[Hard RRR Potential]]&gt;=3,TABLE1[[#This Row],[Volume Exit RRR Reach]]&gt;=3,TABLE1[[#This Row],[Wick Exit]]=FALSE)), 3-TABLE1[[#This Row],[Missed RRR on Entry]],TABLE1[[#This Row],[RRR Realized]])</f>
        <v>2.9199999999999995</v>
      </c>
      <c r="BN20" s="4"/>
      <c r="BO20" s="4"/>
    </row>
    <row r="21" spans="1:67" x14ac:dyDescent="0.45">
      <c r="A21" t="s">
        <v>213</v>
      </c>
      <c r="B21">
        <v>20</v>
      </c>
      <c r="C21" s="2">
        <v>43563</v>
      </c>
      <c r="D21" s="1">
        <v>0.42083333333333334</v>
      </c>
      <c r="E21" s="1">
        <v>0.4236111111111111</v>
      </c>
      <c r="F21" s="4">
        <v>16.87</v>
      </c>
      <c r="G21" s="4">
        <f>-105</f>
        <v>-105</v>
      </c>
      <c r="H21" s="15">
        <v>1666</v>
      </c>
      <c r="I21" t="s">
        <v>18</v>
      </c>
      <c r="J21" t="s">
        <v>21</v>
      </c>
      <c r="K21">
        <v>0.83499999999999996</v>
      </c>
      <c r="L21">
        <v>0.83499999999999996</v>
      </c>
      <c r="M21">
        <f>0.835-0.06</f>
        <v>0.77499999999999991</v>
      </c>
      <c r="N21">
        <v>0.77200000000000002</v>
      </c>
      <c r="O21">
        <v>0.86</v>
      </c>
      <c r="P21">
        <v>0.77200000000000002</v>
      </c>
      <c r="Q21">
        <v>0.86</v>
      </c>
      <c r="R21">
        <v>0.86</v>
      </c>
      <c r="S21" t="b">
        <v>0</v>
      </c>
      <c r="T21" t="b">
        <v>0</v>
      </c>
      <c r="U21" t="b">
        <v>0</v>
      </c>
      <c r="V21" t="b">
        <v>0</v>
      </c>
      <c r="W21" t="b">
        <v>0</v>
      </c>
      <c r="Z21" t="b">
        <v>0</v>
      </c>
      <c r="AA21" t="b">
        <v>0</v>
      </c>
      <c r="AB21" t="s">
        <v>24</v>
      </c>
      <c r="AC21" t="s">
        <v>31</v>
      </c>
      <c r="AD21" t="s">
        <v>33</v>
      </c>
      <c r="AE21">
        <v>95</v>
      </c>
      <c r="AF21">
        <v>89</v>
      </c>
      <c r="AG21">
        <v>1</v>
      </c>
      <c r="AH21" t="b">
        <v>0</v>
      </c>
      <c r="AI21">
        <v>0.73199999999999998</v>
      </c>
      <c r="AJ21" t="s">
        <v>137</v>
      </c>
      <c r="AK21" t="s">
        <v>257</v>
      </c>
      <c r="AL21">
        <v>41.81</v>
      </c>
      <c r="AM21">
        <v>-0.03</v>
      </c>
      <c r="AN21">
        <v>10.3</v>
      </c>
      <c r="AO21" s="22" t="s">
        <v>216</v>
      </c>
      <c r="AP21" s="4">
        <f>IF(TABLE1[[#This Row],[Buy/Sell]]="BUY",(TABLE1[[#This Row],[Highest Price]]-TABLE1[[#This Row],[Entry Price]])/(TABLE1[[#This Row],[Intended Entry]]-TABLE1[[#This Row],[SL Price]]),(TABLE1[[#This Row],[Entry Price]]-TABLE1[[#This Row],[Lowest Price]])/(TABLE1[[#This Row],[SL Price]]-TABLE1[[#This Row],[Intended Entry]]))</f>
        <v>0.41666666666666669</v>
      </c>
      <c r="AQ21" s="19">
        <f>IF(TABLE1[[#This Row],[Buy/Sell]]="BUY",(TABLE1[[#This Row],[Entry Price]]-TABLE1[[#This Row],[Lowest Price]])/(TABLE1[[#This Row],[SL Price]]-TABLE1[[#This Row],[Intended Entry]]),(TABLE1[[#This Row],[Entry Price]]-TABLE1[[#This Row],[Highest Price]])/(TABLE1[[#This Row],[SL Price]]-TABLE1[[#This Row],[Intended Entry]]))</f>
        <v>-1.049999999999998</v>
      </c>
      <c r="AR21" s="4" t="str">
        <f>IF(AND(TABLE1[[#This Row],[RRR Realized]]&lt;0.5,TABLE1[[#This Row],[RRR Realized]]&gt;-0.6),"BE",IF(TABLE1[[#This Row],[Gain/Loss]]&lt;0, "LOSER", "WINNER"))</f>
        <v>LOSER</v>
      </c>
      <c r="AS21" s="4">
        <f>TABLE1[[#This Row],[Gain/Loss]]-TABLE1[[#This Row],[Comissions]]</f>
        <v>-121.87</v>
      </c>
      <c r="AT21" s="3">
        <f>TABLE1[[#This Row],[Exit Time]]-TABLE1[[#This Row],[Entry Time]]</f>
        <v>2.7777777777777679E-3</v>
      </c>
      <c r="AU21" s="4">
        <f>TABLE1[[#This Row],[Net Gain/Loss]]+AU20</f>
        <v>573.89890000000003</v>
      </c>
      <c r="AV21" s="4">
        <f>IF(TABLE1[[#This Row],[Potential Price Before BE]]=FALSE,"FALSE",( TABLE1[[#This Row],[Potential Price Before BE]]-TABLE1[[#This Row],[Intended Entry]])/(TABLE1[[#This Row],[Intended Entry]]-TABLE1[[#This Row],[SL Price]]))</f>
        <v>0.41666666666666669</v>
      </c>
      <c r="AW21" s="4">
        <f>(IF(TABLE1[[#This Row],[Buy/Sell]]="BUY",(TABLE1[[#This Row],[Entry Price]]-TABLE1[[#This Row],[SL Price]])/(TABLE1[[#This Row],[Intended Entry]]-TABLE1[[#This Row],[SL Price]]),(TABLE1[[#This Row],[SL Price]]-TABLE1[[#This Row],[Entry Price]])/(TABLE1[[#This Row],[SL Price]]-TABLE1[[#This Row],[Intended Entry]])))-1</f>
        <v>0</v>
      </c>
      <c r="AX21" s="19">
        <f>TABLE1[[#This Row],[Missed RRR on Entry]]</f>
        <v>0</v>
      </c>
      <c r="AY21" s="19">
        <f>ROUND((TABLE1[[#This Row],[Potential Price]]-TABLE1[[#This Row],[Entry Price]])/(TABLE1[[#This Row],[Intended Entry]]-TABLE1[[#This Row],[SL Price]]),4)</f>
        <v>0.41670000000000001</v>
      </c>
      <c r="AZ21" s="19">
        <f>ROUND((TABLE1[[#This Row],[Potential Price]]-TABLE1[[#This Row],[Intended Entry]])/(TABLE1[[#This Row],[Intended Entry]]-TABLE1[[#This Row],[SL Price]]),4)</f>
        <v>0.41670000000000001</v>
      </c>
      <c r="BA21" s="19">
        <f>TABLE1[[#This Row],[RRR Potential]]-TABLE1[[#This Row],[RRR Realized]]</f>
        <v>1.4667000000000001</v>
      </c>
      <c r="BB21" s="25">
        <f>ROUND((TABLE1[[#This Row],[Exit Price]]-TABLE1[[#This Row],[Entry Price]])/(TABLE1[[#This Row],[Intended Entry]]-TABLE1[[#This Row],[SL Price]]),4)</f>
        <v>-1.05</v>
      </c>
      <c r="BC21" s="4">
        <f>IF(AND((TABLE1[[#This Row],[Back to BE]])=TRUE,(TABLE1[[#This Row],[Price Behaviour]])="Fast Reversal"), 0-(TABLE1[[#This Row],[Missed RRR on Entry]]),ROUND((TABLE1[[#This Row],[Exit Price]]-TABLE1[[#This Row],[Entry Price]])/(TABLE1[[#This Row],[Intended Entry]]-TABLE1[[#This Row],[SL Price]]),4))</f>
        <v>-1.05</v>
      </c>
      <c r="BD21" s="4">
        <f>IF(AND((TABLE1[[#This Row],[Hard RRR Potential]])&gt;=1,(TABLE1[[#This Row],[Back to BE]])="True",(TABLE1[[#This Row],[Price Behaviour]])="Fast Reversal"), 1-(TABLE1[[#This Row],[Missed RRR on Entry]]),ROUND((TABLE1[[#This Row],[Exit Price]]-TABLE1[[#This Row],[Entry Price]])/(TABLE1[[#This Row],[Intended Entry]]-TABLE1[[#This Row],[SL Price]]),4))</f>
        <v>-1.05</v>
      </c>
      <c r="BE21" s="4">
        <f>IF(AND((TABLE1[[#This Row],[Hard RRR Potential]])&gt;=1.5,(TABLE1[[#This Row],[Back to BE]])="True",(TABLE1[[#This Row],[Price Behaviour]])="Fast Reversal"), 1.5-(TABLE1[[#This Row],[Missed RRR on Entry]]),ROUND((TABLE1[[#This Row],[Exit Price]]-TABLE1[[#This Row],[Entry Price]])/(TABLE1[[#This Row],[Intended Entry]]-TABLE1[[#This Row],[SL Price]]),4))</f>
        <v>-1.05</v>
      </c>
      <c r="BF21" s="4">
        <f>IF(AND((TABLE1[[#This Row],[Hard RRR Potential]])&gt;=2,(TABLE1[[#This Row],[Back to BE]])="True",(TABLE1[[#This Row],[Price Behaviour]])="Fast Reversal"), 2-(TABLE1[[#This Row],[Missed RRR on Entry]]),ROUND((TABLE1[[#This Row],[Exit Price]]-TABLE1[[#This Row],[Entry Price]])/(TABLE1[[#This Row],[Intended Entry]]-TABLE1[[#This Row],[SL Price]]),4))</f>
        <v>-1.05</v>
      </c>
      <c r="BG21" s="48">
        <f>IF((TABLE1[[#This Row],[Pattern SL]])&lt;&gt;FALSE,((TABLE1[[#This Row],[Pattern SL]])-(TABLE1[[#This Row],[Entry Price]]))/((TABLE1[[#This Row],[Intended Entry]])-(TABLE1[[#This Row],[SL Price]])),ROUND((TABLE1[[#This Row],[Exit Price]]-TABLE1[[#This Row],[Entry Price]])/(TABLE1[[#This Row],[Intended Entry]]-TABLE1[[#This Row],[SL Price]]),4))</f>
        <v>-1.05</v>
      </c>
      <c r="BH2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-1.05</v>
      </c>
      <c r="BI21"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-1.05</v>
      </c>
      <c r="BJ21" s="21">
        <f>IF( TABLE1[[#This Row],[Wick Exit]]&lt;&gt; FALSE,TABLE1[[#This Row],[RRR Wick Exit]],IF(TABLE1[[#This Row],[Volume Exit]]&lt;&gt; FALSE,TABLE1[[#This Row],[RRR Volume Exit]],TABLE1[[#This Row],[RRR Realized]]))</f>
        <v>-1.05</v>
      </c>
      <c r="BK21"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-1.05</v>
      </c>
      <c r="BL21" s="4">
        <f>IF(OR(AND(TABLE1[[#This Row],[Hard RRR Potential]]&gt;=2.5,TABLE1[[#This Row],[Volume Exit]]=FALSE,TABLE1[[#This Row],[Wick Exit]]=FALSE),AND(TABLE1[[#This Row],[Hard RRR Potential]]&gt;=2.5,TABLE1[[#This Row],[Volume Exit RRR Reach]]&gt;=2.5,TABLE1[[#This Row],[Wick Exit]]=FALSE)), 2.5-TABLE1[[#This Row],[Missed RRR on Entry]],TABLE1[[#This Row],[RRR Realized]])</f>
        <v>-1.05</v>
      </c>
      <c r="BM21" s="4">
        <f>IF(OR(AND(TABLE1[[#This Row],[Hard RRR Potential]]&gt;=3,TABLE1[[#This Row],[Volume Exit]]=FALSE,TABLE1[[#This Row],[Wick Exit]]=FALSE),AND(TABLE1[[#This Row],[Hard RRR Potential]]&gt;=3,TABLE1[[#This Row],[Volume Exit RRR Reach]]&gt;=3,TABLE1[[#This Row],[Wick Exit]]=FALSE)), 3-TABLE1[[#This Row],[Missed RRR on Entry]],TABLE1[[#This Row],[RRR Realized]])</f>
        <v>-1.05</v>
      </c>
      <c r="BN21" s="4"/>
      <c r="BO21" s="4"/>
    </row>
    <row r="22" spans="1:67" x14ac:dyDescent="0.45">
      <c r="A22" t="s">
        <v>217</v>
      </c>
      <c r="B22">
        <v>21</v>
      </c>
      <c r="C22" s="2">
        <v>43566</v>
      </c>
      <c r="D22" s="1">
        <v>0.41805555555555557</v>
      </c>
      <c r="E22" s="1">
        <v>0.42152777777777778</v>
      </c>
      <c r="F22" s="4">
        <v>23.1</v>
      </c>
      <c r="G22" s="4">
        <f>-50.88</f>
        <v>-50.88</v>
      </c>
      <c r="H22" s="15">
        <v>3333</v>
      </c>
      <c r="I22" t="s">
        <v>18</v>
      </c>
      <c r="J22" t="s">
        <v>21</v>
      </c>
      <c r="K22">
        <v>0.2898</v>
      </c>
      <c r="L22">
        <v>0.28999999999999998</v>
      </c>
      <c r="M22">
        <v>0.25979999999999998</v>
      </c>
      <c r="N22">
        <v>0.27400000000000002</v>
      </c>
      <c r="O22">
        <v>0.31</v>
      </c>
      <c r="P22">
        <v>0.27329999999999999</v>
      </c>
      <c r="Q22">
        <v>0.31</v>
      </c>
      <c r="R22">
        <v>0.31</v>
      </c>
      <c r="S22" t="b">
        <v>0</v>
      </c>
      <c r="T22" t="b">
        <v>0</v>
      </c>
      <c r="U22" t="b">
        <v>0</v>
      </c>
      <c r="W22">
        <v>0.27400000000000002</v>
      </c>
      <c r="X22" t="b">
        <v>0</v>
      </c>
      <c r="Y22" t="b">
        <v>0</v>
      </c>
      <c r="Z22">
        <v>0.27400000000000002</v>
      </c>
      <c r="AA22" t="b">
        <v>0</v>
      </c>
      <c r="AB22" t="s">
        <v>24</v>
      </c>
      <c r="AC22" t="s">
        <v>28</v>
      </c>
      <c r="AD22" t="s">
        <v>34</v>
      </c>
      <c r="AE22">
        <v>57</v>
      </c>
      <c r="AG22">
        <v>1</v>
      </c>
      <c r="AH22" t="s">
        <v>319</v>
      </c>
      <c r="AI22">
        <v>0.26500000000000001</v>
      </c>
      <c r="AJ22" t="s">
        <v>135</v>
      </c>
      <c r="AK22" t="s">
        <v>167</v>
      </c>
      <c r="AL22">
        <v>13.08</v>
      </c>
      <c r="AM22">
        <v>-0.3</v>
      </c>
      <c r="AN22">
        <v>0.5</v>
      </c>
      <c r="AO22" s="22" t="s">
        <v>219</v>
      </c>
      <c r="AP22" s="4">
        <f>IF(TABLE1[[#This Row],[Buy/Sell]]="BUY",(TABLE1[[#This Row],[Highest Price]]-TABLE1[[#This Row],[Entry Price]])/(TABLE1[[#This Row],[Intended Entry]]-TABLE1[[#This Row],[SL Price]]),(TABLE1[[#This Row],[Entry Price]]-TABLE1[[#This Row],[Lowest Price]])/(TABLE1[[#This Row],[SL Price]]-TABLE1[[#This Row],[Intended Entry]]))</f>
        <v>0.66666666666666663</v>
      </c>
      <c r="AQ22" s="19">
        <f>IF(TABLE1[[#This Row],[Buy/Sell]]="BUY",(TABLE1[[#This Row],[Entry Price]]-TABLE1[[#This Row],[Lowest Price]])/(TABLE1[[#This Row],[SL Price]]-TABLE1[[#This Row],[Intended Entry]]),(TABLE1[[#This Row],[Entry Price]]-TABLE1[[#This Row],[Highest Price]])/(TABLE1[[#This Row],[SL Price]]-TABLE1[[#This Row],[Intended Entry]]))</f>
        <v>-0.55666666666666598</v>
      </c>
      <c r="AR22" s="4" t="str">
        <f>IF(AND(TABLE1[[#This Row],[RRR Realized]]&lt;0.5,TABLE1[[#This Row],[RRR Realized]]&gt;-0.6),"BE",IF(TABLE1[[#This Row],[Gain/Loss]]&lt;0, "LOSER", "WINNER"))</f>
        <v>BE</v>
      </c>
      <c r="AS22" s="4">
        <f>TABLE1[[#This Row],[Gain/Loss]]-TABLE1[[#This Row],[Comissions]]</f>
        <v>-73.98</v>
      </c>
      <c r="AT22" s="3">
        <f>TABLE1[[#This Row],[Exit Time]]-TABLE1[[#This Row],[Entry Time]]</f>
        <v>3.4722222222222099E-3</v>
      </c>
      <c r="AU22" s="4">
        <f>TABLE1[[#This Row],[Net Gain/Loss]]+AU21</f>
        <v>499.91890000000001</v>
      </c>
      <c r="AV22" s="4">
        <f>IF(TABLE1[[#This Row],[Potential Price Before BE]]=FALSE,"FALSE",( TABLE1[[#This Row],[Potential Price Before BE]]-TABLE1[[#This Row],[Intended Entry]])/(TABLE1[[#This Row],[Intended Entry]]-TABLE1[[#This Row],[SL Price]]))</f>
        <v>0.67333333333333256</v>
      </c>
      <c r="AW22" s="4">
        <f>(IF(TABLE1[[#This Row],[Buy/Sell]]="BUY",(TABLE1[[#This Row],[Entry Price]]-TABLE1[[#This Row],[SL Price]])/(TABLE1[[#This Row],[Intended Entry]]-TABLE1[[#This Row],[SL Price]]),(TABLE1[[#This Row],[SL Price]]-TABLE1[[#This Row],[Entry Price]])/(TABLE1[[#This Row],[SL Price]]-TABLE1[[#This Row],[Intended Entry]])))-1</f>
        <v>6.6666666666659324E-3</v>
      </c>
      <c r="AX22" s="19">
        <f>TABLE1[[#This Row],[Missed RRR on Entry]]</f>
        <v>6.6666666666659324E-3</v>
      </c>
      <c r="AY22" s="19">
        <f>ROUND((TABLE1[[#This Row],[Potential Price]]-TABLE1[[#This Row],[Entry Price]])/(TABLE1[[#This Row],[Intended Entry]]-TABLE1[[#This Row],[SL Price]]),4)</f>
        <v>0.66669999999999996</v>
      </c>
      <c r="AZ22" s="19">
        <f>ROUND((TABLE1[[#This Row],[Potential Price]]-TABLE1[[#This Row],[Intended Entry]])/(TABLE1[[#This Row],[Intended Entry]]-TABLE1[[#This Row],[SL Price]]),4)</f>
        <v>0.67330000000000001</v>
      </c>
      <c r="BA22" s="19">
        <f>TABLE1[[#This Row],[RRR Potential]]-TABLE1[[#This Row],[RRR Realized]]</f>
        <v>1.2</v>
      </c>
      <c r="BB22" s="25">
        <f>ROUND((TABLE1[[#This Row],[Exit Price]]-TABLE1[[#This Row],[Entry Price]])/(TABLE1[[#This Row],[Intended Entry]]-TABLE1[[#This Row],[SL Price]]),4)</f>
        <v>-0.5333</v>
      </c>
      <c r="BC22" s="4">
        <f>IF(AND((TABLE1[[#This Row],[Back to BE]])=TRUE,(TABLE1[[#This Row],[Price Behaviour]])="Fast Reversal"), 0-(TABLE1[[#This Row],[Missed RRR on Entry]]),ROUND((TABLE1[[#This Row],[Exit Price]]-TABLE1[[#This Row],[Entry Price]])/(TABLE1[[#This Row],[Intended Entry]]-TABLE1[[#This Row],[SL Price]]),4))</f>
        <v>-0.5333</v>
      </c>
      <c r="BD22" s="4">
        <f>IF(AND((TABLE1[[#This Row],[Hard RRR Potential]])&gt;=1,(TABLE1[[#This Row],[Back to BE]])="True",(TABLE1[[#This Row],[Price Behaviour]])="Fast Reversal"), 1-(TABLE1[[#This Row],[Missed RRR on Entry]]),ROUND((TABLE1[[#This Row],[Exit Price]]-TABLE1[[#This Row],[Entry Price]])/(TABLE1[[#This Row],[Intended Entry]]-TABLE1[[#This Row],[SL Price]]),4))</f>
        <v>-0.5333</v>
      </c>
      <c r="BE22" s="4">
        <f>IF(AND((TABLE1[[#This Row],[Hard RRR Potential]])&gt;=1.5,(TABLE1[[#This Row],[Back to BE]])="True",(TABLE1[[#This Row],[Price Behaviour]])="Fast Reversal"), 1.5-(TABLE1[[#This Row],[Missed RRR on Entry]]),ROUND((TABLE1[[#This Row],[Exit Price]]-TABLE1[[#This Row],[Entry Price]])/(TABLE1[[#This Row],[Intended Entry]]-TABLE1[[#This Row],[SL Price]]),4))</f>
        <v>-0.5333</v>
      </c>
      <c r="BF22" s="4">
        <f>IF(AND((TABLE1[[#This Row],[Hard RRR Potential]])&gt;=2,(TABLE1[[#This Row],[Back to BE]])="True",(TABLE1[[#This Row],[Price Behaviour]])="Fast Reversal"), 2-(TABLE1[[#This Row],[Missed RRR on Entry]]),ROUND((TABLE1[[#This Row],[Exit Price]]-TABLE1[[#This Row],[Entry Price]])/(TABLE1[[#This Row],[Intended Entry]]-TABLE1[[#This Row],[SL Price]]),4))</f>
        <v>-0.5333</v>
      </c>
      <c r="BG22" s="48">
        <f>IF((TABLE1[[#This Row],[Pattern SL]])&lt;&gt;FALSE,((TABLE1[[#This Row],[Pattern SL]])-(TABLE1[[#This Row],[Entry Price]]))/((TABLE1[[#This Row],[Intended Entry]])-(TABLE1[[#This Row],[SL Price]])),ROUND((TABLE1[[#This Row],[Exit Price]]-TABLE1[[#This Row],[Entry Price]])/(TABLE1[[#This Row],[Intended Entry]]-TABLE1[[#This Row],[SL Price]]),4))</f>
        <v>-0.5333</v>
      </c>
      <c r="BH2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-0.53333333333333144</v>
      </c>
      <c r="BI2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-0.5333</v>
      </c>
      <c r="BJ22" s="21">
        <f>IF( TABLE1[[#This Row],[Wick Exit]]&lt;&gt; FALSE,TABLE1[[#This Row],[RRR Wick Exit]],IF(TABLE1[[#This Row],[Volume Exit]]&lt;&gt; FALSE,TABLE1[[#This Row],[RRR Volume Exit]],TABLE1[[#This Row],[RRR Realized]]))</f>
        <v>-0.53333333333333144</v>
      </c>
      <c r="BK22"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-0.53333333333333144</v>
      </c>
      <c r="BL22" s="4">
        <f>IF(OR(AND(TABLE1[[#This Row],[Hard RRR Potential]]&gt;=2.5,TABLE1[[#This Row],[Volume Exit]]=FALSE,TABLE1[[#This Row],[Wick Exit]]=FALSE),AND(TABLE1[[#This Row],[Hard RRR Potential]]&gt;=2.5,TABLE1[[#This Row],[Volume Exit RRR Reach]]&gt;=2.5,TABLE1[[#This Row],[Wick Exit]]=FALSE)), 2.5-TABLE1[[#This Row],[Missed RRR on Entry]],TABLE1[[#This Row],[RRR Realized]])</f>
        <v>-0.5333</v>
      </c>
      <c r="BM22" s="4">
        <f>IF(OR(AND(TABLE1[[#This Row],[Hard RRR Potential]]&gt;=3,TABLE1[[#This Row],[Volume Exit]]=FALSE,TABLE1[[#This Row],[Wick Exit]]=FALSE),AND(TABLE1[[#This Row],[Hard RRR Potential]]&gt;=3,TABLE1[[#This Row],[Volume Exit RRR Reach]]&gt;=3,TABLE1[[#This Row],[Wick Exit]]=FALSE)), 3-TABLE1[[#This Row],[Missed RRR on Entry]],TABLE1[[#This Row],[RRR Realized]])</f>
        <v>-0.5333</v>
      </c>
      <c r="BN22" s="4"/>
      <c r="BO22" s="4"/>
    </row>
    <row r="23" spans="1:67" x14ac:dyDescent="0.45">
      <c r="A23" t="s">
        <v>218</v>
      </c>
      <c r="B23">
        <v>22</v>
      </c>
      <c r="C23" s="2">
        <v>43566</v>
      </c>
      <c r="D23" s="1">
        <v>0.42430555555555555</v>
      </c>
      <c r="E23" s="1">
        <v>0.44375000000000003</v>
      </c>
      <c r="F23" s="4">
        <v>3.08</v>
      </c>
      <c r="G23" s="4">
        <v>250</v>
      </c>
      <c r="H23" s="15">
        <v>500</v>
      </c>
      <c r="I23" t="s">
        <v>18</v>
      </c>
      <c r="J23" t="s">
        <v>21</v>
      </c>
      <c r="K23">
        <v>3.3</v>
      </c>
      <c r="L23">
        <v>3.29</v>
      </c>
      <c r="M23">
        <v>3.1</v>
      </c>
      <c r="N23">
        <v>3.8</v>
      </c>
      <c r="O23">
        <v>4</v>
      </c>
      <c r="P23">
        <v>3.2</v>
      </c>
      <c r="Q23">
        <v>3.5</v>
      </c>
      <c r="R23">
        <v>4</v>
      </c>
      <c r="S23" t="b">
        <v>0</v>
      </c>
      <c r="T23" t="b">
        <v>0</v>
      </c>
      <c r="U23" t="b">
        <v>1</v>
      </c>
      <c r="W23" t="b">
        <v>0</v>
      </c>
      <c r="Z23" t="b">
        <v>0</v>
      </c>
      <c r="AA23" t="b">
        <v>0</v>
      </c>
      <c r="AB23" t="s">
        <v>27</v>
      </c>
      <c r="AC23" t="s">
        <v>30</v>
      </c>
      <c r="AD23" t="s">
        <v>39</v>
      </c>
      <c r="AE23">
        <v>281</v>
      </c>
      <c r="AG23">
        <v>1</v>
      </c>
      <c r="AH23" t="s">
        <v>18</v>
      </c>
      <c r="AI23">
        <v>3.27</v>
      </c>
      <c r="AJ23" t="s">
        <v>135</v>
      </c>
      <c r="AK23" t="s">
        <v>181</v>
      </c>
      <c r="AL23">
        <v>3.66</v>
      </c>
      <c r="AM23">
        <v>-0.3</v>
      </c>
      <c r="AN23">
        <v>0.38</v>
      </c>
      <c r="AO23" s="22" t="s">
        <v>220</v>
      </c>
      <c r="AP23" s="4">
        <f>IF(TABLE1[[#This Row],[Buy/Sell]]="BUY",(TABLE1[[#This Row],[Highest Price]]-TABLE1[[#This Row],[Entry Price]])/(TABLE1[[#This Row],[Intended Entry]]-TABLE1[[#This Row],[SL Price]]),(TABLE1[[#This Row],[Entry Price]]-TABLE1[[#This Row],[Lowest Price]])/(TABLE1[[#This Row],[SL Price]]-TABLE1[[#This Row],[Intended Entry]]))</f>
        <v>3.5500000000000047</v>
      </c>
      <c r="AQ23" s="19">
        <f>IF(TABLE1[[#This Row],[Buy/Sell]]="BUY",(TABLE1[[#This Row],[Entry Price]]-TABLE1[[#This Row],[Lowest Price]])/(TABLE1[[#This Row],[SL Price]]-TABLE1[[#This Row],[Intended Entry]]),(TABLE1[[#This Row],[Entry Price]]-TABLE1[[#This Row],[Highest Price]])/(TABLE1[[#This Row],[SL Price]]-TABLE1[[#This Row],[Intended Entry]]))</f>
        <v>-0.4499999999999999</v>
      </c>
      <c r="AR23" s="4" t="str">
        <f>IF(AND(TABLE1[[#This Row],[RRR Realized]]&lt;0.5,TABLE1[[#This Row],[RRR Realized]]&gt;-0.6),"BE",IF(TABLE1[[#This Row],[Gain/Loss]]&lt;0, "LOSER", "WINNER"))</f>
        <v>WINNER</v>
      </c>
      <c r="AS23" s="4">
        <f>TABLE1[[#This Row],[Gain/Loss]]-TABLE1[[#This Row],[Comissions]]</f>
        <v>246.92</v>
      </c>
      <c r="AT23" s="3">
        <f>TABLE1[[#This Row],[Exit Time]]-TABLE1[[#This Row],[Entry Time]]</f>
        <v>1.9444444444444486E-2</v>
      </c>
      <c r="AU23" s="4">
        <f>TABLE1[[#This Row],[Net Gain/Loss]]+AU22</f>
        <v>746.83889999999997</v>
      </c>
      <c r="AV23" s="4">
        <f>IF(TABLE1[[#This Row],[Potential Price Before BE]]=FALSE,"FALSE",( TABLE1[[#This Row],[Potential Price Before BE]]-TABLE1[[#This Row],[Intended Entry]])/(TABLE1[[#This Row],[Intended Entry]]-TABLE1[[#This Row],[SL Price]]))</f>
        <v>1.0000000000000022</v>
      </c>
      <c r="AW23" s="4">
        <f>(IF(TABLE1[[#This Row],[Buy/Sell]]="BUY",(TABLE1[[#This Row],[Entry Price]]-TABLE1[[#This Row],[SL Price]])/(TABLE1[[#This Row],[Intended Entry]]-TABLE1[[#This Row],[SL Price]]),(TABLE1[[#This Row],[SL Price]]-TABLE1[[#This Row],[Entry Price]])/(TABLE1[[#This Row],[SL Price]]-TABLE1[[#This Row],[Intended Entry]])))-1</f>
        <v>-4.9999999999999045E-2</v>
      </c>
      <c r="AX23" s="19">
        <f>TABLE1[[#This Row],[Missed RRR on Entry]]</f>
        <v>-4.9999999999999045E-2</v>
      </c>
      <c r="AY23" s="19">
        <f>ROUND((TABLE1[[#This Row],[Potential Price]]-TABLE1[[#This Row],[Entry Price]])/(TABLE1[[#This Row],[Intended Entry]]-TABLE1[[#This Row],[SL Price]]),4)</f>
        <v>3.55</v>
      </c>
      <c r="AZ23" s="19">
        <f>ROUND((TABLE1[[#This Row],[Potential Price]]-TABLE1[[#This Row],[Intended Entry]])/(TABLE1[[#This Row],[Intended Entry]]-TABLE1[[#This Row],[SL Price]]),4)</f>
        <v>3.5</v>
      </c>
      <c r="BA23" s="19">
        <f>TABLE1[[#This Row],[RRR Potential]]-TABLE1[[#This Row],[RRR Realized]]</f>
        <v>1</v>
      </c>
      <c r="BB23" s="25">
        <f>ROUND((TABLE1[[#This Row],[Exit Price]]-TABLE1[[#This Row],[Entry Price]])/(TABLE1[[#This Row],[Intended Entry]]-TABLE1[[#This Row],[SL Price]]),4)</f>
        <v>2.5499999999999998</v>
      </c>
      <c r="BC23" s="4">
        <f>IF(AND((TABLE1[[#This Row],[Back to BE]])=TRUE,(TABLE1[[#This Row],[Price Behaviour]])="Fast Reversal"), 0-(TABLE1[[#This Row],[Missed RRR on Entry]]),ROUND((TABLE1[[#This Row],[Exit Price]]-TABLE1[[#This Row],[Entry Price]])/(TABLE1[[#This Row],[Intended Entry]]-TABLE1[[#This Row],[SL Price]]),4))</f>
        <v>2.5499999999999998</v>
      </c>
      <c r="BD23" s="4">
        <f>IF(AND((TABLE1[[#This Row],[Hard RRR Potential]])&gt;=1,(TABLE1[[#This Row],[Back to BE]])="True",(TABLE1[[#This Row],[Price Behaviour]])="Fast Reversal"), 1-(TABLE1[[#This Row],[Missed RRR on Entry]]),ROUND((TABLE1[[#This Row],[Exit Price]]-TABLE1[[#This Row],[Entry Price]])/(TABLE1[[#This Row],[Intended Entry]]-TABLE1[[#This Row],[SL Price]]),4))</f>
        <v>2.5499999999999998</v>
      </c>
      <c r="BE23" s="4">
        <f>IF(AND((TABLE1[[#This Row],[Hard RRR Potential]])&gt;=1.5,(TABLE1[[#This Row],[Back to BE]])="True",(TABLE1[[#This Row],[Price Behaviour]])="Fast Reversal"), 1.5-(TABLE1[[#This Row],[Missed RRR on Entry]]),ROUND((TABLE1[[#This Row],[Exit Price]]-TABLE1[[#This Row],[Entry Price]])/(TABLE1[[#This Row],[Intended Entry]]-TABLE1[[#This Row],[SL Price]]),4))</f>
        <v>2.5499999999999998</v>
      </c>
      <c r="BF23" s="4">
        <f>IF(AND((TABLE1[[#This Row],[Hard RRR Potential]])&gt;=2,(TABLE1[[#This Row],[Back to BE]])="True",(TABLE1[[#This Row],[Price Behaviour]])="Fast Reversal"), 2-(TABLE1[[#This Row],[Missed RRR on Entry]]),ROUND((TABLE1[[#This Row],[Exit Price]]-TABLE1[[#This Row],[Entry Price]])/(TABLE1[[#This Row],[Intended Entry]]-TABLE1[[#This Row],[SL Price]]),4))</f>
        <v>2.5499999999999998</v>
      </c>
      <c r="BG23" s="48">
        <f>IF((TABLE1[[#This Row],[Pattern SL]])&lt;&gt;FALSE,((TABLE1[[#This Row],[Pattern SL]])-(TABLE1[[#This Row],[Entry Price]]))/((TABLE1[[#This Row],[Intended Entry]])-(TABLE1[[#This Row],[SL Price]])),ROUND((TABLE1[[#This Row],[Exit Price]]-TABLE1[[#This Row],[Entry Price]])/(TABLE1[[#This Row],[Intended Entry]]-TABLE1[[#This Row],[SL Price]]),4))</f>
        <v>2.5499999999999998</v>
      </c>
      <c r="BH2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2.5499999999999998</v>
      </c>
      <c r="BI2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2.5499999999999998</v>
      </c>
      <c r="BJ23" s="21">
        <f>IF( TABLE1[[#This Row],[Wick Exit]]&lt;&gt; FALSE,TABLE1[[#This Row],[RRR Wick Exit]],IF(TABLE1[[#This Row],[Volume Exit]]&lt;&gt; FALSE,TABLE1[[#This Row],[RRR Volume Exit]],TABLE1[[#This Row],[RRR Realized]]))</f>
        <v>2.5499999999999998</v>
      </c>
      <c r="BK2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2.5499999999999998</v>
      </c>
      <c r="BL23" s="4">
        <f>IF(OR(AND(TABLE1[[#This Row],[Hard RRR Potential]]&gt;=2.5,TABLE1[[#This Row],[Volume Exit]]=FALSE,TABLE1[[#This Row],[Wick Exit]]=FALSE),AND(TABLE1[[#This Row],[Hard RRR Potential]]&gt;=2.5,TABLE1[[#This Row],[Volume Exit RRR Reach]]&gt;=2.5,TABLE1[[#This Row],[Wick Exit]]=FALSE)), 2.5-TABLE1[[#This Row],[Missed RRR on Entry]],TABLE1[[#This Row],[RRR Realized]])</f>
        <v>2.5499999999999989</v>
      </c>
      <c r="BM23" s="4">
        <f>IF(OR(AND(TABLE1[[#This Row],[Hard RRR Potential]]&gt;=3,TABLE1[[#This Row],[Volume Exit]]=FALSE,TABLE1[[#This Row],[Wick Exit]]=FALSE),AND(TABLE1[[#This Row],[Hard RRR Potential]]&gt;=3,TABLE1[[#This Row],[Volume Exit RRR Reach]]&gt;=3,TABLE1[[#This Row],[Wick Exit]]=FALSE)), 3-TABLE1[[#This Row],[Missed RRR on Entry]],TABLE1[[#This Row],[RRR Realized]])</f>
        <v>3.0499999999999989</v>
      </c>
      <c r="BN23" s="4"/>
      <c r="BO23" s="4"/>
    </row>
    <row r="24" spans="1:67" x14ac:dyDescent="0.45">
      <c r="A24" t="s">
        <v>218</v>
      </c>
      <c r="B24">
        <v>23</v>
      </c>
      <c r="C24" s="2">
        <v>43566</v>
      </c>
      <c r="D24" s="1">
        <v>0.44305555555555554</v>
      </c>
      <c r="E24" s="1">
        <v>0.45902777777777781</v>
      </c>
      <c r="F24" s="4">
        <v>3.08</v>
      </c>
      <c r="G24" s="4">
        <v>25</v>
      </c>
      <c r="H24" s="15">
        <v>500</v>
      </c>
      <c r="I24" t="s">
        <v>18</v>
      </c>
      <c r="J24" t="s">
        <v>21</v>
      </c>
      <c r="K24">
        <v>3.44</v>
      </c>
      <c r="L24">
        <v>3.44</v>
      </c>
      <c r="M24">
        <v>3.24</v>
      </c>
      <c r="N24">
        <v>3.48</v>
      </c>
      <c r="O24">
        <v>4</v>
      </c>
      <c r="P24">
        <v>3.44</v>
      </c>
      <c r="Q24">
        <v>4</v>
      </c>
      <c r="R24">
        <v>4</v>
      </c>
      <c r="S24" t="b">
        <v>0</v>
      </c>
      <c r="T24" t="b">
        <v>0</v>
      </c>
      <c r="U24" t="b">
        <v>0</v>
      </c>
      <c r="W24">
        <v>3.48</v>
      </c>
      <c r="X24">
        <v>2.8</v>
      </c>
      <c r="Y24" t="b">
        <v>0</v>
      </c>
      <c r="Z24" t="b">
        <v>0</v>
      </c>
      <c r="AA24" t="b">
        <v>0</v>
      </c>
      <c r="AB24" t="s">
        <v>25</v>
      </c>
      <c r="AC24" t="s">
        <v>28</v>
      </c>
      <c r="AD24" t="s">
        <v>39</v>
      </c>
      <c r="AE24">
        <v>281</v>
      </c>
      <c r="AG24">
        <v>1</v>
      </c>
      <c r="AH24" t="s">
        <v>319</v>
      </c>
      <c r="AI24">
        <v>3.29</v>
      </c>
      <c r="AJ24" t="s">
        <v>135</v>
      </c>
      <c r="AK24" t="s">
        <v>167</v>
      </c>
      <c r="AL24">
        <v>3.66</v>
      </c>
      <c r="AM24">
        <v>-0.3</v>
      </c>
      <c r="AN24">
        <v>0.38</v>
      </c>
      <c r="AO24" s="22" t="s">
        <v>220</v>
      </c>
      <c r="AP24" s="4">
        <f>IF(TABLE1[[#This Row],[Buy/Sell]]="BUY",(TABLE1[[#This Row],[Highest Price]]-TABLE1[[#This Row],[Entry Price]])/(TABLE1[[#This Row],[Intended Entry]]-TABLE1[[#This Row],[SL Price]]),(TABLE1[[#This Row],[Entry Price]]-TABLE1[[#This Row],[Lowest Price]])/(TABLE1[[#This Row],[SL Price]]-TABLE1[[#This Row],[Intended Entry]]))</f>
        <v>2.8000000000000038</v>
      </c>
      <c r="AQ24" s="19">
        <f>IF(TABLE1[[#This Row],[Buy/Sell]]="BUY",(TABLE1[[#This Row],[Entry Price]]-TABLE1[[#This Row],[Lowest Price]])/(TABLE1[[#This Row],[SL Price]]-TABLE1[[#This Row],[Intended Entry]]),(TABLE1[[#This Row],[Entry Price]]-TABLE1[[#This Row],[Highest Price]])/(TABLE1[[#This Row],[SL Price]]-TABLE1[[#This Row],[Intended Entry]]))</f>
        <v>0</v>
      </c>
      <c r="AR24" s="4" t="str">
        <f>IF(AND(TABLE1[[#This Row],[RRR Realized]]&lt;0.5,TABLE1[[#This Row],[RRR Realized]]&gt;-0.6),"BE",IF(TABLE1[[#This Row],[Gain/Loss]]&lt;0, "LOSER", "WINNER"))</f>
        <v>BE</v>
      </c>
      <c r="AS24" s="4">
        <f>TABLE1[[#This Row],[Gain/Loss]]-TABLE1[[#This Row],[Comissions]]</f>
        <v>21.92</v>
      </c>
      <c r="AT24" s="3">
        <f>TABLE1[[#This Row],[Exit Time]]-TABLE1[[#This Row],[Entry Time]]</f>
        <v>1.5972222222222276E-2</v>
      </c>
      <c r="AU24" s="4">
        <f>TABLE1[[#This Row],[Net Gain/Loss]]+AU23</f>
        <v>768.75889999999993</v>
      </c>
      <c r="AV24" s="4">
        <f>IF(TABLE1[[#This Row],[Potential Price Before BE]]=FALSE,"FALSE",( TABLE1[[#This Row],[Potential Price Before BE]]-TABLE1[[#This Row],[Intended Entry]])/(TABLE1[[#This Row],[Intended Entry]]-TABLE1[[#This Row],[SL Price]]))</f>
        <v>2.8000000000000038</v>
      </c>
      <c r="AW24" s="4">
        <f>(IF(TABLE1[[#This Row],[Buy/Sell]]="BUY",(TABLE1[[#This Row],[Entry Price]]-TABLE1[[#This Row],[SL Price]])/(TABLE1[[#This Row],[Intended Entry]]-TABLE1[[#This Row],[SL Price]]),(TABLE1[[#This Row],[SL Price]]-TABLE1[[#This Row],[Entry Price]])/(TABLE1[[#This Row],[SL Price]]-TABLE1[[#This Row],[Intended Entry]])))-1</f>
        <v>0</v>
      </c>
      <c r="AX24" s="19">
        <f>TABLE1[[#This Row],[Missed RRR on Entry]]</f>
        <v>0</v>
      </c>
      <c r="AY24" s="19">
        <f>ROUND((TABLE1[[#This Row],[Potential Price]]-TABLE1[[#This Row],[Entry Price]])/(TABLE1[[#This Row],[Intended Entry]]-TABLE1[[#This Row],[SL Price]]),4)</f>
        <v>2.8</v>
      </c>
      <c r="AZ24" s="19">
        <f>ROUND((TABLE1[[#This Row],[Potential Price]]-TABLE1[[#This Row],[Intended Entry]])/(TABLE1[[#This Row],[Intended Entry]]-TABLE1[[#This Row],[SL Price]]),4)</f>
        <v>2.8</v>
      </c>
      <c r="BA24" s="19">
        <f>TABLE1[[#This Row],[RRR Potential]]-TABLE1[[#This Row],[RRR Realized]]</f>
        <v>2.5999999999999996</v>
      </c>
      <c r="BB24" s="25">
        <f>ROUND((TABLE1[[#This Row],[Exit Price]]-TABLE1[[#This Row],[Entry Price]])/(TABLE1[[#This Row],[Intended Entry]]-TABLE1[[#This Row],[SL Price]]),4)</f>
        <v>0.2</v>
      </c>
      <c r="BC24" s="4">
        <f>IF(AND((TABLE1[[#This Row],[Back to BE]])=TRUE,(TABLE1[[#This Row],[Price Behaviour]])="Fast Reversal"), 0-(TABLE1[[#This Row],[Missed RRR on Entry]]),ROUND((TABLE1[[#This Row],[Exit Price]]-TABLE1[[#This Row],[Entry Price]])/(TABLE1[[#This Row],[Intended Entry]]-TABLE1[[#This Row],[SL Price]]),4))</f>
        <v>0.2</v>
      </c>
      <c r="BD24" s="4">
        <f>IF(AND((TABLE1[[#This Row],[Hard RRR Potential]])&gt;=1,(TABLE1[[#This Row],[Back to BE]])="True",(TABLE1[[#This Row],[Price Behaviour]])="Fast Reversal"), 1-(TABLE1[[#This Row],[Missed RRR on Entry]]),ROUND((TABLE1[[#This Row],[Exit Price]]-TABLE1[[#This Row],[Entry Price]])/(TABLE1[[#This Row],[Intended Entry]]-TABLE1[[#This Row],[SL Price]]),4))</f>
        <v>0.2</v>
      </c>
      <c r="BE24" s="4">
        <f>IF(AND((TABLE1[[#This Row],[Hard RRR Potential]])&gt;=1.5,(TABLE1[[#This Row],[Back to BE]])="True",(TABLE1[[#This Row],[Price Behaviour]])="Fast Reversal"), 1.5-(TABLE1[[#This Row],[Missed RRR on Entry]]),ROUND((TABLE1[[#This Row],[Exit Price]]-TABLE1[[#This Row],[Entry Price]])/(TABLE1[[#This Row],[Intended Entry]]-TABLE1[[#This Row],[SL Price]]),4))</f>
        <v>0.2</v>
      </c>
      <c r="BF24" s="4">
        <f>IF(AND((TABLE1[[#This Row],[Hard RRR Potential]])&gt;=2,(TABLE1[[#This Row],[Back to BE]])="True",(TABLE1[[#This Row],[Price Behaviour]])="Fast Reversal"), 2-(TABLE1[[#This Row],[Missed RRR on Entry]]),ROUND((TABLE1[[#This Row],[Exit Price]]-TABLE1[[#This Row],[Entry Price]])/(TABLE1[[#This Row],[Intended Entry]]-TABLE1[[#This Row],[SL Price]]),4))</f>
        <v>0.2</v>
      </c>
      <c r="BG24" s="48">
        <f>IF((TABLE1[[#This Row],[Pattern SL]])&lt;&gt;FALSE,((TABLE1[[#This Row],[Pattern SL]])-(TABLE1[[#This Row],[Entry Price]]))/((TABLE1[[#This Row],[Intended Entry]])-(TABLE1[[#This Row],[SL Price]])),ROUND((TABLE1[[#This Row],[Exit Price]]-TABLE1[[#This Row],[Entry Price]])/(TABLE1[[#This Row],[Intended Entry]]-TABLE1[[#This Row],[SL Price]]),4))</f>
        <v>0.2</v>
      </c>
      <c r="BH2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0.20000000000000046</v>
      </c>
      <c r="BI2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J24" s="21">
        <f>IF( TABLE1[[#This Row],[Wick Exit]]&lt;&gt; FALSE,TABLE1[[#This Row],[RRR Wick Exit]],IF(TABLE1[[#This Row],[Volume Exit]]&lt;&gt; FALSE,TABLE1[[#This Row],[RRR Volume Exit]],TABLE1[[#This Row],[RRR Realized]]))</f>
        <v>0.20000000000000046</v>
      </c>
      <c r="BK2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v>
      </c>
      <c r="BL24"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M24" s="4">
        <f>IF(OR(AND(TABLE1[[#This Row],[Hard RRR Potential]]&gt;=3,TABLE1[[#This Row],[Volume Exit]]=FALSE,TABLE1[[#This Row],[Wick Exit]]=FALSE),AND(TABLE1[[#This Row],[Hard RRR Potential]]&gt;=3,TABLE1[[#This Row],[Volume Exit RRR Reach]]&gt;=3,TABLE1[[#This Row],[Wick Exit]]=FALSE)), 3-TABLE1[[#This Row],[Missed RRR on Entry]],TABLE1[[#This Row],[RRR Realized]])</f>
        <v>0.2</v>
      </c>
      <c r="BN24" s="4"/>
      <c r="BO24" s="4"/>
    </row>
    <row r="25" spans="1:67" x14ac:dyDescent="0.45">
      <c r="A25" t="s">
        <v>231</v>
      </c>
      <c r="B25">
        <v>24</v>
      </c>
      <c r="C25" s="2">
        <v>43570</v>
      </c>
      <c r="D25" s="1">
        <v>0.40486111111111112</v>
      </c>
      <c r="E25" s="1">
        <v>0.41041666666666665</v>
      </c>
      <c r="F25" s="4">
        <v>6.1</v>
      </c>
      <c r="G25" s="4">
        <f>-128</f>
        <v>-128</v>
      </c>
      <c r="H25" s="15">
        <v>714</v>
      </c>
      <c r="I25" t="s">
        <v>18</v>
      </c>
      <c r="J25" t="s">
        <v>21</v>
      </c>
      <c r="K25">
        <v>3.13</v>
      </c>
      <c r="L25">
        <v>3.14</v>
      </c>
      <c r="M25">
        <v>2.99</v>
      </c>
      <c r="N25">
        <v>2.96</v>
      </c>
      <c r="O25">
        <v>3.24</v>
      </c>
      <c r="P25">
        <v>2.96</v>
      </c>
      <c r="Q25">
        <v>3.24</v>
      </c>
      <c r="R25">
        <v>3.24</v>
      </c>
      <c r="S25" t="b">
        <v>0</v>
      </c>
      <c r="T25" t="b">
        <v>0</v>
      </c>
      <c r="U25" t="b">
        <v>0</v>
      </c>
      <c r="V25" t="b">
        <v>0</v>
      </c>
      <c r="W25" t="b">
        <v>0</v>
      </c>
      <c r="Z25">
        <v>3.1</v>
      </c>
      <c r="AA25" t="b">
        <v>0</v>
      </c>
      <c r="AB25" t="s">
        <v>24</v>
      </c>
      <c r="AC25" t="s">
        <v>28</v>
      </c>
      <c r="AD25" t="s">
        <v>33</v>
      </c>
      <c r="AE25">
        <v>200</v>
      </c>
      <c r="AF25">
        <v>27</v>
      </c>
      <c r="AG25">
        <v>1</v>
      </c>
      <c r="AH25" t="b">
        <v>0</v>
      </c>
      <c r="AI25">
        <v>2.9</v>
      </c>
      <c r="AJ25" t="s">
        <v>135</v>
      </c>
      <c r="AK25" t="s">
        <v>167</v>
      </c>
      <c r="AL25">
        <v>9.3000000000000007</v>
      </c>
      <c r="AM25">
        <v>-0.28000000000000003</v>
      </c>
      <c r="AN25">
        <v>10.94</v>
      </c>
      <c r="AO25" s="22" t="s">
        <v>232</v>
      </c>
      <c r="AP25" s="4">
        <f>IF(TABLE1[[#This Row],[Buy/Sell]]="BUY",(TABLE1[[#This Row],[Highest Price]]-TABLE1[[#This Row],[Entry Price]])/(TABLE1[[#This Row],[Intended Entry]]-TABLE1[[#This Row],[SL Price]]),(TABLE1[[#This Row],[Entry Price]]-TABLE1[[#This Row],[Lowest Price]])/(TABLE1[[#This Row],[SL Price]]-TABLE1[[#This Row],[Intended Entry]]))</f>
        <v>0.71428571428571652</v>
      </c>
      <c r="AQ25" s="19">
        <f>IF(TABLE1[[#This Row],[Buy/Sell]]="BUY",(TABLE1[[#This Row],[Entry Price]]-TABLE1[[#This Row],[Lowest Price]])/(TABLE1[[#This Row],[SL Price]]-TABLE1[[#This Row],[Intended Entry]]),(TABLE1[[#This Row],[Entry Price]]-TABLE1[[#This Row],[Highest Price]])/(TABLE1[[#This Row],[SL Price]]-TABLE1[[#This Row],[Intended Entry]]))</f>
        <v>-1.2857142857142898</v>
      </c>
      <c r="AR25" s="4" t="str">
        <f>IF(AND(TABLE1[[#This Row],[RRR Realized]]&lt;0.5,TABLE1[[#This Row],[RRR Realized]]&gt;-0.6),"BE",IF(TABLE1[[#This Row],[Gain/Loss]]&lt;0, "LOSER", "WINNER"))</f>
        <v>LOSER</v>
      </c>
      <c r="AS25" s="4">
        <f>TABLE1[[#This Row],[Gain/Loss]]-TABLE1[[#This Row],[Comissions]]</f>
        <v>-134.1</v>
      </c>
      <c r="AT25" s="3">
        <f>TABLE1[[#This Row],[Exit Time]]-TABLE1[[#This Row],[Entry Time]]</f>
        <v>5.5555555555555358E-3</v>
      </c>
      <c r="AU25" s="4">
        <f>TABLE1[[#This Row],[Net Gain/Loss]]+AU24</f>
        <v>634.6588999999999</v>
      </c>
      <c r="AV25" s="4">
        <f>IF(TABLE1[[#This Row],[Potential Price Before BE]]=FALSE,"FALSE",( TABLE1[[#This Row],[Potential Price Before BE]]-TABLE1[[#This Row],[Intended Entry]])/(TABLE1[[#This Row],[Intended Entry]]-TABLE1[[#This Row],[SL Price]]))</f>
        <v>0.78571428571428981</v>
      </c>
      <c r="AW25" s="4">
        <f>(IF(TABLE1[[#This Row],[Buy/Sell]]="BUY",(TABLE1[[#This Row],[Entry Price]]-TABLE1[[#This Row],[SL Price]])/(TABLE1[[#This Row],[Intended Entry]]-TABLE1[[#This Row],[SL Price]]),(TABLE1[[#This Row],[SL Price]]-TABLE1[[#This Row],[Entry Price]])/(TABLE1[[#This Row],[SL Price]]-TABLE1[[#This Row],[Intended Entry]])))-1</f>
        <v>7.1428571428573173E-2</v>
      </c>
      <c r="AX25" s="19">
        <f>TABLE1[[#This Row],[Missed RRR on Entry]]</f>
        <v>7.1428571428573173E-2</v>
      </c>
      <c r="AY25" s="19">
        <f>ROUND((TABLE1[[#This Row],[Potential Price]]-TABLE1[[#This Row],[Entry Price]])/(TABLE1[[#This Row],[Intended Entry]]-TABLE1[[#This Row],[SL Price]]),4)</f>
        <v>0.71430000000000005</v>
      </c>
      <c r="AZ25" s="19">
        <f>ROUND((TABLE1[[#This Row],[Potential Price]]-TABLE1[[#This Row],[Intended Entry]])/(TABLE1[[#This Row],[Intended Entry]]-TABLE1[[#This Row],[SL Price]]),4)</f>
        <v>0.78569999999999995</v>
      </c>
      <c r="BA25" s="19">
        <f>TABLE1[[#This Row],[RRR Potential]]-TABLE1[[#This Row],[RRR Realized]]</f>
        <v>2</v>
      </c>
      <c r="BB25" s="25">
        <f>ROUND((TABLE1[[#This Row],[Exit Price]]-TABLE1[[#This Row],[Entry Price]])/(TABLE1[[#This Row],[Intended Entry]]-TABLE1[[#This Row],[SL Price]]),4)</f>
        <v>-1.2857000000000001</v>
      </c>
      <c r="BC25" s="4">
        <f>IF(AND((TABLE1[[#This Row],[Back to BE]])=TRUE,(TABLE1[[#This Row],[Price Behaviour]])="Fast Reversal"), 0-(TABLE1[[#This Row],[Missed RRR on Entry]]),ROUND((TABLE1[[#This Row],[Exit Price]]-TABLE1[[#This Row],[Entry Price]])/(TABLE1[[#This Row],[Intended Entry]]-TABLE1[[#This Row],[SL Price]]),4))</f>
        <v>-1.2857000000000001</v>
      </c>
      <c r="BD25" s="4">
        <f>IF(AND((TABLE1[[#This Row],[Hard RRR Potential]])&gt;=1,(TABLE1[[#This Row],[Back to BE]])="True",(TABLE1[[#This Row],[Price Behaviour]])="Fast Reversal"), 1-(TABLE1[[#This Row],[Missed RRR on Entry]]),ROUND((TABLE1[[#This Row],[Exit Price]]-TABLE1[[#This Row],[Entry Price]])/(TABLE1[[#This Row],[Intended Entry]]-TABLE1[[#This Row],[SL Price]]),4))</f>
        <v>-1.2857000000000001</v>
      </c>
      <c r="BE25" s="4">
        <f>IF(AND((TABLE1[[#This Row],[Hard RRR Potential]])&gt;=1.5,(TABLE1[[#This Row],[Back to BE]])="True",(TABLE1[[#This Row],[Price Behaviour]])="Fast Reversal"), 1.5-(TABLE1[[#This Row],[Missed RRR on Entry]]),ROUND((TABLE1[[#This Row],[Exit Price]]-TABLE1[[#This Row],[Entry Price]])/(TABLE1[[#This Row],[Intended Entry]]-TABLE1[[#This Row],[SL Price]]),4))</f>
        <v>-1.2857000000000001</v>
      </c>
      <c r="BF25" s="4">
        <f>IF(AND((TABLE1[[#This Row],[Hard RRR Potential]])&gt;=2,(TABLE1[[#This Row],[Back to BE]])="True",(TABLE1[[#This Row],[Price Behaviour]])="Fast Reversal"), 2-(TABLE1[[#This Row],[Missed RRR on Entry]]),ROUND((TABLE1[[#This Row],[Exit Price]]-TABLE1[[#This Row],[Entry Price]])/(TABLE1[[#This Row],[Intended Entry]]-TABLE1[[#This Row],[SL Price]]),4))</f>
        <v>-1.2857000000000001</v>
      </c>
      <c r="BG25" s="48">
        <f>IF((TABLE1[[#This Row],[Pattern SL]])&lt;&gt;FALSE,((TABLE1[[#This Row],[Pattern SL]])-(TABLE1[[#This Row],[Entry Price]]))/((TABLE1[[#This Row],[Intended Entry]])-(TABLE1[[#This Row],[SL Price]])),ROUND((TABLE1[[#This Row],[Exit Price]]-TABLE1[[#This Row],[Entry Price]])/(TABLE1[[#This Row],[Intended Entry]]-TABLE1[[#This Row],[SL Price]]),4))</f>
        <v>-1.2857000000000001</v>
      </c>
      <c r="BH2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-1.2857000000000001</v>
      </c>
      <c r="BI2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-1.2857000000000001</v>
      </c>
      <c r="BJ25" s="21">
        <f>IF( TABLE1[[#This Row],[Wick Exit]]&lt;&gt; FALSE,TABLE1[[#This Row],[RRR Wick Exit]],IF(TABLE1[[#This Row],[Volume Exit]]&lt;&gt; FALSE,TABLE1[[#This Row],[RRR Volume Exit]],TABLE1[[#This Row],[RRR Realized]]))</f>
        <v>-1.2857000000000001</v>
      </c>
      <c r="BK2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-0.28571428571428664</v>
      </c>
      <c r="BL25" s="4">
        <f>IF(OR(AND(TABLE1[[#This Row],[Hard RRR Potential]]&gt;=2.5,TABLE1[[#This Row],[Volume Exit]]=FALSE,TABLE1[[#This Row],[Wick Exit]]=FALSE),AND(TABLE1[[#This Row],[Hard RRR Potential]]&gt;=2.5,TABLE1[[#This Row],[Volume Exit RRR Reach]]&gt;=2.5,TABLE1[[#This Row],[Wick Exit]]=FALSE)), 2.5-TABLE1[[#This Row],[Missed RRR on Entry]],TABLE1[[#This Row],[RRR Realized]])</f>
        <v>-1.2857000000000001</v>
      </c>
      <c r="BM25" s="4">
        <f>IF(OR(AND(TABLE1[[#This Row],[Hard RRR Potential]]&gt;=3,TABLE1[[#This Row],[Volume Exit]]=FALSE,TABLE1[[#This Row],[Wick Exit]]=FALSE),AND(TABLE1[[#This Row],[Hard RRR Potential]]&gt;=3,TABLE1[[#This Row],[Volume Exit RRR Reach]]&gt;=3,TABLE1[[#This Row],[Wick Exit]]=FALSE)), 3-TABLE1[[#This Row],[Missed RRR on Entry]],TABLE1[[#This Row],[RRR Realized]])</f>
        <v>-1.2857000000000001</v>
      </c>
    </row>
    <row r="26" spans="1:67" x14ac:dyDescent="0.45">
      <c r="A26" t="s">
        <v>233</v>
      </c>
      <c r="B26">
        <v>25</v>
      </c>
      <c r="C26" s="2">
        <v>43572</v>
      </c>
      <c r="D26" s="1">
        <v>0.41736111111111113</v>
      </c>
      <c r="E26" s="1">
        <v>0.4368055555555555</v>
      </c>
      <c r="F26" s="4">
        <v>12.67</v>
      </c>
      <c r="G26" s="4">
        <v>250</v>
      </c>
      <c r="H26" s="15">
        <v>1250</v>
      </c>
      <c r="I26" t="s">
        <v>18</v>
      </c>
      <c r="J26" t="s">
        <v>21</v>
      </c>
      <c r="K26">
        <v>0.77890000000000004</v>
      </c>
      <c r="L26">
        <v>0.78</v>
      </c>
      <c r="M26">
        <f>0.7789-0.08</f>
        <v>0.69890000000000008</v>
      </c>
      <c r="N26">
        <v>0.97889999999999999</v>
      </c>
      <c r="O26">
        <v>0.97889999999999999</v>
      </c>
      <c r="P26">
        <v>0.752</v>
      </c>
      <c r="Q26">
        <v>0.85</v>
      </c>
      <c r="R26">
        <v>1.01</v>
      </c>
      <c r="S26" t="b">
        <v>0</v>
      </c>
      <c r="T26" t="b">
        <v>0</v>
      </c>
      <c r="U26" t="b">
        <v>1</v>
      </c>
      <c r="W26" t="b">
        <v>0</v>
      </c>
      <c r="Z26" t="b">
        <v>0</v>
      </c>
      <c r="AA26" t="b">
        <v>0</v>
      </c>
      <c r="AB26" t="s">
        <v>27</v>
      </c>
      <c r="AC26" t="s">
        <v>28</v>
      </c>
      <c r="AD26" t="s">
        <v>196</v>
      </c>
      <c r="AE26">
        <v>385</v>
      </c>
      <c r="AG26">
        <v>1</v>
      </c>
      <c r="AH26" t="s">
        <v>18</v>
      </c>
      <c r="AI26">
        <v>0.73499999999999999</v>
      </c>
      <c r="AJ26" t="s">
        <v>135</v>
      </c>
      <c r="AK26" t="s">
        <v>181</v>
      </c>
      <c r="AL26">
        <v>12.09</v>
      </c>
      <c r="AM26">
        <v>-0.6</v>
      </c>
      <c r="AN26">
        <v>3.44</v>
      </c>
      <c r="AO26" s="22" t="s">
        <v>234</v>
      </c>
      <c r="AP26" s="4">
        <f>IF(TABLE1[[#This Row],[Buy/Sell]]="BUY",(TABLE1[[#This Row],[Highest Price]]-TABLE1[[#This Row],[Entry Price]])/(TABLE1[[#This Row],[Intended Entry]]-TABLE1[[#This Row],[SL Price]]),(TABLE1[[#This Row],[Entry Price]]-TABLE1[[#This Row],[Lowest Price]])/(TABLE1[[#This Row],[SL Price]]-TABLE1[[#This Row],[Intended Entry]]))</f>
        <v>2.486250000000001</v>
      </c>
      <c r="AQ26" s="19">
        <f>IF(TABLE1[[#This Row],[Buy/Sell]]="BUY",(TABLE1[[#This Row],[Entry Price]]-TABLE1[[#This Row],[Lowest Price]])/(TABLE1[[#This Row],[SL Price]]-TABLE1[[#This Row],[Intended Entry]]),(TABLE1[[#This Row],[Entry Price]]-TABLE1[[#This Row],[Highest Price]])/(TABLE1[[#This Row],[SL Price]]-TABLE1[[#This Row],[Intended Entry]]))</f>
        <v>-0.35000000000000048</v>
      </c>
      <c r="AR26" s="4" t="str">
        <f>IF(AND(TABLE1[[#This Row],[RRR Realized]]&lt;0.5,TABLE1[[#This Row],[RRR Realized]]&gt;-0.6),"BE",IF(TABLE1[[#This Row],[Gain/Loss]]&lt;0, "LOSER", "WINNER"))</f>
        <v>WINNER</v>
      </c>
      <c r="AS26" s="4">
        <f>TABLE1[[#This Row],[Gain/Loss]]-TABLE1[[#This Row],[Comissions]]</f>
        <v>237.33</v>
      </c>
      <c r="AT26" s="3">
        <f>TABLE1[[#This Row],[Exit Time]]-TABLE1[[#This Row],[Entry Time]]</f>
        <v>1.9444444444444375E-2</v>
      </c>
      <c r="AU26" s="4">
        <f>TABLE1[[#This Row],[Net Gain/Loss]]+AU25</f>
        <v>871.98889999999994</v>
      </c>
      <c r="AV26" s="4">
        <f>IF(TABLE1[[#This Row],[Potential Price Before BE]]=FALSE,"FALSE",( TABLE1[[#This Row],[Potential Price Before BE]]-TABLE1[[#This Row],[Intended Entry]])/(TABLE1[[#This Row],[Intended Entry]]-TABLE1[[#This Row],[SL Price]]))</f>
        <v>0.88874999999999971</v>
      </c>
      <c r="AW26" s="4">
        <f>(IF(TABLE1[[#This Row],[Buy/Sell]]="BUY",(TABLE1[[#This Row],[Entry Price]]-TABLE1[[#This Row],[SL Price]])/(TABLE1[[#This Row],[Intended Entry]]-TABLE1[[#This Row],[SL Price]]),(TABLE1[[#This Row],[SL Price]]-TABLE1[[#This Row],[Entry Price]])/(TABLE1[[#This Row],[SL Price]]-TABLE1[[#This Row],[Intended Entry]])))-1</f>
        <v>1.3749999999999929E-2</v>
      </c>
      <c r="AX26" s="19">
        <f>TABLE1[[#This Row],[Missed RRR on Entry]]</f>
        <v>1.3749999999999929E-2</v>
      </c>
      <c r="AY26" s="19">
        <f>ROUND((TABLE1[[#This Row],[Potential Price]]-TABLE1[[#This Row],[Entry Price]])/(TABLE1[[#This Row],[Intended Entry]]-TABLE1[[#This Row],[SL Price]]),4)</f>
        <v>2.875</v>
      </c>
      <c r="AZ26" s="19">
        <f>ROUND((TABLE1[[#This Row],[Potential Price]]-TABLE1[[#This Row],[Intended Entry]])/(TABLE1[[#This Row],[Intended Entry]]-TABLE1[[#This Row],[SL Price]]),4)</f>
        <v>2.8887999999999998</v>
      </c>
      <c r="BA26" s="19">
        <f>TABLE1[[#This Row],[RRR Potential]]-TABLE1[[#This Row],[RRR Realized]]</f>
        <v>0.38870000000000005</v>
      </c>
      <c r="BB26" s="25">
        <f>ROUND((TABLE1[[#This Row],[Exit Price]]-TABLE1[[#This Row],[Entry Price]])/(TABLE1[[#This Row],[Intended Entry]]-TABLE1[[#This Row],[SL Price]]),4)</f>
        <v>2.4863</v>
      </c>
      <c r="BC26" s="4">
        <f>IF(AND((TABLE1[[#This Row],[Back to BE]])=TRUE,(TABLE1[[#This Row],[Price Behaviour]])="Fast Reversal"), 0-(TABLE1[[#This Row],[Missed RRR on Entry]]),ROUND((TABLE1[[#This Row],[Exit Price]]-TABLE1[[#This Row],[Entry Price]])/(TABLE1[[#This Row],[Intended Entry]]-TABLE1[[#This Row],[SL Price]]),4))</f>
        <v>2.4863</v>
      </c>
      <c r="BD26" s="4">
        <f>IF(AND((TABLE1[[#This Row],[Hard RRR Potential]])&gt;=1,(TABLE1[[#This Row],[Back to BE]])="True",(TABLE1[[#This Row],[Price Behaviour]])="Fast Reversal"), 1-(TABLE1[[#This Row],[Missed RRR on Entry]]),ROUND((TABLE1[[#This Row],[Exit Price]]-TABLE1[[#This Row],[Entry Price]])/(TABLE1[[#This Row],[Intended Entry]]-TABLE1[[#This Row],[SL Price]]),4))</f>
        <v>2.4863</v>
      </c>
      <c r="BE26" s="4">
        <f>IF(AND((TABLE1[[#This Row],[Hard RRR Potential]])&gt;=1.5,(TABLE1[[#This Row],[Back to BE]])="True",(TABLE1[[#This Row],[Price Behaviour]])="Fast Reversal"), 1.5-(TABLE1[[#This Row],[Missed RRR on Entry]]),ROUND((TABLE1[[#This Row],[Exit Price]]-TABLE1[[#This Row],[Entry Price]])/(TABLE1[[#This Row],[Intended Entry]]-TABLE1[[#This Row],[SL Price]]),4))</f>
        <v>2.4863</v>
      </c>
      <c r="BF26" s="4">
        <f>IF(AND((TABLE1[[#This Row],[Hard RRR Potential]])&gt;=2,(TABLE1[[#This Row],[Back to BE]])="True",(TABLE1[[#This Row],[Price Behaviour]])="Fast Reversal"), 2-(TABLE1[[#This Row],[Missed RRR on Entry]]),ROUND((TABLE1[[#This Row],[Exit Price]]-TABLE1[[#This Row],[Entry Price]])/(TABLE1[[#This Row],[Intended Entry]]-TABLE1[[#This Row],[SL Price]]),4))</f>
        <v>2.4863</v>
      </c>
      <c r="BG26" s="48">
        <f>IF((TABLE1[[#This Row],[Pattern SL]])&lt;&gt;FALSE,((TABLE1[[#This Row],[Pattern SL]])-(TABLE1[[#This Row],[Entry Price]]))/((TABLE1[[#This Row],[Intended Entry]])-(TABLE1[[#This Row],[SL Price]])),ROUND((TABLE1[[#This Row],[Exit Price]]-TABLE1[[#This Row],[Entry Price]])/(TABLE1[[#This Row],[Intended Entry]]-TABLE1[[#This Row],[SL Price]]),4))</f>
        <v>2.4863</v>
      </c>
      <c r="BH2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2.4863</v>
      </c>
      <c r="BI2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2.4863</v>
      </c>
      <c r="BJ26" s="21">
        <f>IF( TABLE1[[#This Row],[Wick Exit]]&lt;&gt; FALSE,TABLE1[[#This Row],[RRR Wick Exit]],IF(TABLE1[[#This Row],[Volume Exit]]&lt;&gt; FALSE,TABLE1[[#This Row],[RRR Volume Exit]],TABLE1[[#This Row],[RRR Realized]]))</f>
        <v>2.4863</v>
      </c>
      <c r="BK26"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2.4863</v>
      </c>
      <c r="BL26" s="4">
        <f>IF(OR(AND(TABLE1[[#This Row],[Hard RRR Potential]]&gt;=2.5,TABLE1[[#This Row],[Volume Exit]]=FALSE,TABLE1[[#This Row],[Wick Exit]]=FALSE),AND(TABLE1[[#This Row],[Hard RRR Potential]]&gt;=2.5,TABLE1[[#This Row],[Volume Exit RRR Reach]]&gt;=2.5,TABLE1[[#This Row],[Wick Exit]]=FALSE)), 2.5-TABLE1[[#This Row],[Missed RRR on Entry]],TABLE1[[#This Row],[RRR Realized]])</f>
        <v>2.4862500000000001</v>
      </c>
      <c r="BM26" s="4">
        <f>IF(OR(AND(TABLE1[[#This Row],[Hard RRR Potential]]&gt;=3,TABLE1[[#This Row],[Volume Exit]]=FALSE,TABLE1[[#This Row],[Wick Exit]]=FALSE),AND(TABLE1[[#This Row],[Hard RRR Potential]]&gt;=3,TABLE1[[#This Row],[Volume Exit RRR Reach]]&gt;=3,TABLE1[[#This Row],[Wick Exit]]=FALSE)), 3-TABLE1[[#This Row],[Missed RRR on Entry]],TABLE1[[#This Row],[RRR Realized]])</f>
        <v>2.4863</v>
      </c>
    </row>
    <row r="27" spans="1:67" x14ac:dyDescent="0.45">
      <c r="A27" t="s">
        <v>233</v>
      </c>
      <c r="B27">
        <v>26</v>
      </c>
      <c r="C27" s="2">
        <v>43572</v>
      </c>
      <c r="D27" s="1">
        <v>0.43055555555555558</v>
      </c>
      <c r="E27" s="1">
        <v>0.44444444444444442</v>
      </c>
      <c r="F27" s="4">
        <v>8.4499999999999993</v>
      </c>
      <c r="G27" s="4">
        <v>46</v>
      </c>
      <c r="H27" s="15">
        <v>833</v>
      </c>
      <c r="I27" t="s">
        <v>18</v>
      </c>
      <c r="J27" t="s">
        <v>21</v>
      </c>
      <c r="K27">
        <v>0.84930000000000005</v>
      </c>
      <c r="L27">
        <v>0.85</v>
      </c>
      <c r="M27">
        <f>0.8493-0.12</f>
        <v>0.72930000000000006</v>
      </c>
      <c r="N27">
        <v>0.90759999999999996</v>
      </c>
      <c r="O27">
        <v>1.01</v>
      </c>
      <c r="P27">
        <v>0.83</v>
      </c>
      <c r="Q27">
        <v>1.01</v>
      </c>
      <c r="R27">
        <v>1.01</v>
      </c>
      <c r="S27" t="b">
        <v>0</v>
      </c>
      <c r="T27" t="b">
        <v>0</v>
      </c>
      <c r="U27" t="b">
        <v>0</v>
      </c>
      <c r="W27">
        <v>0.90759999999999996</v>
      </c>
      <c r="X27">
        <v>1.33</v>
      </c>
      <c r="Y27" t="b">
        <v>0</v>
      </c>
      <c r="Z27" t="b">
        <v>0</v>
      </c>
      <c r="AA27" t="b">
        <v>0</v>
      </c>
      <c r="AB27" t="s">
        <v>25</v>
      </c>
      <c r="AC27" t="s">
        <v>28</v>
      </c>
      <c r="AD27" t="s">
        <v>196</v>
      </c>
      <c r="AE27">
        <v>385</v>
      </c>
      <c r="AG27">
        <v>1</v>
      </c>
      <c r="AH27" t="s">
        <v>319</v>
      </c>
      <c r="AI27">
        <v>0.76100000000000001</v>
      </c>
      <c r="AJ27" t="s">
        <v>135</v>
      </c>
      <c r="AK27" t="s">
        <v>167</v>
      </c>
      <c r="AL27">
        <v>12.09</v>
      </c>
      <c r="AM27">
        <v>-0.6</v>
      </c>
      <c r="AN27">
        <v>3.44</v>
      </c>
      <c r="AO27" s="22" t="s">
        <v>234</v>
      </c>
      <c r="AP27" s="4">
        <f>IF(TABLE1[[#This Row],[Buy/Sell]]="BUY",(TABLE1[[#This Row],[Highest Price]]-TABLE1[[#This Row],[Entry Price]])/(TABLE1[[#This Row],[Intended Entry]]-TABLE1[[#This Row],[SL Price]]),(TABLE1[[#This Row],[Entry Price]]-TABLE1[[#This Row],[Lowest Price]])/(TABLE1[[#This Row],[SL Price]]-TABLE1[[#This Row],[Intended Entry]]))</f>
        <v>1.3333333333333337</v>
      </c>
      <c r="AQ27" s="19">
        <f>IF(TABLE1[[#This Row],[Buy/Sell]]="BUY",(TABLE1[[#This Row],[Entry Price]]-TABLE1[[#This Row],[Lowest Price]])/(TABLE1[[#This Row],[SL Price]]-TABLE1[[#This Row],[Intended Entry]]),(TABLE1[[#This Row],[Entry Price]]-TABLE1[[#This Row],[Highest Price]])/(TABLE1[[#This Row],[SL Price]]-TABLE1[[#This Row],[Intended Entry]]))</f>
        <v>-0.16666666666666682</v>
      </c>
      <c r="AR27" s="4" t="str">
        <f>IF(AND(TABLE1[[#This Row],[RRR Realized]]&lt;0.5,TABLE1[[#This Row],[RRR Realized]]&gt;-0.6),"BE",IF(TABLE1[[#This Row],[Gain/Loss]]&lt;0, "LOSER", "WINNER"))</f>
        <v>BE</v>
      </c>
      <c r="AS27" s="4">
        <f>TABLE1[[#This Row],[Gain/Loss]]-TABLE1[[#This Row],[Comissions]]</f>
        <v>37.549999999999997</v>
      </c>
      <c r="AT27" s="3">
        <f>TABLE1[[#This Row],[Exit Time]]-TABLE1[[#This Row],[Entry Time]]</f>
        <v>1.388888888888884E-2</v>
      </c>
      <c r="AU27" s="4">
        <f>TABLE1[[#This Row],[Net Gain/Loss]]+AU26</f>
        <v>909.5388999999999</v>
      </c>
      <c r="AV27" s="4">
        <f>IF(TABLE1[[#This Row],[Potential Price Before BE]]=FALSE,"FALSE",( TABLE1[[#This Row],[Potential Price Before BE]]-TABLE1[[#This Row],[Intended Entry]])/(TABLE1[[#This Row],[Intended Entry]]-TABLE1[[#This Row],[SL Price]]))</f>
        <v>1.3391666666666664</v>
      </c>
      <c r="AW27" s="4">
        <f>(IF(TABLE1[[#This Row],[Buy/Sell]]="BUY",(TABLE1[[#This Row],[Entry Price]]-TABLE1[[#This Row],[SL Price]])/(TABLE1[[#This Row],[Intended Entry]]-TABLE1[[#This Row],[SL Price]]),(TABLE1[[#This Row],[SL Price]]-TABLE1[[#This Row],[Entry Price]])/(TABLE1[[#This Row],[SL Price]]-TABLE1[[#This Row],[Intended Entry]])))-1</f>
        <v>5.8333333333326909E-3</v>
      </c>
      <c r="AX27" s="19">
        <f>TABLE1[[#This Row],[Missed RRR on Entry]]</f>
        <v>5.8333333333326909E-3</v>
      </c>
      <c r="AY27" s="19">
        <f>ROUND((TABLE1[[#This Row],[Potential Price]]-TABLE1[[#This Row],[Entry Price]])/(TABLE1[[#This Row],[Intended Entry]]-TABLE1[[#This Row],[SL Price]]),4)</f>
        <v>1.3332999999999999</v>
      </c>
      <c r="AZ27" s="19">
        <f>ROUND((TABLE1[[#This Row],[Potential Price]]-TABLE1[[#This Row],[Intended Entry]])/(TABLE1[[#This Row],[Intended Entry]]-TABLE1[[#This Row],[SL Price]]),4)</f>
        <v>1.3391999999999999</v>
      </c>
      <c r="BA27" s="19">
        <f>TABLE1[[#This Row],[RRR Potential]]-TABLE1[[#This Row],[RRR Realized]]</f>
        <v>0.85329999999999995</v>
      </c>
      <c r="BB27" s="25">
        <f>ROUND((TABLE1[[#This Row],[Exit Price]]-TABLE1[[#This Row],[Entry Price]])/(TABLE1[[#This Row],[Intended Entry]]-TABLE1[[#This Row],[SL Price]]),4)</f>
        <v>0.48</v>
      </c>
      <c r="BC27" s="4">
        <f>IF(AND((TABLE1[[#This Row],[Back to BE]])=TRUE,(TABLE1[[#This Row],[Price Behaviour]])="Fast Reversal"), 0-(TABLE1[[#This Row],[Missed RRR on Entry]]),ROUND((TABLE1[[#This Row],[Exit Price]]-TABLE1[[#This Row],[Entry Price]])/(TABLE1[[#This Row],[Intended Entry]]-TABLE1[[#This Row],[SL Price]]),4))</f>
        <v>0.48</v>
      </c>
      <c r="BD27" s="4">
        <f>IF(AND((TABLE1[[#This Row],[Hard RRR Potential]])&gt;=1,(TABLE1[[#This Row],[Back to BE]])="True",(TABLE1[[#This Row],[Price Behaviour]])="Fast Reversal"), 1-(TABLE1[[#This Row],[Missed RRR on Entry]]),ROUND((TABLE1[[#This Row],[Exit Price]]-TABLE1[[#This Row],[Entry Price]])/(TABLE1[[#This Row],[Intended Entry]]-TABLE1[[#This Row],[SL Price]]),4))</f>
        <v>0.48</v>
      </c>
      <c r="BE27" s="4">
        <f>IF(AND((TABLE1[[#This Row],[Hard RRR Potential]])&gt;=1.5,(TABLE1[[#This Row],[Back to BE]])="True",(TABLE1[[#This Row],[Price Behaviour]])="Fast Reversal"), 1.5-(TABLE1[[#This Row],[Missed RRR on Entry]]),ROUND((TABLE1[[#This Row],[Exit Price]]-TABLE1[[#This Row],[Entry Price]])/(TABLE1[[#This Row],[Intended Entry]]-TABLE1[[#This Row],[SL Price]]),4))</f>
        <v>0.48</v>
      </c>
      <c r="BF27" s="4">
        <f>IF(AND((TABLE1[[#This Row],[Hard RRR Potential]])&gt;=2,(TABLE1[[#This Row],[Back to BE]])="True",(TABLE1[[#This Row],[Price Behaviour]])="Fast Reversal"), 2-(TABLE1[[#This Row],[Missed RRR on Entry]]),ROUND((TABLE1[[#This Row],[Exit Price]]-TABLE1[[#This Row],[Entry Price]])/(TABLE1[[#This Row],[Intended Entry]]-TABLE1[[#This Row],[SL Price]]),4))</f>
        <v>0.48</v>
      </c>
      <c r="BG27" s="48">
        <f>IF((TABLE1[[#This Row],[Pattern SL]])&lt;&gt;FALSE,((TABLE1[[#This Row],[Pattern SL]])-(TABLE1[[#This Row],[Entry Price]]))/((TABLE1[[#This Row],[Intended Entry]])-(TABLE1[[#This Row],[SL Price]])),ROUND((TABLE1[[#This Row],[Exit Price]]-TABLE1[[#This Row],[Entry Price]])/(TABLE1[[#This Row],[Intended Entry]]-TABLE1[[#This Row],[SL Price]]),4))</f>
        <v>0.48</v>
      </c>
      <c r="BH2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0.47999999999999987</v>
      </c>
      <c r="BI27"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0.48</v>
      </c>
      <c r="BJ27" s="21">
        <f>IF( TABLE1[[#This Row],[Wick Exit]]&lt;&gt; FALSE,TABLE1[[#This Row],[RRR Wick Exit]],IF(TABLE1[[#This Row],[Volume Exit]]&lt;&gt; FALSE,TABLE1[[#This Row],[RRR Volume Exit]],TABLE1[[#This Row],[RRR Realized]]))</f>
        <v>0.47999999999999987</v>
      </c>
      <c r="BK27"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0.48</v>
      </c>
      <c r="BL27" s="4">
        <f>IF(OR(AND(TABLE1[[#This Row],[Hard RRR Potential]]&gt;=2.5,TABLE1[[#This Row],[Volume Exit]]=FALSE,TABLE1[[#This Row],[Wick Exit]]=FALSE),AND(TABLE1[[#This Row],[Hard RRR Potential]]&gt;=2.5,TABLE1[[#This Row],[Volume Exit RRR Reach]]&gt;=2.5,TABLE1[[#This Row],[Wick Exit]]=FALSE)), 2.5-TABLE1[[#This Row],[Missed RRR on Entry]],TABLE1[[#This Row],[RRR Realized]])</f>
        <v>0.48</v>
      </c>
      <c r="BM27" s="4">
        <f>IF(OR(AND(TABLE1[[#This Row],[Hard RRR Potential]]&gt;=3,TABLE1[[#This Row],[Volume Exit]]=FALSE,TABLE1[[#This Row],[Wick Exit]]=FALSE),AND(TABLE1[[#This Row],[Hard RRR Potential]]&gt;=3,TABLE1[[#This Row],[Volume Exit RRR Reach]]&gt;=3,TABLE1[[#This Row],[Wick Exit]]=FALSE)), 3-TABLE1[[#This Row],[Missed RRR on Entry]],TABLE1[[#This Row],[RRR Realized]])</f>
        <v>0.48</v>
      </c>
    </row>
    <row r="28" spans="1:67" x14ac:dyDescent="0.45">
      <c r="A28" t="s">
        <v>235</v>
      </c>
      <c r="B28">
        <v>27</v>
      </c>
      <c r="C28" s="2">
        <v>43577</v>
      </c>
      <c r="D28" s="1">
        <v>0.41041666666666665</v>
      </c>
      <c r="E28" s="1">
        <v>0.41388888888888892</v>
      </c>
      <c r="F28" s="4">
        <v>5.12</v>
      </c>
      <c r="G28" s="4">
        <f>-84.1</f>
        <v>-84.1</v>
      </c>
      <c r="H28" s="15">
        <v>500</v>
      </c>
      <c r="I28" t="s">
        <v>18</v>
      </c>
      <c r="J28" t="s">
        <v>21</v>
      </c>
      <c r="K28">
        <v>6.01</v>
      </c>
      <c r="L28">
        <v>6.0220000000000002</v>
      </c>
      <c r="M28">
        <f>6.01-0.2</f>
        <v>5.81</v>
      </c>
      <c r="N28">
        <v>5.85</v>
      </c>
      <c r="O28">
        <v>6.1</v>
      </c>
      <c r="P28">
        <v>5.85</v>
      </c>
      <c r="Q28">
        <v>6.1</v>
      </c>
      <c r="R28">
        <v>6.1</v>
      </c>
      <c r="S28" t="b">
        <v>0</v>
      </c>
      <c r="T28">
        <v>5.85</v>
      </c>
      <c r="U28" t="b">
        <v>0</v>
      </c>
      <c r="V28" t="b">
        <v>0</v>
      </c>
      <c r="W28" t="b">
        <v>0</v>
      </c>
      <c r="Z28" t="b">
        <v>0</v>
      </c>
      <c r="AA28" t="b">
        <v>0</v>
      </c>
      <c r="AB28" t="s">
        <v>24</v>
      </c>
      <c r="AC28" t="s">
        <v>31</v>
      </c>
      <c r="AD28" t="s">
        <v>38</v>
      </c>
      <c r="AE28">
        <v>4</v>
      </c>
      <c r="AF28">
        <v>2</v>
      </c>
      <c r="AG28">
        <v>1</v>
      </c>
      <c r="AH28" t="s">
        <v>319</v>
      </c>
      <c r="AI28">
        <v>5.8</v>
      </c>
      <c r="AJ28" t="s">
        <v>135</v>
      </c>
      <c r="AK28" t="s">
        <v>167</v>
      </c>
      <c r="AL28">
        <v>1.1299999999999999</v>
      </c>
      <c r="AM28">
        <v>0.38</v>
      </c>
      <c r="AN28">
        <v>1.07</v>
      </c>
      <c r="AO28" s="22" t="s">
        <v>236</v>
      </c>
      <c r="AP28" s="4">
        <f>IF(TABLE1[[#This Row],[Buy/Sell]]="BUY",(TABLE1[[#This Row],[Highest Price]]-TABLE1[[#This Row],[Entry Price]])/(TABLE1[[#This Row],[Intended Entry]]-TABLE1[[#This Row],[SL Price]]),(TABLE1[[#This Row],[Entry Price]]-TABLE1[[#This Row],[Lowest Price]])/(TABLE1[[#This Row],[SL Price]]-TABLE1[[#This Row],[Intended Entry]]))</f>
        <v>0.38999999999999668</v>
      </c>
      <c r="AQ28" s="19">
        <f>IF(TABLE1[[#This Row],[Buy/Sell]]="BUY",(TABLE1[[#This Row],[Entry Price]]-TABLE1[[#This Row],[Lowest Price]])/(TABLE1[[#This Row],[SL Price]]-TABLE1[[#This Row],[Intended Entry]]),(TABLE1[[#This Row],[Entry Price]]-TABLE1[[#This Row],[Highest Price]])/(TABLE1[[#This Row],[SL Price]]-TABLE1[[#This Row],[Intended Entry]]))</f>
        <v>-0.86000000000000221</v>
      </c>
      <c r="AR28" s="4" t="str">
        <f>IF(AND(TABLE1[[#This Row],[RRR Realized]]&lt;0.5,TABLE1[[#This Row],[RRR Realized]]&gt;-0.6),"BE",IF(TABLE1[[#This Row],[Gain/Loss]]&lt;0, "LOSER", "WINNER"))</f>
        <v>LOSER</v>
      </c>
      <c r="AS28" s="4">
        <f>TABLE1[[#This Row],[Gain/Loss]]-TABLE1[[#This Row],[Comissions]]</f>
        <v>-89.22</v>
      </c>
      <c r="AT28" s="3">
        <f>TABLE1[[#This Row],[Exit Time]]-TABLE1[[#This Row],[Entry Time]]</f>
        <v>3.4722222222222654E-3</v>
      </c>
      <c r="AU28" s="4">
        <f>TABLE1[[#This Row],[Net Gain/Loss]]+AU27</f>
        <v>820.31889999999987</v>
      </c>
      <c r="AV28" s="4">
        <f>IF(TABLE1[[#This Row],[Potential Price Before BE]]=FALSE,"FALSE",( TABLE1[[#This Row],[Potential Price Before BE]]-TABLE1[[#This Row],[Intended Entry]])/(TABLE1[[#This Row],[Intended Entry]]-TABLE1[[#This Row],[SL Price]]))</f>
        <v>0.4499999999999989</v>
      </c>
      <c r="AW28" s="4">
        <f>(IF(TABLE1[[#This Row],[Buy/Sell]]="BUY",(TABLE1[[#This Row],[Entry Price]]-TABLE1[[#This Row],[SL Price]])/(TABLE1[[#This Row],[Intended Entry]]-TABLE1[[#This Row],[SL Price]]),(TABLE1[[#This Row],[SL Price]]-TABLE1[[#This Row],[Entry Price]])/(TABLE1[[#This Row],[SL Price]]-TABLE1[[#This Row],[Intended Entry]])))-1</f>
        <v>6.0000000000002274E-2</v>
      </c>
      <c r="AX28" s="19">
        <f>TABLE1[[#This Row],[Missed RRR on Entry]]</f>
        <v>6.0000000000002274E-2</v>
      </c>
      <c r="AY28" s="19">
        <f>ROUND((TABLE1[[#This Row],[Potential Price]]-TABLE1[[#This Row],[Entry Price]])/(TABLE1[[#This Row],[Intended Entry]]-TABLE1[[#This Row],[SL Price]]),4)</f>
        <v>0.39</v>
      </c>
      <c r="AZ28" s="19">
        <f>ROUND((TABLE1[[#This Row],[Potential Price]]-TABLE1[[#This Row],[Intended Entry]])/(TABLE1[[#This Row],[Intended Entry]]-TABLE1[[#This Row],[SL Price]]),4)</f>
        <v>0.45</v>
      </c>
      <c r="BA28" s="19">
        <f>TABLE1[[#This Row],[RRR Potential]]-TABLE1[[#This Row],[RRR Realized]]</f>
        <v>1.25</v>
      </c>
      <c r="BB28" s="25">
        <f>ROUND((TABLE1[[#This Row],[Exit Price]]-TABLE1[[#This Row],[Entry Price]])/(TABLE1[[#This Row],[Intended Entry]]-TABLE1[[#This Row],[SL Price]]),4)</f>
        <v>-0.86</v>
      </c>
      <c r="BC28" s="4">
        <f>IF(AND((TABLE1[[#This Row],[Back to BE]])=TRUE,(TABLE1[[#This Row],[Price Behaviour]])="Fast Reversal"), 0-(TABLE1[[#This Row],[Missed RRR on Entry]]),ROUND((TABLE1[[#This Row],[Exit Price]]-TABLE1[[#This Row],[Entry Price]])/(TABLE1[[#This Row],[Intended Entry]]-TABLE1[[#This Row],[SL Price]]),4))</f>
        <v>-0.86</v>
      </c>
      <c r="BD28" s="4">
        <f>IF(AND((TABLE1[[#This Row],[Hard RRR Potential]])&gt;=1,(TABLE1[[#This Row],[Back to BE]])="True",(TABLE1[[#This Row],[Price Behaviour]])="Fast Reversal"), 1-(TABLE1[[#This Row],[Missed RRR on Entry]]),ROUND((TABLE1[[#This Row],[Exit Price]]-TABLE1[[#This Row],[Entry Price]])/(TABLE1[[#This Row],[Intended Entry]]-TABLE1[[#This Row],[SL Price]]),4))</f>
        <v>-0.86</v>
      </c>
      <c r="BE28" s="4">
        <f>IF(AND((TABLE1[[#This Row],[Hard RRR Potential]])&gt;=1.5,(TABLE1[[#This Row],[Back to BE]])="True",(TABLE1[[#This Row],[Price Behaviour]])="Fast Reversal"), 1.5-(TABLE1[[#This Row],[Missed RRR on Entry]]),ROUND((TABLE1[[#This Row],[Exit Price]]-TABLE1[[#This Row],[Entry Price]])/(TABLE1[[#This Row],[Intended Entry]]-TABLE1[[#This Row],[SL Price]]),4))</f>
        <v>-0.86</v>
      </c>
      <c r="BF28" s="4">
        <f>IF(AND((TABLE1[[#This Row],[Hard RRR Potential]])&gt;=2,(TABLE1[[#This Row],[Back to BE]])="True",(TABLE1[[#This Row],[Price Behaviour]])="Fast Reversal"), 2-(TABLE1[[#This Row],[Missed RRR on Entry]]),ROUND((TABLE1[[#This Row],[Exit Price]]-TABLE1[[#This Row],[Entry Price]])/(TABLE1[[#This Row],[Intended Entry]]-TABLE1[[#This Row],[SL Price]]),4))</f>
        <v>-0.86</v>
      </c>
      <c r="BG28" s="48">
        <f>IF((TABLE1[[#This Row],[Pattern SL]])&lt;&gt;FALSE,((TABLE1[[#This Row],[Pattern SL]])-(TABLE1[[#This Row],[Entry Price]]))/((TABLE1[[#This Row],[Intended Entry]])-(TABLE1[[#This Row],[SL Price]])),ROUND((TABLE1[[#This Row],[Exit Price]]-TABLE1[[#This Row],[Entry Price]])/(TABLE1[[#This Row],[Intended Entry]]-TABLE1[[#This Row],[SL Price]]),4))</f>
        <v>-0.86</v>
      </c>
      <c r="BH2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-0.86</v>
      </c>
      <c r="BI28"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-0.86</v>
      </c>
      <c r="BJ28" s="21">
        <f>IF( TABLE1[[#This Row],[Wick Exit]]&lt;&gt; FALSE,TABLE1[[#This Row],[RRR Wick Exit]],IF(TABLE1[[#This Row],[Volume Exit]]&lt;&gt; FALSE,TABLE1[[#This Row],[RRR Volume Exit]],TABLE1[[#This Row],[RRR Realized]]))</f>
        <v>-0.86</v>
      </c>
      <c r="BK28"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-0.86</v>
      </c>
      <c r="BL28" s="4">
        <f>IF(OR(AND(TABLE1[[#This Row],[Hard RRR Potential]]&gt;=2.5,TABLE1[[#This Row],[Volume Exit]]=FALSE,TABLE1[[#This Row],[Wick Exit]]=FALSE),AND(TABLE1[[#This Row],[Hard RRR Potential]]&gt;=2.5,TABLE1[[#This Row],[Volume Exit RRR Reach]]&gt;=2.5,TABLE1[[#This Row],[Wick Exit]]=FALSE)), 2.5-TABLE1[[#This Row],[Missed RRR on Entry]],TABLE1[[#This Row],[RRR Realized]])</f>
        <v>-0.86</v>
      </c>
      <c r="BM28" s="4">
        <f>IF(OR(AND(TABLE1[[#This Row],[Hard RRR Potential]]&gt;=3,TABLE1[[#This Row],[Volume Exit]]=FALSE,TABLE1[[#This Row],[Wick Exit]]=FALSE),AND(TABLE1[[#This Row],[Hard RRR Potential]]&gt;=3,TABLE1[[#This Row],[Volume Exit RRR Reach]]&gt;=3,TABLE1[[#This Row],[Wick Exit]]=FALSE)), 3-TABLE1[[#This Row],[Missed RRR on Entry]],TABLE1[[#This Row],[RRR Realized]])</f>
        <v>-0.86</v>
      </c>
    </row>
    <row r="29" spans="1:67" x14ac:dyDescent="0.45">
      <c r="A29" t="s">
        <v>237</v>
      </c>
      <c r="B29">
        <v>28</v>
      </c>
      <c r="C29" s="2">
        <v>43578</v>
      </c>
      <c r="D29" s="1">
        <v>0.42291666666666666</v>
      </c>
      <c r="E29" s="1">
        <v>0.43194444444444446</v>
      </c>
      <c r="F29" s="4">
        <v>3.11</v>
      </c>
      <c r="G29" s="4">
        <f>250</f>
        <v>250</v>
      </c>
      <c r="H29" s="15">
        <v>500</v>
      </c>
      <c r="I29" t="s">
        <v>18</v>
      </c>
      <c r="J29" t="s">
        <v>21</v>
      </c>
      <c r="K29">
        <v>4.5199999999999996</v>
      </c>
      <c r="L29">
        <v>4.55</v>
      </c>
      <c r="M29">
        <v>4.32</v>
      </c>
      <c r="N29">
        <v>5.0199999999999996</v>
      </c>
      <c r="O29">
        <v>5.03</v>
      </c>
      <c r="P29">
        <v>4.46</v>
      </c>
      <c r="Q29">
        <v>5.03</v>
      </c>
      <c r="R29">
        <v>5.03</v>
      </c>
      <c r="S29" t="b">
        <v>0</v>
      </c>
      <c r="T29" t="b">
        <v>0</v>
      </c>
      <c r="U29" t="b">
        <v>1</v>
      </c>
      <c r="W29" t="b">
        <v>0</v>
      </c>
      <c r="Z29" t="b">
        <v>0</v>
      </c>
      <c r="AA29" t="b">
        <v>0</v>
      </c>
      <c r="AB29" t="s">
        <v>27</v>
      </c>
      <c r="AC29" t="s">
        <v>30</v>
      </c>
      <c r="AD29" t="s">
        <v>33</v>
      </c>
      <c r="AE29">
        <v>38</v>
      </c>
      <c r="AG29">
        <v>1</v>
      </c>
      <c r="AH29" t="s">
        <v>18</v>
      </c>
      <c r="AI29">
        <v>4.4400000000000004</v>
      </c>
      <c r="AJ29" t="s">
        <v>135</v>
      </c>
      <c r="AK29" t="s">
        <v>167</v>
      </c>
      <c r="AL29">
        <v>7.0000000000000007E-2</v>
      </c>
      <c r="AM29">
        <v>0.62</v>
      </c>
      <c r="AO29" s="22" t="s">
        <v>238</v>
      </c>
      <c r="AP29" s="4">
        <f>IF(TABLE1[[#This Row],[Buy/Sell]]="BUY",(TABLE1[[#This Row],[Highest Price]]-TABLE1[[#This Row],[Entry Price]])/(TABLE1[[#This Row],[Intended Entry]]-TABLE1[[#This Row],[SL Price]]),(TABLE1[[#This Row],[Entry Price]]-TABLE1[[#This Row],[Lowest Price]])/(TABLE1[[#This Row],[SL Price]]-TABLE1[[#This Row],[Intended Entry]]))</f>
        <v>2.4000000000000106</v>
      </c>
      <c r="AQ29" s="19">
        <f>IF(TABLE1[[#This Row],[Buy/Sell]]="BUY",(TABLE1[[#This Row],[Entry Price]]-TABLE1[[#This Row],[Lowest Price]])/(TABLE1[[#This Row],[SL Price]]-TABLE1[[#This Row],[Intended Entry]]),(TABLE1[[#This Row],[Entry Price]]-TABLE1[[#This Row],[Highest Price]])/(TABLE1[[#This Row],[SL Price]]-TABLE1[[#This Row],[Intended Entry]]))</f>
        <v>-0.4500000000000009</v>
      </c>
      <c r="AR29" s="4" t="str">
        <f>IF(AND(TABLE1[[#This Row],[RRR Realized]]&lt;0.5,TABLE1[[#This Row],[RRR Realized]]&gt;-0.6),"BE",IF(TABLE1[[#This Row],[Gain/Loss]]&lt;0, "LOSER", "WINNER"))</f>
        <v>WINNER</v>
      </c>
      <c r="AS29" s="4">
        <f>TABLE1[[#This Row],[Gain/Loss]]-TABLE1[[#This Row],[Comissions]]</f>
        <v>246.89</v>
      </c>
      <c r="AT29" s="3">
        <f>TABLE1[[#This Row],[Exit Time]]-TABLE1[[#This Row],[Entry Time]]</f>
        <v>9.0277777777778012E-3</v>
      </c>
      <c r="AU29" s="4">
        <f>TABLE1[[#This Row],[Net Gain/Loss]]+AU28</f>
        <v>1067.2088999999999</v>
      </c>
      <c r="AV29" s="4">
        <f>IF(TABLE1[[#This Row],[Potential Price Before BE]]=FALSE,"FALSE",( TABLE1[[#This Row],[Potential Price Before BE]]-TABLE1[[#This Row],[Intended Entry]])/(TABLE1[[#This Row],[Intended Entry]]-TABLE1[[#This Row],[SL Price]]))</f>
        <v>2.5500000000000123</v>
      </c>
      <c r="AW29" s="4">
        <f>(IF(TABLE1[[#This Row],[Buy/Sell]]="BUY",(TABLE1[[#This Row],[Entry Price]]-TABLE1[[#This Row],[SL Price]])/(TABLE1[[#This Row],[Intended Entry]]-TABLE1[[#This Row],[SL Price]]),(TABLE1[[#This Row],[SL Price]]-TABLE1[[#This Row],[Entry Price]])/(TABLE1[[#This Row],[SL Price]]-TABLE1[[#This Row],[Intended Entry]])))-1</f>
        <v>0.15000000000000169</v>
      </c>
      <c r="AX29" s="19">
        <f>TABLE1[[#This Row],[Missed RRR on Entry]]</f>
        <v>0.15000000000000169</v>
      </c>
      <c r="AY29" s="19">
        <f>ROUND((TABLE1[[#This Row],[Potential Price]]-TABLE1[[#This Row],[Entry Price]])/(TABLE1[[#This Row],[Intended Entry]]-TABLE1[[#This Row],[SL Price]]),4)</f>
        <v>2.4</v>
      </c>
      <c r="AZ29" s="19">
        <f>ROUND((TABLE1[[#This Row],[Potential Price]]-TABLE1[[#This Row],[Intended Entry]])/(TABLE1[[#This Row],[Intended Entry]]-TABLE1[[#This Row],[SL Price]]),4)</f>
        <v>2.5499999999999998</v>
      </c>
      <c r="BA29" s="19">
        <f>TABLE1[[#This Row],[RRR Potential]]-TABLE1[[#This Row],[RRR Realized]]</f>
        <v>4.9999999999999822E-2</v>
      </c>
      <c r="BB29" s="25">
        <f>ROUND((TABLE1[[#This Row],[Exit Price]]-TABLE1[[#This Row],[Entry Price]])/(TABLE1[[#This Row],[Intended Entry]]-TABLE1[[#This Row],[SL Price]]),4)</f>
        <v>2.35</v>
      </c>
      <c r="BC29" s="4">
        <f>IF(AND((TABLE1[[#This Row],[Back to BE]])=TRUE,(TABLE1[[#This Row],[Price Behaviour]])="Fast Reversal"), 0-(TABLE1[[#This Row],[Missed RRR on Entry]]),ROUND((TABLE1[[#This Row],[Exit Price]]-TABLE1[[#This Row],[Entry Price]])/(TABLE1[[#This Row],[Intended Entry]]-TABLE1[[#This Row],[SL Price]]),4))</f>
        <v>2.35</v>
      </c>
      <c r="BD29" s="4">
        <f>IF(AND((TABLE1[[#This Row],[Hard RRR Potential]])&gt;=1,(TABLE1[[#This Row],[Back to BE]])="True",(TABLE1[[#This Row],[Price Behaviour]])="Fast Reversal"), 1-(TABLE1[[#This Row],[Missed RRR on Entry]]),ROUND((TABLE1[[#This Row],[Exit Price]]-TABLE1[[#This Row],[Entry Price]])/(TABLE1[[#This Row],[Intended Entry]]-TABLE1[[#This Row],[SL Price]]),4))</f>
        <v>2.35</v>
      </c>
      <c r="BE29" s="4">
        <f>IF(AND((TABLE1[[#This Row],[Hard RRR Potential]])&gt;=1.5,(TABLE1[[#This Row],[Back to BE]])="True",(TABLE1[[#This Row],[Price Behaviour]])="Fast Reversal"), 1.5-(TABLE1[[#This Row],[Missed RRR on Entry]]),ROUND((TABLE1[[#This Row],[Exit Price]]-TABLE1[[#This Row],[Entry Price]])/(TABLE1[[#This Row],[Intended Entry]]-TABLE1[[#This Row],[SL Price]]),4))</f>
        <v>2.35</v>
      </c>
      <c r="BF29" s="4">
        <f>IF(AND((TABLE1[[#This Row],[Hard RRR Potential]])&gt;=2,(TABLE1[[#This Row],[Back to BE]])="True",(TABLE1[[#This Row],[Price Behaviour]])="Fast Reversal"), 2-(TABLE1[[#This Row],[Missed RRR on Entry]]),ROUND((TABLE1[[#This Row],[Exit Price]]-TABLE1[[#This Row],[Entry Price]])/(TABLE1[[#This Row],[Intended Entry]]-TABLE1[[#This Row],[SL Price]]),4))</f>
        <v>2.35</v>
      </c>
      <c r="BG29" s="48">
        <f>IF((TABLE1[[#This Row],[Pattern SL]])&lt;&gt;FALSE,((TABLE1[[#This Row],[Pattern SL]])-(TABLE1[[#This Row],[Entry Price]]))/((TABLE1[[#This Row],[Intended Entry]])-(TABLE1[[#This Row],[SL Price]])),ROUND((TABLE1[[#This Row],[Exit Price]]-TABLE1[[#This Row],[Entry Price]])/(TABLE1[[#This Row],[Intended Entry]]-TABLE1[[#This Row],[SL Price]]),4))</f>
        <v>2.35</v>
      </c>
      <c r="BH2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2.35</v>
      </c>
      <c r="BI29"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2.35</v>
      </c>
      <c r="BJ29" s="21">
        <f>IF( TABLE1[[#This Row],[Wick Exit]]&lt;&gt; FALSE,TABLE1[[#This Row],[RRR Wick Exit]],IF(TABLE1[[#This Row],[Volume Exit]]&lt;&gt; FALSE,TABLE1[[#This Row],[RRR Volume Exit]],TABLE1[[#This Row],[RRR Realized]]))</f>
        <v>2.35</v>
      </c>
      <c r="BK29"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2.35</v>
      </c>
      <c r="BL29" s="4">
        <f>IF(OR(AND(TABLE1[[#This Row],[Hard RRR Potential]]&gt;=2.5,TABLE1[[#This Row],[Volume Exit]]=FALSE,TABLE1[[#This Row],[Wick Exit]]=FALSE),AND(TABLE1[[#This Row],[Hard RRR Potential]]&gt;=2.5,TABLE1[[#This Row],[Volume Exit RRR Reach]]&gt;=2.5,TABLE1[[#This Row],[Wick Exit]]=FALSE)), 2.5-TABLE1[[#This Row],[Missed RRR on Entry]],TABLE1[[#This Row],[RRR Realized]])</f>
        <v>2.3499999999999983</v>
      </c>
      <c r="BM29" s="4">
        <f>IF(OR(AND(TABLE1[[#This Row],[Hard RRR Potential]]&gt;=3,TABLE1[[#This Row],[Volume Exit]]=FALSE,TABLE1[[#This Row],[Wick Exit]]=FALSE),AND(TABLE1[[#This Row],[Hard RRR Potential]]&gt;=3,TABLE1[[#This Row],[Volume Exit RRR Reach]]&gt;=3,TABLE1[[#This Row],[Wick Exit]]=FALSE)), 3-TABLE1[[#This Row],[Missed RRR on Entry]],TABLE1[[#This Row],[RRR Realized]])</f>
        <v>2.35</v>
      </c>
    </row>
    <row r="30" spans="1:67" x14ac:dyDescent="0.45">
      <c r="A30" t="s">
        <v>237</v>
      </c>
      <c r="B30">
        <v>29</v>
      </c>
      <c r="C30" s="2">
        <v>43578</v>
      </c>
      <c r="D30" s="1">
        <v>0.4284722222222222</v>
      </c>
      <c r="E30" s="1">
        <v>0.44375000000000003</v>
      </c>
      <c r="F30" s="4">
        <v>3.11</v>
      </c>
      <c r="G30" s="4">
        <f>-35</f>
        <v>-35</v>
      </c>
      <c r="H30" s="15">
        <v>500</v>
      </c>
      <c r="I30" t="s">
        <v>18</v>
      </c>
      <c r="J30" t="s">
        <v>21</v>
      </c>
      <c r="K30">
        <v>4.68</v>
      </c>
      <c r="L30">
        <v>4.66</v>
      </c>
      <c r="M30">
        <v>4.4800000000000004</v>
      </c>
      <c r="N30">
        <v>4.62</v>
      </c>
      <c r="O30">
        <v>5.03</v>
      </c>
      <c r="P30">
        <v>4.5599999999999996</v>
      </c>
      <c r="Q30">
        <v>5.03</v>
      </c>
      <c r="R30">
        <v>5.03</v>
      </c>
      <c r="S30">
        <v>4.78</v>
      </c>
      <c r="T30" t="b">
        <v>0</v>
      </c>
      <c r="U30" t="b">
        <v>0</v>
      </c>
      <c r="W30" t="b">
        <v>0</v>
      </c>
      <c r="Z30" t="b">
        <v>0</v>
      </c>
      <c r="AA30" t="b">
        <v>0</v>
      </c>
      <c r="AB30" t="s">
        <v>25</v>
      </c>
      <c r="AC30" t="s">
        <v>28</v>
      </c>
      <c r="AD30" t="s">
        <v>33</v>
      </c>
      <c r="AE30">
        <v>38</v>
      </c>
      <c r="AG30">
        <v>1</v>
      </c>
      <c r="AH30" t="s">
        <v>319</v>
      </c>
      <c r="AI30">
        <v>4.45</v>
      </c>
      <c r="AJ30" t="s">
        <v>135</v>
      </c>
      <c r="AK30" t="s">
        <v>167</v>
      </c>
      <c r="AL30">
        <v>7.0000000000000007E-2</v>
      </c>
      <c r="AM30">
        <v>0.62</v>
      </c>
      <c r="AO30" s="22" t="s">
        <v>238</v>
      </c>
      <c r="AP30" s="4">
        <f>IF(TABLE1[[#This Row],[Buy/Sell]]="BUY",(TABLE1[[#This Row],[Highest Price]]-TABLE1[[#This Row],[Entry Price]])/(TABLE1[[#This Row],[Intended Entry]]-TABLE1[[#This Row],[SL Price]]),(TABLE1[[#This Row],[Entry Price]]-TABLE1[[#This Row],[Lowest Price]])/(TABLE1[[#This Row],[SL Price]]-TABLE1[[#This Row],[Intended Entry]]))</f>
        <v>1.8500000000000072</v>
      </c>
      <c r="AQ30" s="19">
        <f>IF(TABLE1[[#This Row],[Buy/Sell]]="BUY",(TABLE1[[#This Row],[Entry Price]]-TABLE1[[#This Row],[Lowest Price]])/(TABLE1[[#This Row],[SL Price]]-TABLE1[[#This Row],[Intended Entry]]),(TABLE1[[#This Row],[Entry Price]]-TABLE1[[#This Row],[Highest Price]])/(TABLE1[[#This Row],[SL Price]]-TABLE1[[#This Row],[Intended Entry]]))</f>
        <v>-0.50000000000000444</v>
      </c>
      <c r="AR30" s="4" t="str">
        <f>IF(AND(TABLE1[[#This Row],[RRR Realized]]&lt;0.5,TABLE1[[#This Row],[RRR Realized]]&gt;-0.6),"BE",IF(TABLE1[[#This Row],[Gain/Loss]]&lt;0, "LOSER", "WINNER"))</f>
        <v>BE</v>
      </c>
      <c r="AS30" s="4">
        <f>TABLE1[[#This Row],[Gain/Loss]]-TABLE1[[#This Row],[Comissions]]</f>
        <v>-38.11</v>
      </c>
      <c r="AT30" s="3">
        <f>TABLE1[[#This Row],[Exit Time]]-TABLE1[[#This Row],[Entry Time]]</f>
        <v>1.5277777777777835E-2</v>
      </c>
      <c r="AU30" s="4">
        <f>TABLE1[[#This Row],[Net Gain/Loss]]+AU29</f>
        <v>1029.0989</v>
      </c>
      <c r="AV30" s="4">
        <f>IF(TABLE1[[#This Row],[Potential Price Before BE]]=FALSE,"FALSE",( TABLE1[[#This Row],[Potential Price Before BE]]-TABLE1[[#This Row],[Intended Entry]])/(TABLE1[[#This Row],[Intended Entry]]-TABLE1[[#This Row],[SL Price]]))</f>
        <v>1.7500000000000089</v>
      </c>
      <c r="AW30" s="4">
        <f>(IF(TABLE1[[#This Row],[Buy/Sell]]="BUY",(TABLE1[[#This Row],[Entry Price]]-TABLE1[[#This Row],[SL Price]])/(TABLE1[[#This Row],[Intended Entry]]-TABLE1[[#This Row],[SL Price]]),(TABLE1[[#This Row],[SL Price]]-TABLE1[[#This Row],[Entry Price]])/(TABLE1[[#This Row],[SL Price]]-TABLE1[[#This Row],[Intended Entry]])))-1</f>
        <v>-9.9999999999998201E-2</v>
      </c>
      <c r="AX30" s="19">
        <f>TABLE1[[#This Row],[Missed RRR on Entry]]</f>
        <v>-9.9999999999998201E-2</v>
      </c>
      <c r="AY30" s="19">
        <f>ROUND((TABLE1[[#This Row],[Potential Price]]-TABLE1[[#This Row],[Entry Price]])/(TABLE1[[#This Row],[Intended Entry]]-TABLE1[[#This Row],[SL Price]]),4)</f>
        <v>1.85</v>
      </c>
      <c r="AZ30" s="19">
        <f>ROUND((TABLE1[[#This Row],[Potential Price]]-TABLE1[[#This Row],[Intended Entry]])/(TABLE1[[#This Row],[Intended Entry]]-TABLE1[[#This Row],[SL Price]]),4)</f>
        <v>1.75</v>
      </c>
      <c r="BA30" s="19">
        <f>TABLE1[[#This Row],[RRR Potential]]-TABLE1[[#This Row],[RRR Realized]]</f>
        <v>2.0500000000000003</v>
      </c>
      <c r="BB30" s="25">
        <f>ROUND((TABLE1[[#This Row],[Exit Price]]-TABLE1[[#This Row],[Entry Price]])/(TABLE1[[#This Row],[Intended Entry]]-TABLE1[[#This Row],[SL Price]]),4)</f>
        <v>-0.2</v>
      </c>
      <c r="BC30" s="4">
        <f>IF(AND((TABLE1[[#This Row],[Back to BE]])=TRUE,(TABLE1[[#This Row],[Price Behaviour]])="Fast Reversal"), 0-(TABLE1[[#This Row],[Missed RRR on Entry]]),ROUND((TABLE1[[#This Row],[Exit Price]]-TABLE1[[#This Row],[Entry Price]])/(TABLE1[[#This Row],[Intended Entry]]-TABLE1[[#This Row],[SL Price]]),4))</f>
        <v>-0.2</v>
      </c>
      <c r="BD30" s="4">
        <f>IF(AND((TABLE1[[#This Row],[Hard RRR Potential]])&gt;=1,(TABLE1[[#This Row],[Back to BE]])="True",(TABLE1[[#This Row],[Price Behaviour]])="Fast Reversal"), 1-(TABLE1[[#This Row],[Missed RRR on Entry]]),ROUND((TABLE1[[#This Row],[Exit Price]]-TABLE1[[#This Row],[Entry Price]])/(TABLE1[[#This Row],[Intended Entry]]-TABLE1[[#This Row],[SL Price]]),4))</f>
        <v>-0.2</v>
      </c>
      <c r="BE30" s="4">
        <f>IF(AND((TABLE1[[#This Row],[Hard RRR Potential]])&gt;=1.5,(TABLE1[[#This Row],[Back to BE]])="True",(TABLE1[[#This Row],[Price Behaviour]])="Fast Reversal"), 1.5-(TABLE1[[#This Row],[Missed RRR on Entry]]),ROUND((TABLE1[[#This Row],[Exit Price]]-TABLE1[[#This Row],[Entry Price]])/(TABLE1[[#This Row],[Intended Entry]]-TABLE1[[#This Row],[SL Price]]),4))</f>
        <v>-0.2</v>
      </c>
      <c r="BF30" s="4">
        <f>IF(AND((TABLE1[[#This Row],[Hard RRR Potential]])&gt;=2,(TABLE1[[#This Row],[Back to BE]])="True",(TABLE1[[#This Row],[Price Behaviour]])="Fast Reversal"), 2-(TABLE1[[#This Row],[Missed RRR on Entry]]),ROUND((TABLE1[[#This Row],[Exit Price]]-TABLE1[[#This Row],[Entry Price]])/(TABLE1[[#This Row],[Intended Entry]]-TABLE1[[#This Row],[SL Price]]),4))</f>
        <v>-0.2</v>
      </c>
      <c r="BG30" s="48">
        <f>IF((TABLE1[[#This Row],[Pattern SL]])&lt;&gt;FALSE,((TABLE1[[#This Row],[Pattern SL]])-(TABLE1[[#This Row],[Entry Price]]))/((TABLE1[[#This Row],[Intended Entry]])-(TABLE1[[#This Row],[SL Price]])),ROUND((TABLE1[[#This Row],[Exit Price]]-TABLE1[[#This Row],[Entry Price]])/(TABLE1[[#This Row],[Intended Entry]]-TABLE1[[#This Row],[SL Price]]),4))</f>
        <v>0.60000000000000264</v>
      </c>
      <c r="BH3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I30"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J30" s="21">
        <f>IF( TABLE1[[#This Row],[Wick Exit]]&lt;&gt; FALSE,TABLE1[[#This Row],[RRR Wick Exit]],IF(TABLE1[[#This Row],[Volume Exit]]&lt;&gt; FALSE,TABLE1[[#This Row],[RRR Volume Exit]],TABLE1[[#This Row],[RRR Realized]]))</f>
        <v>-0.2</v>
      </c>
      <c r="BK30"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v>
      </c>
      <c r="BL30" s="4">
        <f>IF(OR(AND(TABLE1[[#This Row],[Hard RRR Potential]]&gt;=2.5,TABLE1[[#This Row],[Volume Exit]]=FALSE,TABLE1[[#This Row],[Wick Exit]]=FALSE),AND(TABLE1[[#This Row],[Hard RRR Potential]]&gt;=2.5,TABLE1[[#This Row],[Volume Exit RRR Reach]]&gt;=2.5,TABLE1[[#This Row],[Wick Exit]]=FALSE)), 2.5-TABLE1[[#This Row],[Missed RRR on Entry]],TABLE1[[#This Row],[RRR Realized]])</f>
        <v>-0.2</v>
      </c>
      <c r="BM30" s="4">
        <f>IF(OR(AND(TABLE1[[#This Row],[Hard RRR Potential]]&gt;=3,TABLE1[[#This Row],[Volume Exit]]=FALSE,TABLE1[[#This Row],[Wick Exit]]=FALSE),AND(TABLE1[[#This Row],[Hard RRR Potential]]&gt;=3,TABLE1[[#This Row],[Volume Exit RRR Reach]]&gt;=3,TABLE1[[#This Row],[Wick Exit]]=FALSE)), 3-TABLE1[[#This Row],[Missed RRR on Entry]],TABLE1[[#This Row],[RRR Realized]])</f>
        <v>-0.2</v>
      </c>
    </row>
    <row r="31" spans="1:67" x14ac:dyDescent="0.45">
      <c r="A31" t="s">
        <v>239</v>
      </c>
      <c r="B31">
        <v>30</v>
      </c>
      <c r="C31" s="2">
        <v>43579</v>
      </c>
      <c r="D31" s="1">
        <v>0.40347222222222223</v>
      </c>
      <c r="E31" s="1">
        <v>0.40416666666666662</v>
      </c>
      <c r="F31" s="4">
        <v>6.6</v>
      </c>
      <c r="G31" s="4">
        <f>-105.09+6.6</f>
        <v>-98.490000000000009</v>
      </c>
      <c r="H31" s="15">
        <v>500</v>
      </c>
      <c r="I31" t="s">
        <v>18</v>
      </c>
      <c r="J31" t="s">
        <v>21</v>
      </c>
      <c r="K31">
        <v>3.4</v>
      </c>
      <c r="L31">
        <v>3.4</v>
      </c>
      <c r="M31">
        <v>3.2</v>
      </c>
      <c r="N31">
        <v>3.2</v>
      </c>
      <c r="O31">
        <v>3.45</v>
      </c>
      <c r="P31">
        <v>3.2</v>
      </c>
      <c r="Q31">
        <v>3.45</v>
      </c>
      <c r="R31">
        <v>3.45</v>
      </c>
      <c r="S31" t="b">
        <v>0</v>
      </c>
      <c r="T31" t="b">
        <v>0</v>
      </c>
      <c r="U31" t="b">
        <v>0</v>
      </c>
      <c r="W31" t="b">
        <v>0</v>
      </c>
      <c r="Z31" t="b">
        <v>0</v>
      </c>
      <c r="AA31" t="b">
        <v>0</v>
      </c>
      <c r="AB31" t="s">
        <v>24</v>
      </c>
      <c r="AC31" t="s">
        <v>31</v>
      </c>
      <c r="AD31" t="s">
        <v>33</v>
      </c>
      <c r="AE31">
        <v>383</v>
      </c>
      <c r="AG31">
        <v>1</v>
      </c>
      <c r="AH31" t="b">
        <v>0</v>
      </c>
      <c r="AI31">
        <v>3.15</v>
      </c>
      <c r="AJ31" t="s">
        <v>137</v>
      </c>
      <c r="AK31" t="s">
        <v>167</v>
      </c>
      <c r="AL31">
        <v>1.42</v>
      </c>
      <c r="AM31">
        <v>-0.16</v>
      </c>
      <c r="AN31">
        <v>28.15</v>
      </c>
      <c r="AO31" s="22" t="s">
        <v>242</v>
      </c>
      <c r="AP31" s="4">
        <f>IF(TABLE1[[#This Row],[Buy/Sell]]="BUY",(TABLE1[[#This Row],[Highest Price]]-TABLE1[[#This Row],[Entry Price]])/(TABLE1[[#This Row],[Intended Entry]]-TABLE1[[#This Row],[SL Price]]),(TABLE1[[#This Row],[Entry Price]]-TABLE1[[#This Row],[Lowest Price]])/(TABLE1[[#This Row],[SL Price]]-TABLE1[[#This Row],[Intended Entry]]))</f>
        <v>0.25000000000000167</v>
      </c>
      <c r="AQ31" s="19">
        <f>IF(TABLE1[[#This Row],[Buy/Sell]]="BUY",(TABLE1[[#This Row],[Entry Price]]-TABLE1[[#This Row],[Lowest Price]])/(TABLE1[[#This Row],[SL Price]]-TABLE1[[#This Row],[Intended Entry]]),(TABLE1[[#This Row],[Entry Price]]-TABLE1[[#This Row],[Highest Price]])/(TABLE1[[#This Row],[SL Price]]-TABLE1[[#This Row],[Intended Entry]]))</f>
        <v>-1</v>
      </c>
      <c r="AR31" s="4" t="str">
        <f>IF(AND(TABLE1[[#This Row],[RRR Realized]]&lt;0.5,TABLE1[[#This Row],[RRR Realized]]&gt;-0.6),"BE",IF(TABLE1[[#This Row],[Gain/Loss]]&lt;0, "LOSER", "WINNER"))</f>
        <v>LOSER</v>
      </c>
      <c r="AS31" s="4">
        <f>TABLE1[[#This Row],[Gain/Loss]]-TABLE1[[#This Row],[Comissions]]</f>
        <v>-105.09</v>
      </c>
      <c r="AT31" s="3">
        <f>TABLE1[[#This Row],[Exit Time]]-TABLE1[[#This Row],[Entry Time]]</f>
        <v>6.9444444444438647E-4</v>
      </c>
      <c r="AU31" s="4">
        <f>TABLE1[[#This Row],[Net Gain/Loss]]+AU30</f>
        <v>924.00889999999993</v>
      </c>
      <c r="AV31" s="4">
        <f>IF(TABLE1[[#This Row],[Potential Price Before BE]]=FALSE,"FALSE",( TABLE1[[#This Row],[Potential Price Before BE]]-TABLE1[[#This Row],[Intended Entry]])/(TABLE1[[#This Row],[Intended Entry]]-TABLE1[[#This Row],[SL Price]]))</f>
        <v>0.25000000000000167</v>
      </c>
      <c r="AW31" s="4">
        <f>(IF(TABLE1[[#This Row],[Buy/Sell]]="BUY",(TABLE1[[#This Row],[Entry Price]]-TABLE1[[#This Row],[SL Price]])/(TABLE1[[#This Row],[Intended Entry]]-TABLE1[[#This Row],[SL Price]]),(TABLE1[[#This Row],[SL Price]]-TABLE1[[#This Row],[Entry Price]])/(TABLE1[[#This Row],[SL Price]]-TABLE1[[#This Row],[Intended Entry]])))-1</f>
        <v>0</v>
      </c>
      <c r="AX31" s="19">
        <f>TABLE1[[#This Row],[Missed RRR on Entry]]</f>
        <v>0</v>
      </c>
      <c r="AY31" s="19">
        <f>ROUND((TABLE1[[#This Row],[Potential Price]]-TABLE1[[#This Row],[Entry Price]])/(TABLE1[[#This Row],[Intended Entry]]-TABLE1[[#This Row],[SL Price]]),4)</f>
        <v>0.25</v>
      </c>
      <c r="AZ31" s="19">
        <f>ROUND((TABLE1[[#This Row],[Potential Price]]-TABLE1[[#This Row],[Intended Entry]])/(TABLE1[[#This Row],[Intended Entry]]-TABLE1[[#This Row],[SL Price]]),4)</f>
        <v>0.25</v>
      </c>
      <c r="BA31" s="19">
        <f>TABLE1[[#This Row],[RRR Potential]]-TABLE1[[#This Row],[RRR Realized]]</f>
        <v>1.25</v>
      </c>
      <c r="BB31" s="25">
        <f>ROUND((TABLE1[[#This Row],[Exit Price]]-TABLE1[[#This Row],[Entry Price]])/(TABLE1[[#This Row],[Intended Entry]]-TABLE1[[#This Row],[SL Price]]),4)</f>
        <v>-1</v>
      </c>
      <c r="BC31" s="4">
        <f>IF(AND((TABLE1[[#This Row],[Back to BE]])=TRUE,(TABLE1[[#This Row],[Price Behaviour]])="Fast Reversal"), 0-(TABLE1[[#This Row],[Missed RRR on Entry]]),ROUND((TABLE1[[#This Row],[Exit Price]]-TABLE1[[#This Row],[Entry Price]])/(TABLE1[[#This Row],[Intended Entry]]-TABLE1[[#This Row],[SL Price]]),4))</f>
        <v>-1</v>
      </c>
      <c r="BD31" s="4">
        <f>IF(AND((TABLE1[[#This Row],[Hard RRR Potential]])&gt;=1,(TABLE1[[#This Row],[Back to BE]])="True",(TABLE1[[#This Row],[Price Behaviour]])="Fast Reversal"), 1-(TABLE1[[#This Row],[Missed RRR on Entry]]),ROUND((TABLE1[[#This Row],[Exit Price]]-TABLE1[[#This Row],[Entry Price]])/(TABLE1[[#This Row],[Intended Entry]]-TABLE1[[#This Row],[SL Price]]),4))</f>
        <v>-1</v>
      </c>
      <c r="BE31" s="4">
        <f>IF(AND((TABLE1[[#This Row],[Hard RRR Potential]])&gt;=1.5,(TABLE1[[#This Row],[Back to BE]])="True",(TABLE1[[#This Row],[Price Behaviour]])="Fast Reversal"), 1.5-(TABLE1[[#This Row],[Missed RRR on Entry]]),ROUND((TABLE1[[#This Row],[Exit Price]]-TABLE1[[#This Row],[Entry Price]])/(TABLE1[[#This Row],[Intended Entry]]-TABLE1[[#This Row],[SL Price]]),4))</f>
        <v>-1</v>
      </c>
      <c r="BF31" s="4">
        <f>IF(AND((TABLE1[[#This Row],[Hard RRR Potential]])&gt;=2,(TABLE1[[#This Row],[Back to BE]])="True",(TABLE1[[#This Row],[Price Behaviour]])="Fast Reversal"), 2-(TABLE1[[#This Row],[Missed RRR on Entry]]),ROUND((TABLE1[[#This Row],[Exit Price]]-TABLE1[[#This Row],[Entry Price]])/(TABLE1[[#This Row],[Intended Entry]]-TABLE1[[#This Row],[SL Price]]),4))</f>
        <v>-1</v>
      </c>
      <c r="BG31" s="48">
        <f>IF((TABLE1[[#This Row],[Pattern SL]])&lt;&gt;FALSE,((TABLE1[[#This Row],[Pattern SL]])-(TABLE1[[#This Row],[Entry Price]]))/((TABLE1[[#This Row],[Intended Entry]])-(TABLE1[[#This Row],[SL Price]])),ROUND((TABLE1[[#This Row],[Exit Price]]-TABLE1[[#This Row],[Entry Price]])/(TABLE1[[#This Row],[Intended Entry]]-TABLE1[[#This Row],[SL Price]]),4))</f>
        <v>-1</v>
      </c>
      <c r="BH3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I31"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J31" s="21">
        <f>IF( TABLE1[[#This Row],[Wick Exit]]&lt;&gt; FALSE,TABLE1[[#This Row],[RRR Wick Exit]],IF(TABLE1[[#This Row],[Volume Exit]]&lt;&gt; FALSE,TABLE1[[#This Row],[RRR Volume Exit]],TABLE1[[#This Row],[RRR Realized]]))</f>
        <v>-1</v>
      </c>
      <c r="BK31"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L31"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M31" s="4">
        <f>IF(OR(AND(TABLE1[[#This Row],[Hard RRR Potential]]&gt;=3,TABLE1[[#This Row],[Volume Exit]]=FALSE,TABLE1[[#This Row],[Wick Exit]]=FALSE),AND(TABLE1[[#This Row],[Hard RRR Potential]]&gt;=3,TABLE1[[#This Row],[Volume Exit RRR Reach]]&gt;=3,TABLE1[[#This Row],[Wick Exit]]=FALSE)), 3-TABLE1[[#This Row],[Missed RRR on Entry]],TABLE1[[#This Row],[RRR Realized]])</f>
        <v>-1</v>
      </c>
    </row>
    <row r="32" spans="1:67" x14ac:dyDescent="0.45">
      <c r="A32" t="s">
        <v>239</v>
      </c>
      <c r="B32">
        <v>31</v>
      </c>
      <c r="C32" s="2">
        <v>43579</v>
      </c>
      <c r="D32" s="1">
        <v>0.40763888888888888</v>
      </c>
      <c r="E32" s="1">
        <v>0.4284722222222222</v>
      </c>
      <c r="F32" s="4">
        <v>5.0999999999999996</v>
      </c>
      <c r="G32" s="4">
        <f>129+5.1</f>
        <v>134.1</v>
      </c>
      <c r="H32" s="15">
        <v>500</v>
      </c>
      <c r="I32" t="s">
        <v>18</v>
      </c>
      <c r="J32" t="s">
        <v>21</v>
      </c>
      <c r="K32">
        <v>3.46</v>
      </c>
      <c r="L32">
        <v>3.46</v>
      </c>
      <c r="M32">
        <v>3.26</v>
      </c>
      <c r="N32">
        <v>3.73</v>
      </c>
      <c r="O32">
        <v>3.85</v>
      </c>
      <c r="P32">
        <v>3.36</v>
      </c>
      <c r="Q32">
        <v>3.86</v>
      </c>
      <c r="R32">
        <v>3.86</v>
      </c>
      <c r="S32">
        <v>3.51</v>
      </c>
      <c r="T32" t="b">
        <v>0</v>
      </c>
      <c r="U32" t="b">
        <v>0</v>
      </c>
      <c r="W32">
        <v>3.73</v>
      </c>
      <c r="X32">
        <v>1.95</v>
      </c>
      <c r="Y32">
        <v>1.95</v>
      </c>
      <c r="Z32" t="b">
        <v>0</v>
      </c>
      <c r="AA32" t="b">
        <v>0</v>
      </c>
      <c r="AB32" t="s">
        <v>25</v>
      </c>
      <c r="AC32" t="s">
        <v>28</v>
      </c>
      <c r="AD32" t="s">
        <v>33</v>
      </c>
      <c r="AE32">
        <v>383</v>
      </c>
      <c r="AG32">
        <v>1</v>
      </c>
      <c r="AH32" t="s">
        <v>319</v>
      </c>
      <c r="AI32">
        <v>3.2</v>
      </c>
      <c r="AJ32" t="s">
        <v>137</v>
      </c>
      <c r="AK32" t="s">
        <v>167</v>
      </c>
      <c r="AL32">
        <v>1.42</v>
      </c>
      <c r="AM32">
        <v>-0.16</v>
      </c>
      <c r="AN32">
        <v>28.15</v>
      </c>
      <c r="AO32" s="22" t="s">
        <v>242</v>
      </c>
      <c r="AP32" s="4">
        <f>IF(TABLE1[[#This Row],[Buy/Sell]]="BUY",(TABLE1[[#This Row],[Highest Price]]-TABLE1[[#This Row],[Entry Price]])/(TABLE1[[#This Row],[Intended Entry]]-TABLE1[[#This Row],[SL Price]]),(TABLE1[[#This Row],[Entry Price]]-TABLE1[[#This Row],[Lowest Price]])/(TABLE1[[#This Row],[SL Price]]-TABLE1[[#This Row],[Intended Entry]]))</f>
        <v>1.9499999999999988</v>
      </c>
      <c r="AQ32" s="19">
        <f>IF(TABLE1[[#This Row],[Buy/Sell]]="BUY",(TABLE1[[#This Row],[Entry Price]]-TABLE1[[#This Row],[Lowest Price]])/(TABLE1[[#This Row],[SL Price]]-TABLE1[[#This Row],[Intended Entry]]),(TABLE1[[#This Row],[Entry Price]]-TABLE1[[#This Row],[Highest Price]])/(TABLE1[[#This Row],[SL Price]]-TABLE1[[#This Row],[Intended Entry]]))</f>
        <v>-0.5</v>
      </c>
      <c r="AR32" s="4" t="str">
        <f>IF(AND(TABLE1[[#This Row],[RRR Realized]]&lt;0.5,TABLE1[[#This Row],[RRR Realized]]&gt;-0.6),"BE",IF(TABLE1[[#This Row],[Gain/Loss]]&lt;0, "LOSER", "WINNER"))</f>
        <v>WINNER</v>
      </c>
      <c r="AS32" s="4">
        <f>TABLE1[[#This Row],[Gain/Loss]]-TABLE1[[#This Row],[Comissions]]</f>
        <v>129</v>
      </c>
      <c r="AT32" s="3">
        <f>TABLE1[[#This Row],[Exit Time]]-TABLE1[[#This Row],[Entry Time]]</f>
        <v>2.0833333333333315E-2</v>
      </c>
      <c r="AU32" s="4">
        <f>TABLE1[[#This Row],[Net Gain/Loss]]+AU31</f>
        <v>1053.0088999999998</v>
      </c>
      <c r="AV32" s="4">
        <f>IF(TABLE1[[#This Row],[Potential Price Before BE]]=FALSE,"FALSE",( TABLE1[[#This Row],[Potential Price Before BE]]-TABLE1[[#This Row],[Intended Entry]])/(TABLE1[[#This Row],[Intended Entry]]-TABLE1[[#This Row],[SL Price]]))</f>
        <v>1.9999999999999978</v>
      </c>
      <c r="AW32" s="4">
        <f>(IF(TABLE1[[#This Row],[Buy/Sell]]="BUY",(TABLE1[[#This Row],[Entry Price]]-TABLE1[[#This Row],[SL Price]])/(TABLE1[[#This Row],[Intended Entry]]-TABLE1[[#This Row],[SL Price]]),(TABLE1[[#This Row],[SL Price]]-TABLE1[[#This Row],[Entry Price]])/(TABLE1[[#This Row],[SL Price]]-TABLE1[[#This Row],[Intended Entry]])))-1</f>
        <v>0</v>
      </c>
      <c r="AX32" s="19">
        <f>TABLE1[[#This Row],[Missed RRR on Entry]]</f>
        <v>0</v>
      </c>
      <c r="AY32" s="19">
        <f>ROUND((TABLE1[[#This Row],[Potential Price]]-TABLE1[[#This Row],[Entry Price]])/(TABLE1[[#This Row],[Intended Entry]]-TABLE1[[#This Row],[SL Price]]),4)</f>
        <v>2</v>
      </c>
      <c r="AZ32" s="19">
        <f>ROUND((TABLE1[[#This Row],[Potential Price]]-TABLE1[[#This Row],[Intended Entry]])/(TABLE1[[#This Row],[Intended Entry]]-TABLE1[[#This Row],[SL Price]]),4)</f>
        <v>2</v>
      </c>
      <c r="BA32" s="19">
        <f>TABLE1[[#This Row],[RRR Potential]]-TABLE1[[#This Row],[RRR Realized]]</f>
        <v>0.64999999999999991</v>
      </c>
      <c r="BB32" s="25">
        <f>ROUND((TABLE1[[#This Row],[Exit Price]]-TABLE1[[#This Row],[Entry Price]])/(TABLE1[[#This Row],[Intended Entry]]-TABLE1[[#This Row],[SL Price]]),4)</f>
        <v>1.35</v>
      </c>
      <c r="BC32" s="4">
        <f>IF(AND((TABLE1[[#This Row],[Back to BE]])=TRUE,(TABLE1[[#This Row],[Price Behaviour]])="Fast Reversal"), 0-(TABLE1[[#This Row],[Missed RRR on Entry]]),ROUND((TABLE1[[#This Row],[Exit Price]]-TABLE1[[#This Row],[Entry Price]])/(TABLE1[[#This Row],[Intended Entry]]-TABLE1[[#This Row],[SL Price]]),4))</f>
        <v>1.35</v>
      </c>
      <c r="BD32" s="4">
        <f>IF(AND((TABLE1[[#This Row],[Hard RRR Potential]])&gt;=1,(TABLE1[[#This Row],[Back to BE]])="True",(TABLE1[[#This Row],[Price Behaviour]])="Fast Reversal"), 1-(TABLE1[[#This Row],[Missed RRR on Entry]]),ROUND((TABLE1[[#This Row],[Exit Price]]-TABLE1[[#This Row],[Entry Price]])/(TABLE1[[#This Row],[Intended Entry]]-TABLE1[[#This Row],[SL Price]]),4))</f>
        <v>1.35</v>
      </c>
      <c r="BE32" s="4">
        <f>IF(AND((TABLE1[[#This Row],[Hard RRR Potential]])&gt;=1.5,(TABLE1[[#This Row],[Back to BE]])="True",(TABLE1[[#This Row],[Price Behaviour]])="Fast Reversal"), 1.5-(TABLE1[[#This Row],[Missed RRR on Entry]]),ROUND((TABLE1[[#This Row],[Exit Price]]-TABLE1[[#This Row],[Entry Price]])/(TABLE1[[#This Row],[Intended Entry]]-TABLE1[[#This Row],[SL Price]]),4))</f>
        <v>1.35</v>
      </c>
      <c r="BF32" s="4">
        <f>IF(AND((TABLE1[[#This Row],[Hard RRR Potential]])&gt;=2,(TABLE1[[#This Row],[Back to BE]])="True",(TABLE1[[#This Row],[Price Behaviour]])="Fast Reversal"), 2-(TABLE1[[#This Row],[Missed RRR on Entry]]),ROUND((TABLE1[[#This Row],[Exit Price]]-TABLE1[[#This Row],[Entry Price]])/(TABLE1[[#This Row],[Intended Entry]]-TABLE1[[#This Row],[SL Price]]),4))</f>
        <v>1.35</v>
      </c>
      <c r="BG32" s="48">
        <f>IF((TABLE1[[#This Row],[Pattern SL]])&lt;&gt;FALSE,((TABLE1[[#This Row],[Pattern SL]])-(TABLE1[[#This Row],[Entry Price]]))/((TABLE1[[#This Row],[Intended Entry]])-(TABLE1[[#This Row],[SL Price]])),ROUND((TABLE1[[#This Row],[Exit Price]]-TABLE1[[#This Row],[Entry Price]])/(TABLE1[[#This Row],[Intended Entry]]-TABLE1[[#This Row],[SL Price]]),4))</f>
        <v>0.24999999999999889</v>
      </c>
      <c r="BH3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1.349999999999999</v>
      </c>
      <c r="BI3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1.35</v>
      </c>
      <c r="BJ32" s="21">
        <f>IF( TABLE1[[#This Row],[Wick Exit]]&lt;&gt; FALSE,TABLE1[[#This Row],[RRR Wick Exit]],IF(TABLE1[[#This Row],[Volume Exit]]&lt;&gt; FALSE,TABLE1[[#This Row],[RRR Volume Exit]],TABLE1[[#This Row],[RRR Realized]]))</f>
        <v>1.349999999999999</v>
      </c>
      <c r="BK3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1.35</v>
      </c>
      <c r="BL32" s="4">
        <f>IF(OR(AND(TABLE1[[#This Row],[Hard RRR Potential]]&gt;=2.5,TABLE1[[#This Row],[Volume Exit]]=FALSE,TABLE1[[#This Row],[Wick Exit]]=FALSE),AND(TABLE1[[#This Row],[Hard RRR Potential]]&gt;=2.5,TABLE1[[#This Row],[Volume Exit RRR Reach]]&gt;=2.5,TABLE1[[#This Row],[Wick Exit]]=FALSE)), 2.5-TABLE1[[#This Row],[Missed RRR on Entry]],TABLE1[[#This Row],[RRR Realized]])</f>
        <v>1.35</v>
      </c>
      <c r="BM32" s="4">
        <f>IF(OR(AND(TABLE1[[#This Row],[Hard RRR Potential]]&gt;=3,TABLE1[[#This Row],[Volume Exit]]=FALSE,TABLE1[[#This Row],[Wick Exit]]=FALSE),AND(TABLE1[[#This Row],[Hard RRR Potential]]&gt;=3,TABLE1[[#This Row],[Volume Exit RRR Reach]]&gt;=3,TABLE1[[#This Row],[Wick Exit]]=FALSE)), 3-TABLE1[[#This Row],[Missed RRR on Entry]],TABLE1[[#This Row],[RRR Realized]])</f>
        <v>1.35</v>
      </c>
    </row>
    <row r="33" spans="1:65" x14ac:dyDescent="0.45">
      <c r="A33" t="s">
        <v>240</v>
      </c>
      <c r="B33">
        <v>32</v>
      </c>
      <c r="C33" s="2">
        <v>43581</v>
      </c>
      <c r="D33" s="1">
        <v>0.42083333333333334</v>
      </c>
      <c r="E33" s="1">
        <v>0.42152777777777778</v>
      </c>
      <c r="F33" s="4">
        <v>3.2</v>
      </c>
      <c r="G33" s="4">
        <v>12.04</v>
      </c>
      <c r="H33" s="15">
        <v>333</v>
      </c>
      <c r="I33" t="s">
        <v>18</v>
      </c>
      <c r="J33" t="s">
        <v>21</v>
      </c>
      <c r="K33">
        <v>2.66</v>
      </c>
      <c r="L33">
        <v>2.5990000000000002</v>
      </c>
      <c r="M33">
        <f>2.66-0.3</f>
        <v>2.3600000000000003</v>
      </c>
      <c r="N33">
        <v>2.649</v>
      </c>
      <c r="O33">
        <v>2.78</v>
      </c>
      <c r="P33">
        <v>2.5299999999999998</v>
      </c>
      <c r="Q33">
        <v>2.78</v>
      </c>
      <c r="R33">
        <v>2.78</v>
      </c>
      <c r="S33" t="b">
        <v>0</v>
      </c>
      <c r="T33" t="b">
        <v>0</v>
      </c>
      <c r="U33" t="b">
        <v>0</v>
      </c>
      <c r="V33" t="b">
        <v>0</v>
      </c>
      <c r="W33" t="b">
        <v>0</v>
      </c>
      <c r="Z33" t="b">
        <v>0</v>
      </c>
      <c r="AA33">
        <v>2.649</v>
      </c>
      <c r="AB33" t="s">
        <v>24</v>
      </c>
      <c r="AC33" t="s">
        <v>30</v>
      </c>
      <c r="AD33" t="s">
        <v>33</v>
      </c>
      <c r="AE33">
        <v>50</v>
      </c>
      <c r="AG33">
        <v>1</v>
      </c>
      <c r="AH33" t="b">
        <v>0</v>
      </c>
      <c r="AI33">
        <v>2.72</v>
      </c>
      <c r="AJ33" t="s">
        <v>137</v>
      </c>
      <c r="AK33" t="s">
        <v>167</v>
      </c>
      <c r="AL33">
        <v>1.49</v>
      </c>
      <c r="AM33">
        <v>0.12</v>
      </c>
      <c r="AN33">
        <v>16.399999999999999</v>
      </c>
      <c r="AO33" s="22" t="s">
        <v>241</v>
      </c>
      <c r="AP33" s="4">
        <f>IF(TABLE1[[#This Row],[Buy/Sell]]="BUY",(TABLE1[[#This Row],[Highest Price]]-TABLE1[[#This Row],[Entry Price]])/(TABLE1[[#This Row],[Intended Entry]]-TABLE1[[#This Row],[SL Price]]),(TABLE1[[#This Row],[Entry Price]]-TABLE1[[#This Row],[Lowest Price]])/(TABLE1[[#This Row],[SL Price]]-TABLE1[[#This Row],[Intended Entry]]))</f>
        <v>0.60333333333333239</v>
      </c>
      <c r="AQ33" s="19">
        <f>IF(TABLE1[[#This Row],[Buy/Sell]]="BUY",(TABLE1[[#This Row],[Entry Price]]-TABLE1[[#This Row],[Lowest Price]])/(TABLE1[[#This Row],[SL Price]]-TABLE1[[#This Row],[Intended Entry]]),(TABLE1[[#This Row],[Entry Price]]-TABLE1[[#This Row],[Highest Price]])/(TABLE1[[#This Row],[SL Price]]-TABLE1[[#This Row],[Intended Entry]]))</f>
        <v>-0.23000000000000145</v>
      </c>
      <c r="AR33" s="4" t="str">
        <f>IF(AND(TABLE1[[#This Row],[RRR Realized]]&lt;0.5,TABLE1[[#This Row],[RRR Realized]]&gt;-0.6),"BE",IF(TABLE1[[#This Row],[Gain/Loss]]&lt;0, "LOSER", "WINNER"))</f>
        <v>BE</v>
      </c>
      <c r="AS33" s="4">
        <f>TABLE1[[#This Row],[Gain/Loss]]-TABLE1[[#This Row],[Comissions]]</f>
        <v>8.84</v>
      </c>
      <c r="AT33" s="3">
        <f>TABLE1[[#This Row],[Exit Time]]-TABLE1[[#This Row],[Entry Time]]</f>
        <v>6.9444444444444198E-4</v>
      </c>
      <c r="AU33" s="4">
        <f>TABLE1[[#This Row],[Net Gain/Loss]]+AU32</f>
        <v>1061.8488999999997</v>
      </c>
      <c r="AV33" s="4">
        <f>IF(TABLE1[[#This Row],[Potential Price Before BE]]=FALSE,"FALSE",( TABLE1[[#This Row],[Potential Price Before BE]]-TABLE1[[#This Row],[Intended Entry]])/(TABLE1[[#This Row],[Intended Entry]]-TABLE1[[#This Row],[SL Price]]))</f>
        <v>0.39999999999999913</v>
      </c>
      <c r="AW33" s="4">
        <f>(IF(TABLE1[[#This Row],[Buy/Sell]]="BUY",(TABLE1[[#This Row],[Entry Price]]-TABLE1[[#This Row],[SL Price]])/(TABLE1[[#This Row],[Intended Entry]]-TABLE1[[#This Row],[SL Price]]),(TABLE1[[#This Row],[SL Price]]-TABLE1[[#This Row],[Entry Price]])/(TABLE1[[#This Row],[SL Price]]-TABLE1[[#This Row],[Intended Entry]])))-1</f>
        <v>-0.20333333333333325</v>
      </c>
      <c r="AX33" s="19">
        <f>TABLE1[[#This Row],[Missed RRR on Entry]]</f>
        <v>-0.20333333333333325</v>
      </c>
      <c r="AY33" s="19">
        <f>ROUND((TABLE1[[#This Row],[Potential Price]]-TABLE1[[#This Row],[Entry Price]])/(TABLE1[[#This Row],[Intended Entry]]-TABLE1[[#This Row],[SL Price]]),4)</f>
        <v>0.60329999999999995</v>
      </c>
      <c r="AZ33" s="19">
        <f>ROUND((TABLE1[[#This Row],[Potential Price]]-TABLE1[[#This Row],[Intended Entry]])/(TABLE1[[#This Row],[Intended Entry]]-TABLE1[[#This Row],[SL Price]]),4)</f>
        <v>0.4</v>
      </c>
      <c r="BA33" s="19">
        <f>TABLE1[[#This Row],[RRR Potential]]-TABLE1[[#This Row],[RRR Realized]]</f>
        <v>0.43659999999999999</v>
      </c>
      <c r="BB33" s="25">
        <f>ROUND((TABLE1[[#This Row],[Exit Price]]-TABLE1[[#This Row],[Entry Price]])/(TABLE1[[#This Row],[Intended Entry]]-TABLE1[[#This Row],[SL Price]]),4)</f>
        <v>0.16669999999999999</v>
      </c>
      <c r="BC33" s="4">
        <f>IF(AND((TABLE1[[#This Row],[Back to BE]])=TRUE,(TABLE1[[#This Row],[Price Behaviour]])="Fast Reversal"), 0-(TABLE1[[#This Row],[Missed RRR on Entry]]),ROUND((TABLE1[[#This Row],[Exit Price]]-TABLE1[[#This Row],[Entry Price]])/(TABLE1[[#This Row],[Intended Entry]]-TABLE1[[#This Row],[SL Price]]),4))</f>
        <v>0.16669999999999999</v>
      </c>
      <c r="BD33" s="4">
        <f>IF(AND((TABLE1[[#This Row],[Hard RRR Potential]])&gt;=1,(TABLE1[[#This Row],[Back to BE]])="True",(TABLE1[[#This Row],[Price Behaviour]])="Fast Reversal"), 1-(TABLE1[[#This Row],[Missed RRR on Entry]]),ROUND((TABLE1[[#This Row],[Exit Price]]-TABLE1[[#This Row],[Entry Price]])/(TABLE1[[#This Row],[Intended Entry]]-TABLE1[[#This Row],[SL Price]]),4))</f>
        <v>0.16669999999999999</v>
      </c>
      <c r="BE33" s="4">
        <f>IF(AND((TABLE1[[#This Row],[Hard RRR Potential]])&gt;=1.5,(TABLE1[[#This Row],[Back to BE]])="True",(TABLE1[[#This Row],[Price Behaviour]])="Fast Reversal"), 1.5-(TABLE1[[#This Row],[Missed RRR on Entry]]),ROUND((TABLE1[[#This Row],[Exit Price]]-TABLE1[[#This Row],[Entry Price]])/(TABLE1[[#This Row],[Intended Entry]]-TABLE1[[#This Row],[SL Price]]),4))</f>
        <v>0.16669999999999999</v>
      </c>
      <c r="BF33" s="4">
        <f>IF(AND((TABLE1[[#This Row],[Hard RRR Potential]])&gt;=2,(TABLE1[[#This Row],[Back to BE]])="True",(TABLE1[[#This Row],[Price Behaviour]])="Fast Reversal"), 2-(TABLE1[[#This Row],[Missed RRR on Entry]]),ROUND((TABLE1[[#This Row],[Exit Price]]-TABLE1[[#This Row],[Entry Price]])/(TABLE1[[#This Row],[Intended Entry]]-TABLE1[[#This Row],[SL Price]]),4))</f>
        <v>0.16669999999999999</v>
      </c>
      <c r="BG33" s="48">
        <f>IF((TABLE1[[#This Row],[Pattern SL]])&lt;&gt;FALSE,((TABLE1[[#This Row],[Pattern SL]])-(TABLE1[[#This Row],[Entry Price]]))/((TABLE1[[#This Row],[Intended Entry]])-(TABLE1[[#This Row],[SL Price]])),ROUND((TABLE1[[#This Row],[Exit Price]]-TABLE1[[#This Row],[Entry Price]])/(TABLE1[[#This Row],[Intended Entry]]-TABLE1[[#This Row],[SL Price]]),4))</f>
        <v>0.16669999999999999</v>
      </c>
      <c r="BH3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0.16669999999999999</v>
      </c>
      <c r="BI3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0.16666666666666619</v>
      </c>
      <c r="BJ33" s="21">
        <f>IF( TABLE1[[#This Row],[Wick Exit]]&lt;&gt; FALSE,TABLE1[[#This Row],[RRR Wick Exit]],IF(TABLE1[[#This Row],[Volume Exit]]&lt;&gt; FALSE,TABLE1[[#This Row],[RRR Volume Exit]],TABLE1[[#This Row],[RRR Realized]]))</f>
        <v>0.16666666666666619</v>
      </c>
      <c r="BK3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0.16669999999999999</v>
      </c>
      <c r="BL33" s="4">
        <f>IF(OR(AND(TABLE1[[#This Row],[Hard RRR Potential]]&gt;=2.5,TABLE1[[#This Row],[Volume Exit]]=FALSE,TABLE1[[#This Row],[Wick Exit]]=FALSE),AND(TABLE1[[#This Row],[Hard RRR Potential]]&gt;=2.5,TABLE1[[#This Row],[Volume Exit RRR Reach]]&gt;=2.5,TABLE1[[#This Row],[Wick Exit]]=FALSE)), 2.5-TABLE1[[#This Row],[Missed RRR on Entry]],TABLE1[[#This Row],[RRR Realized]])</f>
        <v>0.16669999999999999</v>
      </c>
      <c r="BM33" s="4">
        <f>IF(OR(AND(TABLE1[[#This Row],[Hard RRR Potential]]&gt;=3,TABLE1[[#This Row],[Volume Exit]]=FALSE,TABLE1[[#This Row],[Wick Exit]]=FALSE),AND(TABLE1[[#This Row],[Hard RRR Potential]]&gt;=3,TABLE1[[#This Row],[Volume Exit RRR Reach]]&gt;=3,TABLE1[[#This Row],[Wick Exit]]=FALSE)), 3-TABLE1[[#This Row],[Missed RRR on Entry]],TABLE1[[#This Row],[RRR Realized]])</f>
        <v>0.16669999999999999</v>
      </c>
    </row>
    <row r="34" spans="1:65" x14ac:dyDescent="0.45">
      <c r="A34" t="s">
        <v>243</v>
      </c>
      <c r="B34">
        <v>33</v>
      </c>
      <c r="C34" s="2">
        <v>43585</v>
      </c>
      <c r="D34" s="1">
        <v>0.45902777777777781</v>
      </c>
      <c r="E34" s="1">
        <v>0.4597222222222222</v>
      </c>
      <c r="F34" s="4">
        <v>10.15</v>
      </c>
      <c r="G34" s="4">
        <v>10</v>
      </c>
      <c r="H34" s="15">
        <v>1000</v>
      </c>
      <c r="I34" t="s">
        <v>18</v>
      </c>
      <c r="J34" t="s">
        <v>21</v>
      </c>
      <c r="K34">
        <v>1.31</v>
      </c>
      <c r="L34">
        <v>1.32</v>
      </c>
      <c r="M34">
        <v>1.21</v>
      </c>
      <c r="N34">
        <v>1.33</v>
      </c>
      <c r="O34">
        <v>1.36</v>
      </c>
      <c r="P34">
        <v>1.26</v>
      </c>
      <c r="Q34">
        <v>1.47</v>
      </c>
      <c r="R34">
        <v>1.47</v>
      </c>
      <c r="S34" t="b">
        <v>0</v>
      </c>
      <c r="T34" t="b">
        <v>0</v>
      </c>
      <c r="U34" t="b">
        <v>0</v>
      </c>
      <c r="W34">
        <v>1.35</v>
      </c>
      <c r="X34">
        <v>1.5</v>
      </c>
      <c r="Y34">
        <v>1.5</v>
      </c>
      <c r="Z34" t="b">
        <v>0</v>
      </c>
      <c r="AA34">
        <v>1.33</v>
      </c>
      <c r="AB34" t="s">
        <v>27</v>
      </c>
      <c r="AC34" t="s">
        <v>28</v>
      </c>
      <c r="AD34" t="s">
        <v>33</v>
      </c>
      <c r="AE34">
        <v>170</v>
      </c>
      <c r="AF34">
        <v>15.6</v>
      </c>
      <c r="AG34">
        <v>1</v>
      </c>
      <c r="AH34" t="b">
        <v>0</v>
      </c>
      <c r="AI34">
        <v>1.1599999999999999</v>
      </c>
      <c r="AJ34" t="s">
        <v>135</v>
      </c>
      <c r="AK34" t="s">
        <v>189</v>
      </c>
      <c r="AL34">
        <v>16.82</v>
      </c>
      <c r="AM34">
        <v>-0.14000000000000001</v>
      </c>
      <c r="AN34">
        <v>0.51</v>
      </c>
      <c r="AO34" s="22" t="s">
        <v>244</v>
      </c>
      <c r="AP34" s="4">
        <f>IF(TABLE1[[#This Row],[Buy/Sell]]="BUY",(TABLE1[[#This Row],[Highest Price]]-TABLE1[[#This Row],[Entry Price]])/(TABLE1[[#This Row],[Intended Entry]]-TABLE1[[#This Row],[SL Price]]),(TABLE1[[#This Row],[Entry Price]]-TABLE1[[#This Row],[Lowest Price]])/(TABLE1[[#This Row],[SL Price]]-TABLE1[[#This Row],[Intended Entry]]))</f>
        <v>0.4</v>
      </c>
      <c r="AQ34" s="19">
        <f>IF(TABLE1[[#This Row],[Buy/Sell]]="BUY",(TABLE1[[#This Row],[Entry Price]]-TABLE1[[#This Row],[Lowest Price]])/(TABLE1[[#This Row],[SL Price]]-TABLE1[[#This Row],[Intended Entry]]),(TABLE1[[#This Row],[Entry Price]]-TABLE1[[#This Row],[Highest Price]])/(TABLE1[[#This Row],[SL Price]]-TABLE1[[#This Row],[Intended Entry]]))</f>
        <v>-0.6</v>
      </c>
      <c r="AR34" s="4" t="str">
        <f>IF(AND(TABLE1[[#This Row],[RRR Realized]]&lt;0.5,TABLE1[[#This Row],[RRR Realized]]&gt;-0.6),"BE",IF(TABLE1[[#This Row],[Gain/Loss]]&lt;0, "LOSER", "WINNER"))</f>
        <v>BE</v>
      </c>
      <c r="AS34" s="4">
        <f>TABLE1[[#This Row],[Gain/Loss]]-TABLE1[[#This Row],[Comissions]]</f>
        <v>-0.15000000000000036</v>
      </c>
      <c r="AT34" s="3">
        <f>TABLE1[[#This Row],[Exit Time]]-TABLE1[[#This Row],[Entry Time]]</f>
        <v>6.9444444444438647E-4</v>
      </c>
      <c r="AU34" s="4">
        <f>TABLE1[[#This Row],[Net Gain/Loss]]+AU33</f>
        <v>1061.6988999999996</v>
      </c>
      <c r="AV34" s="4">
        <f>IF(TABLE1[[#This Row],[Potential Price Before BE]]=FALSE,"FALSE",( TABLE1[[#This Row],[Potential Price Before BE]]-TABLE1[[#This Row],[Intended Entry]])/(TABLE1[[#This Row],[Intended Entry]]-TABLE1[[#This Row],[SL Price]]))</f>
        <v>1.5999999999999979</v>
      </c>
      <c r="AW34" s="4">
        <f>(IF(TABLE1[[#This Row],[Buy/Sell]]="BUY",(TABLE1[[#This Row],[Entry Price]]-TABLE1[[#This Row],[SL Price]])/(TABLE1[[#This Row],[Intended Entry]]-TABLE1[[#This Row],[SL Price]]),(TABLE1[[#This Row],[SL Price]]-TABLE1[[#This Row],[Entry Price]])/(TABLE1[[#This Row],[SL Price]]-TABLE1[[#This Row],[Intended Entry]])))-1</f>
        <v>0.10000000000000009</v>
      </c>
      <c r="AX34" s="19">
        <f>TABLE1[[#This Row],[Missed RRR on Entry]]</f>
        <v>0.10000000000000009</v>
      </c>
      <c r="AY34" s="19">
        <f>ROUND((TABLE1[[#This Row],[Potential Price]]-TABLE1[[#This Row],[Entry Price]])/(TABLE1[[#This Row],[Intended Entry]]-TABLE1[[#This Row],[SL Price]]),4)</f>
        <v>1.5</v>
      </c>
      <c r="AZ34" s="19">
        <f>ROUND((TABLE1[[#This Row],[Potential Price]]-TABLE1[[#This Row],[Intended Entry]])/(TABLE1[[#This Row],[Intended Entry]]-TABLE1[[#This Row],[SL Price]]),4)</f>
        <v>1.6</v>
      </c>
      <c r="BA34" s="19">
        <f>TABLE1[[#This Row],[RRR Potential]]-TABLE1[[#This Row],[RRR Realized]]</f>
        <v>1.4</v>
      </c>
      <c r="BB34" s="25">
        <f>ROUND((TABLE1[[#This Row],[Exit Price]]-TABLE1[[#This Row],[Entry Price]])/(TABLE1[[#This Row],[Intended Entry]]-TABLE1[[#This Row],[SL Price]]),4)</f>
        <v>0.1</v>
      </c>
      <c r="BC34" s="4">
        <f>IF(AND((TABLE1[[#This Row],[Back to BE]])=TRUE,(TABLE1[[#This Row],[Price Behaviour]])="Fast Reversal"), 0-(TABLE1[[#This Row],[Missed RRR on Entry]]),ROUND((TABLE1[[#This Row],[Exit Price]]-TABLE1[[#This Row],[Entry Price]])/(TABLE1[[#This Row],[Intended Entry]]-TABLE1[[#This Row],[SL Price]]),4))</f>
        <v>0.1</v>
      </c>
      <c r="BD34" s="4">
        <f>IF(AND((TABLE1[[#This Row],[Hard RRR Potential]])&gt;=1,(TABLE1[[#This Row],[Back to BE]])="True",(TABLE1[[#This Row],[Price Behaviour]])="Fast Reversal"), 1-(TABLE1[[#This Row],[Missed RRR on Entry]]),ROUND((TABLE1[[#This Row],[Exit Price]]-TABLE1[[#This Row],[Entry Price]])/(TABLE1[[#This Row],[Intended Entry]]-TABLE1[[#This Row],[SL Price]]),4))</f>
        <v>0.1</v>
      </c>
      <c r="BE34" s="4">
        <f>IF(AND((TABLE1[[#This Row],[Hard RRR Potential]])&gt;=1.5,(TABLE1[[#This Row],[Back to BE]])="True",(TABLE1[[#This Row],[Price Behaviour]])="Fast Reversal"), 1.5-(TABLE1[[#This Row],[Missed RRR on Entry]]),ROUND((TABLE1[[#This Row],[Exit Price]]-TABLE1[[#This Row],[Entry Price]])/(TABLE1[[#This Row],[Intended Entry]]-TABLE1[[#This Row],[SL Price]]),4))</f>
        <v>0.1</v>
      </c>
      <c r="BF34" s="4">
        <f>IF(AND((TABLE1[[#This Row],[Hard RRR Potential]])&gt;=2,(TABLE1[[#This Row],[Back to BE]])="True",(TABLE1[[#This Row],[Price Behaviour]])="Fast Reversal"), 2-(TABLE1[[#This Row],[Missed RRR on Entry]]),ROUND((TABLE1[[#This Row],[Exit Price]]-TABLE1[[#This Row],[Entry Price]])/(TABLE1[[#This Row],[Intended Entry]]-TABLE1[[#This Row],[SL Price]]),4))</f>
        <v>0.1</v>
      </c>
      <c r="BG34" s="48">
        <f>IF((TABLE1[[#This Row],[Pattern SL]])&lt;&gt;FALSE,((TABLE1[[#This Row],[Pattern SL]])-(TABLE1[[#This Row],[Entry Price]]))/((TABLE1[[#This Row],[Intended Entry]])-(TABLE1[[#This Row],[SL Price]])),ROUND((TABLE1[[#This Row],[Exit Price]]-TABLE1[[#This Row],[Entry Price]])/(TABLE1[[#This Row],[Intended Entry]]-TABLE1[[#This Row],[SL Price]]),4))</f>
        <v>0.1</v>
      </c>
      <c r="BH3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0.3</v>
      </c>
      <c r="BI3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v>
      </c>
      <c r="BJ34" s="21">
        <f>IF( TABLE1[[#This Row],[Wick Exit]]&lt;&gt; FALSE,TABLE1[[#This Row],[RRR Wick Exit]],IF(TABLE1[[#This Row],[Volume Exit]]&lt;&gt; FALSE,TABLE1[[#This Row],[RRR Volume Exit]],TABLE1[[#This Row],[RRR Realized]]))</f>
        <v>0.1</v>
      </c>
      <c r="BK3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v>
      </c>
      <c r="BL34" s="4">
        <f>IF(OR(AND(TABLE1[[#This Row],[Hard RRR Potential]]&gt;=2.5,TABLE1[[#This Row],[Volume Exit]]=FALSE,TABLE1[[#This Row],[Wick Exit]]=FALSE),AND(TABLE1[[#This Row],[Hard RRR Potential]]&gt;=2.5,TABLE1[[#This Row],[Volume Exit RRR Reach]]&gt;=2.5,TABLE1[[#This Row],[Wick Exit]]=FALSE)), 2.5-TABLE1[[#This Row],[Missed RRR on Entry]],TABLE1[[#This Row],[RRR Realized]])</f>
        <v>0.1</v>
      </c>
      <c r="BM34" s="4">
        <f>IF(OR(AND(TABLE1[[#This Row],[Hard RRR Potential]]&gt;=3,TABLE1[[#This Row],[Volume Exit]]=FALSE,TABLE1[[#This Row],[Wick Exit]]=FALSE),AND(TABLE1[[#This Row],[Hard RRR Potential]]&gt;=3,TABLE1[[#This Row],[Volume Exit RRR Reach]]&gt;=3,TABLE1[[#This Row],[Wick Exit]]=FALSE)), 3-TABLE1[[#This Row],[Missed RRR on Entry]],TABLE1[[#This Row],[RRR Realized]])</f>
        <v>0.1</v>
      </c>
    </row>
    <row r="35" spans="1:65" x14ac:dyDescent="0.45">
      <c r="A35" t="s">
        <v>245</v>
      </c>
      <c r="B35">
        <v>34</v>
      </c>
      <c r="C35" s="2">
        <v>43586</v>
      </c>
      <c r="D35" s="1">
        <v>0.41875000000000001</v>
      </c>
      <c r="E35" s="1">
        <v>0.42430555555555555</v>
      </c>
      <c r="F35" s="4">
        <f>3.57+3.54</f>
        <v>7.1099999999999994</v>
      </c>
      <c r="G35" s="4">
        <v>-119</v>
      </c>
      <c r="H35" s="15">
        <v>714</v>
      </c>
      <c r="I35" t="s">
        <v>18</v>
      </c>
      <c r="J35" t="s">
        <v>22</v>
      </c>
      <c r="K35">
        <v>12.63</v>
      </c>
      <c r="L35">
        <v>12.613</v>
      </c>
      <c r="M35">
        <f>12.63+0.14</f>
        <v>12.770000000000001</v>
      </c>
      <c r="N35">
        <v>12.78</v>
      </c>
      <c r="O35">
        <v>12.78</v>
      </c>
      <c r="P35">
        <v>12.56</v>
      </c>
      <c r="Q35">
        <v>12.56</v>
      </c>
      <c r="R35">
        <v>12.56</v>
      </c>
      <c r="S35" t="b">
        <v>0</v>
      </c>
      <c r="T35" t="b">
        <v>0</v>
      </c>
      <c r="U35" t="b">
        <v>0</v>
      </c>
      <c r="V35" t="b">
        <v>1</v>
      </c>
      <c r="W35" t="b">
        <v>0</v>
      </c>
      <c r="Z35" t="b">
        <v>0</v>
      </c>
      <c r="AA35">
        <v>12.66</v>
      </c>
      <c r="AB35" t="s">
        <v>24</v>
      </c>
      <c r="AC35" t="s">
        <v>31</v>
      </c>
      <c r="AD35" t="s">
        <v>34</v>
      </c>
      <c r="AE35">
        <v>12</v>
      </c>
      <c r="AF35">
        <v>78</v>
      </c>
      <c r="AH35" t="b">
        <v>0</v>
      </c>
      <c r="AJ35" t="s">
        <v>135</v>
      </c>
      <c r="AK35" t="s">
        <v>181</v>
      </c>
      <c r="AL35">
        <v>78</v>
      </c>
      <c r="AM35">
        <v>-0.04</v>
      </c>
      <c r="AN35">
        <v>29</v>
      </c>
      <c r="AO35" s="22" t="s">
        <v>247</v>
      </c>
      <c r="AP35" s="4">
        <f>IF(TABLE1[[#This Row],[Buy/Sell]]="BUY",(TABLE1[[#This Row],[Highest Price]]-TABLE1[[#This Row],[Entry Price]])/(TABLE1[[#This Row],[Intended Entry]]-TABLE1[[#This Row],[SL Price]]),(TABLE1[[#This Row],[Entry Price]]-TABLE1[[#This Row],[Lowest Price]])/(TABLE1[[#This Row],[SL Price]]-TABLE1[[#This Row],[Intended Entry]]))</f>
        <v>0.37857142857142023</v>
      </c>
      <c r="AQ35" s="19">
        <f>IF(TABLE1[[#This Row],[Buy/Sell]]="BUY",(TABLE1[[#This Row],[Entry Price]]-TABLE1[[#This Row],[Lowest Price]])/(TABLE1[[#This Row],[SL Price]]-TABLE1[[#This Row],[Intended Entry]]),(TABLE1[[#This Row],[Entry Price]]-TABLE1[[#This Row],[Highest Price]])/(TABLE1[[#This Row],[SL Price]]-TABLE1[[#This Row],[Intended Entry]]))</f>
        <v>-1.1928571428571366</v>
      </c>
      <c r="AR35" s="4" t="str">
        <f>IF(AND(TABLE1[[#This Row],[RRR Realized]]&lt;0.5,TABLE1[[#This Row],[RRR Realized]]&gt;-0.6),"BE",IF(TABLE1[[#This Row],[Gain/Loss]]&lt;0, "LOSER", "WINNER"))</f>
        <v>LOSER</v>
      </c>
      <c r="AS35" s="4">
        <f>TABLE1[[#This Row],[Gain/Loss]]-TABLE1[[#This Row],[Comissions]]</f>
        <v>-126.11</v>
      </c>
      <c r="AT35" s="3">
        <f>TABLE1[[#This Row],[Exit Time]]-TABLE1[[#This Row],[Entry Time]]</f>
        <v>5.5555555555555358E-3</v>
      </c>
      <c r="AU35" s="4">
        <f>TABLE1[[#This Row],[Net Gain/Loss]]+AU34</f>
        <v>935.58889999999963</v>
      </c>
      <c r="AV35" s="4">
        <f>IF(TABLE1[[#This Row],[Potential Price Before BE]]=FALSE,"FALSE",( TABLE1[[#This Row],[Potential Price Before BE]]-TABLE1[[#This Row],[Intended Entry]])/(TABLE1[[#This Row],[Intended Entry]]-TABLE1[[#This Row],[SL Price]]))</f>
        <v>0.5</v>
      </c>
      <c r="AW35" s="4">
        <f>(IF(TABLE1[[#This Row],[Buy/Sell]]="BUY",(TABLE1[[#This Row],[Entry Price]]-TABLE1[[#This Row],[SL Price]])/(TABLE1[[#This Row],[Intended Entry]]-TABLE1[[#This Row],[SL Price]]),(TABLE1[[#This Row],[SL Price]]-TABLE1[[#This Row],[Entry Price]])/(TABLE1[[#This Row],[SL Price]]-TABLE1[[#This Row],[Intended Entry]])))-1</f>
        <v>0.12142857142857966</v>
      </c>
      <c r="AX35" s="19">
        <f>TABLE1[[#This Row],[Missed RRR on Entry]]</f>
        <v>0.12142857142857966</v>
      </c>
      <c r="AY35" s="19">
        <f>ROUND((TABLE1[[#This Row],[Potential Price]]-TABLE1[[#This Row],[Entry Price]])/(TABLE1[[#This Row],[Intended Entry]]-TABLE1[[#This Row],[SL Price]]),4)</f>
        <v>0.37859999999999999</v>
      </c>
      <c r="AZ35" s="19">
        <f>ROUND((TABLE1[[#This Row],[Potential Price]]-TABLE1[[#This Row],[Intended Entry]])/(TABLE1[[#This Row],[Intended Entry]]-TABLE1[[#This Row],[SL Price]]),4)</f>
        <v>0.5</v>
      </c>
      <c r="BA35" s="19">
        <f>TABLE1[[#This Row],[RRR Potential]]-TABLE1[[#This Row],[RRR Realized]]</f>
        <v>1.5715000000000001</v>
      </c>
      <c r="BB35" s="25">
        <f>ROUND((TABLE1[[#This Row],[Exit Price]]-TABLE1[[#This Row],[Entry Price]])/(TABLE1[[#This Row],[Intended Entry]]-TABLE1[[#This Row],[SL Price]]),4)</f>
        <v>-1.1929000000000001</v>
      </c>
      <c r="BC35" s="4">
        <f>IF(AND((TABLE1[[#This Row],[Back to BE]])=TRUE,(TABLE1[[#This Row],[Price Behaviour]])="Fast Reversal"), 0-(TABLE1[[#This Row],[Missed RRR on Entry]]),ROUND((TABLE1[[#This Row],[Exit Price]]-TABLE1[[#This Row],[Entry Price]])/(TABLE1[[#This Row],[Intended Entry]]-TABLE1[[#This Row],[SL Price]]),4))</f>
        <v>-0.12142857142857966</v>
      </c>
      <c r="BD35" s="4">
        <f>IF(AND((TABLE1[[#This Row],[Hard RRR Potential]])&gt;=1,(TABLE1[[#This Row],[Back to BE]])="True",(TABLE1[[#This Row],[Price Behaviour]])="Fast Reversal"), 1-(TABLE1[[#This Row],[Missed RRR on Entry]]),ROUND((TABLE1[[#This Row],[Exit Price]]-TABLE1[[#This Row],[Entry Price]])/(TABLE1[[#This Row],[Intended Entry]]-TABLE1[[#This Row],[SL Price]]),4))</f>
        <v>-1.1929000000000001</v>
      </c>
      <c r="BE35" s="4">
        <f>IF(AND((TABLE1[[#This Row],[Hard RRR Potential]])&gt;=1.5,(TABLE1[[#This Row],[Back to BE]])="True",(TABLE1[[#This Row],[Price Behaviour]])="Fast Reversal"), 1.5-(TABLE1[[#This Row],[Missed RRR on Entry]]),ROUND((TABLE1[[#This Row],[Exit Price]]-TABLE1[[#This Row],[Entry Price]])/(TABLE1[[#This Row],[Intended Entry]]-TABLE1[[#This Row],[SL Price]]),4))</f>
        <v>-1.1929000000000001</v>
      </c>
      <c r="BF35" s="4">
        <f>IF(AND((TABLE1[[#This Row],[Hard RRR Potential]])&gt;=2,(TABLE1[[#This Row],[Back to BE]])="True",(TABLE1[[#This Row],[Price Behaviour]])="Fast Reversal"), 2-(TABLE1[[#This Row],[Missed RRR on Entry]]),ROUND((TABLE1[[#This Row],[Exit Price]]-TABLE1[[#This Row],[Entry Price]])/(TABLE1[[#This Row],[Intended Entry]]-TABLE1[[#This Row],[SL Price]]),4))</f>
        <v>-1.1929000000000001</v>
      </c>
      <c r="BG35" s="48">
        <f>IF((TABLE1[[#This Row],[Pattern SL]])&lt;&gt;FALSE,((TABLE1[[#This Row],[Pattern SL]])-(TABLE1[[#This Row],[Entry Price]]))/((TABLE1[[#This Row],[Intended Entry]])-(TABLE1[[#This Row],[SL Price]])),ROUND((TABLE1[[#This Row],[Exit Price]]-TABLE1[[#This Row],[Entry Price]])/(TABLE1[[#This Row],[Intended Entry]]-TABLE1[[#This Row],[SL Price]]),4))</f>
        <v>-1.1929000000000001</v>
      </c>
      <c r="BH3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-1.1929000000000001</v>
      </c>
      <c r="BI3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0.33571428571428863</v>
      </c>
      <c r="BJ35" s="21">
        <f>IF( TABLE1[[#This Row],[Wick Exit]]&lt;&gt; FALSE,TABLE1[[#This Row],[RRR Wick Exit]],IF(TABLE1[[#This Row],[Volume Exit]]&lt;&gt; FALSE,TABLE1[[#This Row],[RRR Volume Exit]],TABLE1[[#This Row],[RRR Realized]]))</f>
        <v>0.33571428571428863</v>
      </c>
      <c r="BK3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-1.1929000000000001</v>
      </c>
      <c r="BL35" s="4">
        <f>IF(OR(AND(TABLE1[[#This Row],[Hard RRR Potential]]&gt;=2.5,TABLE1[[#This Row],[Volume Exit]]=FALSE,TABLE1[[#This Row],[Wick Exit]]=FALSE),AND(TABLE1[[#This Row],[Hard RRR Potential]]&gt;=2.5,TABLE1[[#This Row],[Volume Exit RRR Reach]]&gt;=2.5,TABLE1[[#This Row],[Wick Exit]]=FALSE)), 2.5-TABLE1[[#This Row],[Missed RRR on Entry]],TABLE1[[#This Row],[RRR Realized]])</f>
        <v>-1.1929000000000001</v>
      </c>
      <c r="BM35" s="4">
        <f>IF(OR(AND(TABLE1[[#This Row],[Hard RRR Potential]]&gt;=3,TABLE1[[#This Row],[Volume Exit]]=FALSE,TABLE1[[#This Row],[Wick Exit]]=FALSE),AND(TABLE1[[#This Row],[Hard RRR Potential]]&gt;=3,TABLE1[[#This Row],[Volume Exit RRR Reach]]&gt;=3,TABLE1[[#This Row],[Wick Exit]]=FALSE)), 3-TABLE1[[#This Row],[Missed RRR on Entry]],TABLE1[[#This Row],[RRR Realized]])</f>
        <v>-1.1929000000000001</v>
      </c>
    </row>
    <row r="36" spans="1:65" x14ac:dyDescent="0.45">
      <c r="A36" t="s">
        <v>246</v>
      </c>
      <c r="B36">
        <v>35</v>
      </c>
      <c r="C36" s="2">
        <v>43586</v>
      </c>
      <c r="D36" s="1">
        <v>0.42499999999999999</v>
      </c>
      <c r="E36" s="1">
        <v>0.43541666666666662</v>
      </c>
      <c r="F36" s="4">
        <f>1.25+1.32</f>
        <v>2.5700000000000003</v>
      </c>
      <c r="G36" s="4">
        <f>466.25-250</f>
        <v>216.25</v>
      </c>
      <c r="H36" s="15">
        <v>250</v>
      </c>
      <c r="I36" t="s">
        <v>18</v>
      </c>
      <c r="J36" t="s">
        <v>21</v>
      </c>
      <c r="K36">
        <v>7.27</v>
      </c>
      <c r="L36">
        <v>7.28</v>
      </c>
      <c r="M36">
        <v>6.87</v>
      </c>
      <c r="N36">
        <v>8.11</v>
      </c>
      <c r="O36">
        <v>8.35</v>
      </c>
      <c r="P36">
        <v>6.93</v>
      </c>
      <c r="Q36">
        <v>9</v>
      </c>
      <c r="R36">
        <v>9</v>
      </c>
      <c r="S36" t="b">
        <v>0</v>
      </c>
      <c r="T36" t="b">
        <v>0</v>
      </c>
      <c r="U36" t="b">
        <v>0</v>
      </c>
      <c r="W36">
        <v>8.11</v>
      </c>
      <c r="X36">
        <v>2.6</v>
      </c>
      <c r="Y36" t="b">
        <v>0</v>
      </c>
      <c r="Z36" t="b">
        <v>0</v>
      </c>
      <c r="AA36" t="b">
        <v>0</v>
      </c>
      <c r="AB36" t="s">
        <v>25</v>
      </c>
      <c r="AC36" t="s">
        <v>28</v>
      </c>
      <c r="AD36" t="s">
        <v>33</v>
      </c>
      <c r="AE36">
        <v>242</v>
      </c>
      <c r="AG36">
        <v>1</v>
      </c>
      <c r="AH36" t="s">
        <v>319</v>
      </c>
      <c r="AI36">
        <v>6.73</v>
      </c>
      <c r="AJ36" t="s">
        <v>135</v>
      </c>
      <c r="AK36" t="s">
        <v>187</v>
      </c>
      <c r="AL36">
        <v>1.0900000000000001</v>
      </c>
      <c r="AM36">
        <v>-0.04</v>
      </c>
      <c r="AN36">
        <v>4.3600000000000003</v>
      </c>
      <c r="AO36" s="22" t="s">
        <v>249</v>
      </c>
      <c r="AP36" s="4">
        <f>IF(TABLE1[[#This Row],[Buy/Sell]]="BUY",(TABLE1[[#This Row],[Highest Price]]-TABLE1[[#This Row],[Entry Price]])/(TABLE1[[#This Row],[Intended Entry]]-TABLE1[[#This Row],[SL Price]]),(TABLE1[[#This Row],[Entry Price]]-TABLE1[[#This Row],[Lowest Price]])/(TABLE1[[#This Row],[SL Price]]-TABLE1[[#This Row],[Intended Entry]]))</f>
        <v>2.675000000000002</v>
      </c>
      <c r="AQ36" s="19">
        <f>IF(TABLE1[[#This Row],[Buy/Sell]]="BUY",(TABLE1[[#This Row],[Entry Price]]-TABLE1[[#This Row],[Lowest Price]])/(TABLE1[[#This Row],[SL Price]]-TABLE1[[#This Row],[Intended Entry]]),(TABLE1[[#This Row],[Entry Price]]-TABLE1[[#This Row],[Highest Price]])/(TABLE1[[#This Row],[SL Price]]-TABLE1[[#This Row],[Intended Entry]]))</f>
        <v>-0.87500000000000244</v>
      </c>
      <c r="AR36" s="4" t="str">
        <f>IF(AND(TABLE1[[#This Row],[RRR Realized]]&lt;0.5,TABLE1[[#This Row],[RRR Realized]]&gt;-0.6),"BE",IF(TABLE1[[#This Row],[Gain/Loss]]&lt;0, "LOSER", "WINNER"))</f>
        <v>WINNER</v>
      </c>
      <c r="AS36" s="4">
        <f>TABLE1[[#This Row],[Gain/Loss]]-TABLE1[[#This Row],[Comissions]]</f>
        <v>213.68</v>
      </c>
      <c r="AT36" s="3">
        <f>TABLE1[[#This Row],[Exit Time]]-TABLE1[[#This Row],[Entry Time]]</f>
        <v>1.041666666666663E-2</v>
      </c>
      <c r="AU36" s="4">
        <f>TABLE1[[#This Row],[Net Gain/Loss]]+AU35</f>
        <v>1149.2688999999996</v>
      </c>
      <c r="AV36" s="4">
        <f>IF(TABLE1[[#This Row],[Potential Price Before BE]]=FALSE,"FALSE",( TABLE1[[#This Row],[Potential Price Before BE]]-TABLE1[[#This Row],[Intended Entry]])/(TABLE1[[#This Row],[Intended Entry]]-TABLE1[[#This Row],[SL Price]]))</f>
        <v>4.3250000000000064</v>
      </c>
      <c r="AW36" s="4">
        <f>(IF(TABLE1[[#This Row],[Buy/Sell]]="BUY",(TABLE1[[#This Row],[Entry Price]]-TABLE1[[#This Row],[SL Price]])/(TABLE1[[#This Row],[Intended Entry]]-TABLE1[[#This Row],[SL Price]]),(TABLE1[[#This Row],[SL Price]]-TABLE1[[#This Row],[Entry Price]])/(TABLE1[[#This Row],[SL Price]]-TABLE1[[#This Row],[Intended Entry]])))-1</f>
        <v>2.5000000000001688E-2</v>
      </c>
      <c r="AX36" s="19">
        <f>TABLE1[[#This Row],[Missed RRR on Entry]]</f>
        <v>2.5000000000001688E-2</v>
      </c>
      <c r="AY36" s="19">
        <f>ROUND((TABLE1[[#This Row],[Potential Price]]-TABLE1[[#This Row],[Entry Price]])/(TABLE1[[#This Row],[Intended Entry]]-TABLE1[[#This Row],[SL Price]]),4)</f>
        <v>4.3</v>
      </c>
      <c r="AZ36" s="19">
        <f>ROUND((TABLE1[[#This Row],[Potential Price]]-TABLE1[[#This Row],[Intended Entry]])/(TABLE1[[#This Row],[Intended Entry]]-TABLE1[[#This Row],[SL Price]]),4)</f>
        <v>4.3250000000000002</v>
      </c>
      <c r="BA36" s="19">
        <f>TABLE1[[#This Row],[RRR Potential]]-TABLE1[[#This Row],[RRR Realized]]</f>
        <v>2.2249999999999996</v>
      </c>
      <c r="BB36" s="25">
        <f>ROUND((TABLE1[[#This Row],[Exit Price]]-TABLE1[[#This Row],[Entry Price]])/(TABLE1[[#This Row],[Intended Entry]]-TABLE1[[#This Row],[SL Price]]),4)</f>
        <v>2.0750000000000002</v>
      </c>
      <c r="BC36" s="4">
        <f>IF(AND((TABLE1[[#This Row],[Back to BE]])=TRUE,(TABLE1[[#This Row],[Price Behaviour]])="Fast Reversal"), 0-(TABLE1[[#This Row],[Missed RRR on Entry]]),ROUND((TABLE1[[#This Row],[Exit Price]]-TABLE1[[#This Row],[Entry Price]])/(TABLE1[[#This Row],[Intended Entry]]-TABLE1[[#This Row],[SL Price]]),4))</f>
        <v>2.0750000000000002</v>
      </c>
      <c r="BD36" s="4">
        <f>IF(AND((TABLE1[[#This Row],[Hard RRR Potential]])&gt;=1,(TABLE1[[#This Row],[Back to BE]])="True",(TABLE1[[#This Row],[Price Behaviour]])="Fast Reversal"), 1-(TABLE1[[#This Row],[Missed RRR on Entry]]),ROUND((TABLE1[[#This Row],[Exit Price]]-TABLE1[[#This Row],[Entry Price]])/(TABLE1[[#This Row],[Intended Entry]]-TABLE1[[#This Row],[SL Price]]),4))</f>
        <v>2.0750000000000002</v>
      </c>
      <c r="BE36" s="4">
        <f>IF(AND((TABLE1[[#This Row],[Hard RRR Potential]])&gt;=1.5,(TABLE1[[#This Row],[Back to BE]])="True",(TABLE1[[#This Row],[Price Behaviour]])="Fast Reversal"), 1.5-(TABLE1[[#This Row],[Missed RRR on Entry]]),ROUND((TABLE1[[#This Row],[Exit Price]]-TABLE1[[#This Row],[Entry Price]])/(TABLE1[[#This Row],[Intended Entry]]-TABLE1[[#This Row],[SL Price]]),4))</f>
        <v>2.0750000000000002</v>
      </c>
      <c r="BF36" s="4">
        <f>IF(AND((TABLE1[[#This Row],[Hard RRR Potential]])&gt;=2,(TABLE1[[#This Row],[Back to BE]])="True",(TABLE1[[#This Row],[Price Behaviour]])="Fast Reversal"), 2-(TABLE1[[#This Row],[Missed RRR on Entry]]),ROUND((TABLE1[[#This Row],[Exit Price]]-TABLE1[[#This Row],[Entry Price]])/(TABLE1[[#This Row],[Intended Entry]]-TABLE1[[#This Row],[SL Price]]),4))</f>
        <v>2.0750000000000002</v>
      </c>
      <c r="BG36" s="48">
        <f>IF((TABLE1[[#This Row],[Pattern SL]])&lt;&gt;FALSE,((TABLE1[[#This Row],[Pattern SL]])-(TABLE1[[#This Row],[Entry Price]]))/((TABLE1[[#This Row],[Intended Entry]])-(TABLE1[[#This Row],[SL Price]])),ROUND((TABLE1[[#This Row],[Exit Price]]-TABLE1[[#This Row],[Entry Price]])/(TABLE1[[#This Row],[Intended Entry]]-TABLE1[[#This Row],[SL Price]]),4))</f>
        <v>2.0750000000000002</v>
      </c>
      <c r="BH3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2.0750000000000006</v>
      </c>
      <c r="BI3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2.0750000000000002</v>
      </c>
      <c r="BJ36" s="21">
        <f>IF( TABLE1[[#This Row],[Wick Exit]]&lt;&gt; FALSE,TABLE1[[#This Row],[RRR Wick Exit]],IF(TABLE1[[#This Row],[Volume Exit]]&lt;&gt; FALSE,TABLE1[[#This Row],[RRR Volume Exit]],TABLE1[[#This Row],[RRR Realized]]))</f>
        <v>2.0750000000000006</v>
      </c>
      <c r="BK36"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2.0750000000000002</v>
      </c>
      <c r="BL36" s="4">
        <f>IF(OR(AND(TABLE1[[#This Row],[Hard RRR Potential]]&gt;=2.5,TABLE1[[#This Row],[Volume Exit]]=FALSE,TABLE1[[#This Row],[Wick Exit]]=FALSE),AND(TABLE1[[#This Row],[Hard RRR Potential]]&gt;=2.5,TABLE1[[#This Row],[Volume Exit RRR Reach]]&gt;=2.5,TABLE1[[#This Row],[Wick Exit]]=FALSE)), 2.5-TABLE1[[#This Row],[Missed RRR on Entry]],TABLE1[[#This Row],[RRR Realized]])</f>
        <v>2.4749999999999983</v>
      </c>
      <c r="BM36" s="4">
        <f>IF(OR(AND(TABLE1[[#This Row],[Hard RRR Potential]]&gt;=3,TABLE1[[#This Row],[Volume Exit]]=FALSE,TABLE1[[#This Row],[Wick Exit]]=FALSE),AND(TABLE1[[#This Row],[Hard RRR Potential]]&gt;=3,TABLE1[[#This Row],[Volume Exit RRR Reach]]&gt;=3,TABLE1[[#This Row],[Wick Exit]]=FALSE)), 3-TABLE1[[#This Row],[Missed RRR on Entry]],TABLE1[[#This Row],[RRR Realized]])</f>
        <v>2.0750000000000002</v>
      </c>
    </row>
    <row r="37" spans="1:65" x14ac:dyDescent="0.45">
      <c r="A37" t="s">
        <v>246</v>
      </c>
      <c r="B37">
        <v>36</v>
      </c>
      <c r="C37" s="2">
        <v>43586</v>
      </c>
      <c r="D37" s="1">
        <v>0.43124999999999997</v>
      </c>
      <c r="E37" s="1">
        <v>0.43402777777777773</v>
      </c>
      <c r="F37" s="4">
        <f>1.67+1.76</f>
        <v>3.4299999999999997</v>
      </c>
      <c r="G37" s="4">
        <v>250</v>
      </c>
      <c r="H37" s="15">
        <v>333</v>
      </c>
      <c r="I37" t="s">
        <v>18</v>
      </c>
      <c r="J37" t="s">
        <v>21</v>
      </c>
      <c r="K37">
        <v>7.58</v>
      </c>
      <c r="L37">
        <v>7.55</v>
      </c>
      <c r="M37">
        <f>7.58-0.3</f>
        <v>7.28</v>
      </c>
      <c r="N37">
        <v>8.33</v>
      </c>
      <c r="O37">
        <v>8.35</v>
      </c>
      <c r="P37">
        <v>7.52</v>
      </c>
      <c r="Q37">
        <v>9</v>
      </c>
      <c r="R37">
        <v>9</v>
      </c>
      <c r="S37" t="b">
        <v>0</v>
      </c>
      <c r="T37" t="b">
        <v>0</v>
      </c>
      <c r="U37" t="b">
        <v>1</v>
      </c>
      <c r="W37">
        <v>8.33</v>
      </c>
      <c r="X37">
        <v>2.6</v>
      </c>
      <c r="Y37" t="b">
        <v>0</v>
      </c>
      <c r="Z37" t="b">
        <v>0</v>
      </c>
      <c r="AA37" t="b">
        <v>0</v>
      </c>
      <c r="AB37" t="s">
        <v>25</v>
      </c>
      <c r="AC37" t="s">
        <v>28</v>
      </c>
      <c r="AD37" t="s">
        <v>33</v>
      </c>
      <c r="AE37">
        <v>242</v>
      </c>
      <c r="AG37">
        <v>2</v>
      </c>
      <c r="AH37" t="b">
        <v>0</v>
      </c>
      <c r="AI37">
        <v>7</v>
      </c>
      <c r="AJ37" t="s">
        <v>135</v>
      </c>
      <c r="AK37" t="s">
        <v>248</v>
      </c>
      <c r="AL37">
        <v>1.0900000000000001</v>
      </c>
      <c r="AM37">
        <v>-0.04</v>
      </c>
      <c r="AN37">
        <v>4.3600000000000003</v>
      </c>
      <c r="AO37" s="22" t="s">
        <v>249</v>
      </c>
      <c r="AP37" s="4">
        <f>IF(TABLE1[[#This Row],[Buy/Sell]]="BUY",(TABLE1[[#This Row],[Highest Price]]-TABLE1[[#This Row],[Entry Price]])/(TABLE1[[#This Row],[Intended Entry]]-TABLE1[[#This Row],[SL Price]]),(TABLE1[[#This Row],[Entry Price]]-TABLE1[[#This Row],[Lowest Price]])/(TABLE1[[#This Row],[SL Price]]-TABLE1[[#This Row],[Intended Entry]]))</f>
        <v>2.6666666666666679</v>
      </c>
      <c r="AQ37" s="19">
        <f>IF(TABLE1[[#This Row],[Buy/Sell]]="BUY",(TABLE1[[#This Row],[Entry Price]]-TABLE1[[#This Row],[Lowest Price]])/(TABLE1[[#This Row],[SL Price]]-TABLE1[[#This Row],[Intended Entry]]),(TABLE1[[#This Row],[Entry Price]]-TABLE1[[#This Row],[Highest Price]])/(TABLE1[[#This Row],[SL Price]]-TABLE1[[#This Row],[Intended Entry]]))</f>
        <v>-0.10000000000000089</v>
      </c>
      <c r="AR37" s="4" t="str">
        <f>IF(AND(TABLE1[[#This Row],[RRR Realized]]&lt;0.5,TABLE1[[#This Row],[RRR Realized]]&gt;-0.6),"BE",IF(TABLE1[[#This Row],[Gain/Loss]]&lt;0, "LOSER", "WINNER"))</f>
        <v>WINNER</v>
      </c>
      <c r="AS37" s="4">
        <f>TABLE1[[#This Row],[Gain/Loss]]-TABLE1[[#This Row],[Comissions]]</f>
        <v>246.57</v>
      </c>
      <c r="AT37" s="3">
        <f>TABLE1[[#This Row],[Exit Time]]-TABLE1[[#This Row],[Entry Time]]</f>
        <v>2.7777777777777679E-3</v>
      </c>
      <c r="AU37" s="4">
        <f>TABLE1[[#This Row],[Net Gain/Loss]]+AU36</f>
        <v>1395.8388999999995</v>
      </c>
      <c r="AV37" s="4">
        <f>IF(TABLE1[[#This Row],[Potential Price Before BE]]=FALSE,"FALSE",( TABLE1[[#This Row],[Potential Price Before BE]]-TABLE1[[#This Row],[Intended Entry]])/(TABLE1[[#This Row],[Intended Entry]]-TABLE1[[#This Row],[SL Price]]))</f>
        <v>4.7333333333333361</v>
      </c>
      <c r="AW37" s="4">
        <f>(IF(TABLE1[[#This Row],[Buy/Sell]]="BUY",(TABLE1[[#This Row],[Entry Price]]-TABLE1[[#This Row],[SL Price]])/(TABLE1[[#This Row],[Intended Entry]]-TABLE1[[#This Row],[SL Price]]),(TABLE1[[#This Row],[SL Price]]-TABLE1[[#This Row],[Entry Price]])/(TABLE1[[#This Row],[SL Price]]-TABLE1[[#This Row],[Intended Entry]])))-1</f>
        <v>-0.10000000000000087</v>
      </c>
      <c r="AX37" s="19">
        <f>TABLE1[[#This Row],[Missed RRR on Entry]]</f>
        <v>-0.10000000000000087</v>
      </c>
      <c r="AY37" s="19">
        <f>ROUND((TABLE1[[#This Row],[Potential Price]]-TABLE1[[#This Row],[Entry Price]])/(TABLE1[[#This Row],[Intended Entry]]-TABLE1[[#This Row],[SL Price]]),4)</f>
        <v>4.8333000000000004</v>
      </c>
      <c r="AZ37" s="19">
        <f>ROUND((TABLE1[[#This Row],[Potential Price]]-TABLE1[[#This Row],[Intended Entry]])/(TABLE1[[#This Row],[Intended Entry]]-TABLE1[[#This Row],[SL Price]]),4)</f>
        <v>4.7332999999999998</v>
      </c>
      <c r="BA37" s="19">
        <f>TABLE1[[#This Row],[RRR Potential]]-TABLE1[[#This Row],[RRR Realized]]</f>
        <v>2.2333000000000003</v>
      </c>
      <c r="BB37" s="25">
        <f>ROUND((TABLE1[[#This Row],[Exit Price]]-TABLE1[[#This Row],[Entry Price]])/(TABLE1[[#This Row],[Intended Entry]]-TABLE1[[#This Row],[SL Price]]),4)</f>
        <v>2.6</v>
      </c>
      <c r="BC37" s="4">
        <f>IF(AND((TABLE1[[#This Row],[Back to BE]])=TRUE,(TABLE1[[#This Row],[Price Behaviour]])="Fast Reversal"), 0-(TABLE1[[#This Row],[Missed RRR on Entry]]),ROUND((TABLE1[[#This Row],[Exit Price]]-TABLE1[[#This Row],[Entry Price]])/(TABLE1[[#This Row],[Intended Entry]]-TABLE1[[#This Row],[SL Price]]),4))</f>
        <v>2.6</v>
      </c>
      <c r="BD37" s="4">
        <f>IF(AND((TABLE1[[#This Row],[Hard RRR Potential]])&gt;=1,(TABLE1[[#This Row],[Back to BE]])="True",(TABLE1[[#This Row],[Price Behaviour]])="Fast Reversal"), 1-(TABLE1[[#This Row],[Missed RRR on Entry]]),ROUND((TABLE1[[#This Row],[Exit Price]]-TABLE1[[#This Row],[Entry Price]])/(TABLE1[[#This Row],[Intended Entry]]-TABLE1[[#This Row],[SL Price]]),4))</f>
        <v>2.6</v>
      </c>
      <c r="BE37" s="4">
        <f>IF(AND((TABLE1[[#This Row],[Hard RRR Potential]])&gt;=1.5,(TABLE1[[#This Row],[Back to BE]])="True",(TABLE1[[#This Row],[Price Behaviour]])="Fast Reversal"), 1.5-(TABLE1[[#This Row],[Missed RRR on Entry]]),ROUND((TABLE1[[#This Row],[Exit Price]]-TABLE1[[#This Row],[Entry Price]])/(TABLE1[[#This Row],[Intended Entry]]-TABLE1[[#This Row],[SL Price]]),4))</f>
        <v>2.6</v>
      </c>
      <c r="BF37" s="4">
        <f>IF(AND((TABLE1[[#This Row],[Hard RRR Potential]])&gt;=2,(TABLE1[[#This Row],[Back to BE]])="True",(TABLE1[[#This Row],[Price Behaviour]])="Fast Reversal"), 2-(TABLE1[[#This Row],[Missed RRR on Entry]]),ROUND((TABLE1[[#This Row],[Exit Price]]-TABLE1[[#This Row],[Entry Price]])/(TABLE1[[#This Row],[Intended Entry]]-TABLE1[[#This Row],[SL Price]]),4))</f>
        <v>2.6</v>
      </c>
      <c r="BG37" s="48">
        <f>IF((TABLE1[[#This Row],[Pattern SL]])&lt;&gt;FALSE,((TABLE1[[#This Row],[Pattern SL]])-(TABLE1[[#This Row],[Entry Price]]))/((TABLE1[[#This Row],[Intended Entry]])-(TABLE1[[#This Row],[SL Price]])),ROUND((TABLE1[[#This Row],[Exit Price]]-TABLE1[[#This Row],[Entry Price]])/(TABLE1[[#This Row],[Intended Entry]]-TABLE1[[#This Row],[SL Price]]),4))</f>
        <v>2.6</v>
      </c>
      <c r="BH3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2.6000000000000023</v>
      </c>
      <c r="BI37"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v>
      </c>
      <c r="BJ37" s="21">
        <f>IF( TABLE1[[#This Row],[Wick Exit]]&lt;&gt; FALSE,TABLE1[[#This Row],[RRR Wick Exit]],IF(TABLE1[[#This Row],[Volume Exit]]&lt;&gt; FALSE,TABLE1[[#This Row],[RRR Volume Exit]],TABLE1[[#This Row],[RRR Realized]]))</f>
        <v>2.6000000000000023</v>
      </c>
      <c r="BK37"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2.6</v>
      </c>
      <c r="BL37" s="4">
        <f>IF(OR(AND(TABLE1[[#This Row],[Hard RRR Potential]]&gt;=2.5,TABLE1[[#This Row],[Volume Exit]]=FALSE,TABLE1[[#This Row],[Wick Exit]]=FALSE),AND(TABLE1[[#This Row],[Hard RRR Potential]]&gt;=2.5,TABLE1[[#This Row],[Volume Exit RRR Reach]]&gt;=2.5,TABLE1[[#This Row],[Wick Exit]]=FALSE)), 2.5-TABLE1[[#This Row],[Missed RRR on Entry]],TABLE1[[#This Row],[RRR Realized]])</f>
        <v>2.600000000000001</v>
      </c>
      <c r="BM37" s="4">
        <f>IF(OR(AND(TABLE1[[#This Row],[Hard RRR Potential]]&gt;=3,TABLE1[[#This Row],[Volume Exit]]=FALSE,TABLE1[[#This Row],[Wick Exit]]=FALSE),AND(TABLE1[[#This Row],[Hard RRR Potential]]&gt;=3,TABLE1[[#This Row],[Volume Exit RRR Reach]]&gt;=3,TABLE1[[#This Row],[Wick Exit]]=FALSE)), 3-TABLE1[[#This Row],[Missed RRR on Entry]],TABLE1[[#This Row],[RRR Realized]])</f>
        <v>2.6</v>
      </c>
    </row>
    <row r="38" spans="1:65" x14ac:dyDescent="0.45">
      <c r="A38" t="s">
        <v>217</v>
      </c>
      <c r="B38">
        <v>37</v>
      </c>
      <c r="C38" s="2">
        <v>43591</v>
      </c>
      <c r="D38" s="1">
        <v>0.43958333333333338</v>
      </c>
      <c r="E38" s="1">
        <v>0.44027777777777777</v>
      </c>
      <c r="F38" s="4">
        <v>2.0299999999999998</v>
      </c>
      <c r="G38" s="4">
        <v>21.97</v>
      </c>
      <c r="H38" s="15">
        <v>100</v>
      </c>
      <c r="I38" t="s">
        <v>18</v>
      </c>
      <c r="J38" t="s">
        <v>21</v>
      </c>
      <c r="K38">
        <v>8.1199999999999992</v>
      </c>
      <c r="L38">
        <v>8.1199999999999992</v>
      </c>
      <c r="M38">
        <v>7.58</v>
      </c>
      <c r="N38">
        <v>8.36</v>
      </c>
      <c r="O38">
        <v>8.84</v>
      </c>
      <c r="P38">
        <v>7.86</v>
      </c>
      <c r="Q38">
        <v>8.84</v>
      </c>
      <c r="R38">
        <v>8.84</v>
      </c>
      <c r="S38" t="b">
        <v>0</v>
      </c>
      <c r="T38" t="b">
        <v>0</v>
      </c>
      <c r="U38" t="b">
        <v>0</v>
      </c>
      <c r="V38" t="b">
        <v>0</v>
      </c>
      <c r="W38" t="b">
        <v>0</v>
      </c>
      <c r="Z38" t="b">
        <v>0</v>
      </c>
      <c r="AA38">
        <v>8.36</v>
      </c>
      <c r="AB38" t="s">
        <v>24</v>
      </c>
      <c r="AC38" t="s">
        <v>31</v>
      </c>
      <c r="AD38" t="s">
        <v>34</v>
      </c>
      <c r="AE38">
        <v>210</v>
      </c>
      <c r="AG38">
        <v>1</v>
      </c>
      <c r="AH38" t="s">
        <v>319</v>
      </c>
      <c r="AI38">
        <v>7.5</v>
      </c>
      <c r="AJ38" t="s">
        <v>137</v>
      </c>
      <c r="AK38" t="s">
        <v>187</v>
      </c>
      <c r="AL38">
        <v>13</v>
      </c>
      <c r="AM38">
        <v>0.72</v>
      </c>
      <c r="AN38">
        <v>5.18</v>
      </c>
      <c r="AO38" s="22" t="s">
        <v>252</v>
      </c>
      <c r="AP38" s="4">
        <f>IF(TABLE1[[#This Row],[Buy/Sell]]="BUY",(TABLE1[[#This Row],[Highest Price]]-TABLE1[[#This Row],[Entry Price]])/(TABLE1[[#This Row],[Intended Entry]]-TABLE1[[#This Row],[SL Price]]),(TABLE1[[#This Row],[Entry Price]]-TABLE1[[#This Row],[Lowest Price]])/(TABLE1[[#This Row],[SL Price]]-TABLE1[[#This Row],[Intended Entry]]))</f>
        <v>1.3333333333333366</v>
      </c>
      <c r="AQ38" s="19">
        <f>IF(TABLE1[[#This Row],[Buy/Sell]]="BUY",(TABLE1[[#This Row],[Entry Price]]-TABLE1[[#This Row],[Lowest Price]])/(TABLE1[[#This Row],[SL Price]]-TABLE1[[#This Row],[Intended Entry]]),(TABLE1[[#This Row],[Entry Price]]-TABLE1[[#This Row],[Highest Price]])/(TABLE1[[#This Row],[SL Price]]-TABLE1[[#This Row],[Intended Entry]]))</f>
        <v>-0.48148148148148018</v>
      </c>
      <c r="AR38" s="4" t="str">
        <f>IF(AND(TABLE1[[#This Row],[RRR Realized]]&lt;0.5,TABLE1[[#This Row],[RRR Realized]]&gt;-0.6),"BE",IF(TABLE1[[#This Row],[Gain/Loss]]&lt;0, "LOSER", "WINNER"))</f>
        <v>BE</v>
      </c>
      <c r="AS38" s="4">
        <f>TABLE1[[#This Row],[Gain/Loss]]-TABLE1[[#This Row],[Comissions]]</f>
        <v>19.939999999999998</v>
      </c>
      <c r="AT38" s="3">
        <f>TABLE1[[#This Row],[Exit Time]]-TABLE1[[#This Row],[Entry Time]]</f>
        <v>6.9444444444438647E-4</v>
      </c>
      <c r="AU38" s="4">
        <f>TABLE1[[#This Row],[Net Gain/Loss]]+AU37</f>
        <v>1415.7788999999996</v>
      </c>
      <c r="AV38" s="4">
        <f>IF(TABLE1[[#This Row],[Potential Price Before BE]]=FALSE,"FALSE",( TABLE1[[#This Row],[Potential Price Before BE]]-TABLE1[[#This Row],[Intended Entry]])/(TABLE1[[#This Row],[Intended Entry]]-TABLE1[[#This Row],[SL Price]]))</f>
        <v>1.3333333333333366</v>
      </c>
      <c r="AW38" s="4">
        <f>(IF(TABLE1[[#This Row],[Buy/Sell]]="BUY",(TABLE1[[#This Row],[Entry Price]]-TABLE1[[#This Row],[SL Price]])/(TABLE1[[#This Row],[Intended Entry]]-TABLE1[[#This Row],[SL Price]]),(TABLE1[[#This Row],[SL Price]]-TABLE1[[#This Row],[Entry Price]])/(TABLE1[[#This Row],[SL Price]]-TABLE1[[#This Row],[Intended Entry]])))-1</f>
        <v>0</v>
      </c>
      <c r="AX38" s="19">
        <f>TABLE1[[#This Row],[Missed RRR on Entry]]</f>
        <v>0</v>
      </c>
      <c r="AY38" s="19">
        <f>ROUND((TABLE1[[#This Row],[Potential Price]]-TABLE1[[#This Row],[Entry Price]])/(TABLE1[[#This Row],[Intended Entry]]-TABLE1[[#This Row],[SL Price]]),4)</f>
        <v>1.3332999999999999</v>
      </c>
      <c r="AZ38" s="19">
        <f>ROUND((TABLE1[[#This Row],[Potential Price]]-TABLE1[[#This Row],[Intended Entry]])/(TABLE1[[#This Row],[Intended Entry]]-TABLE1[[#This Row],[SL Price]]),4)</f>
        <v>1.3332999999999999</v>
      </c>
      <c r="BA38" s="19">
        <f>TABLE1[[#This Row],[RRR Potential]]-TABLE1[[#This Row],[RRR Realized]]</f>
        <v>0.88889999999999991</v>
      </c>
      <c r="BB38" s="25">
        <f>ROUND((TABLE1[[#This Row],[Exit Price]]-TABLE1[[#This Row],[Entry Price]])/(TABLE1[[#This Row],[Intended Entry]]-TABLE1[[#This Row],[SL Price]]),4)</f>
        <v>0.44440000000000002</v>
      </c>
      <c r="BC38" s="4">
        <f>IF(AND((TABLE1[[#This Row],[Back to BE]])=TRUE,(TABLE1[[#This Row],[Price Behaviour]])="Fast Reversal"), 0-(TABLE1[[#This Row],[Missed RRR on Entry]]),ROUND((TABLE1[[#This Row],[Exit Price]]-TABLE1[[#This Row],[Entry Price]])/(TABLE1[[#This Row],[Intended Entry]]-TABLE1[[#This Row],[SL Price]]),4))</f>
        <v>0.44440000000000002</v>
      </c>
      <c r="BD38" s="4">
        <f>IF(AND((TABLE1[[#This Row],[Hard RRR Potential]])&gt;=1,(TABLE1[[#This Row],[Back to BE]])="True",(TABLE1[[#This Row],[Price Behaviour]])="Fast Reversal"), 1-(TABLE1[[#This Row],[Missed RRR on Entry]]),ROUND((TABLE1[[#This Row],[Exit Price]]-TABLE1[[#This Row],[Entry Price]])/(TABLE1[[#This Row],[Intended Entry]]-TABLE1[[#This Row],[SL Price]]),4))</f>
        <v>0.44440000000000002</v>
      </c>
      <c r="BE38" s="4">
        <f>IF(AND((TABLE1[[#This Row],[Hard RRR Potential]])&gt;=1.5,(TABLE1[[#This Row],[Back to BE]])="True",(TABLE1[[#This Row],[Price Behaviour]])="Fast Reversal"), 1.5-(TABLE1[[#This Row],[Missed RRR on Entry]]),ROUND((TABLE1[[#This Row],[Exit Price]]-TABLE1[[#This Row],[Entry Price]])/(TABLE1[[#This Row],[Intended Entry]]-TABLE1[[#This Row],[SL Price]]),4))</f>
        <v>0.44440000000000002</v>
      </c>
      <c r="BF38" s="4">
        <f>IF(AND((TABLE1[[#This Row],[Hard RRR Potential]])&gt;=2,(TABLE1[[#This Row],[Back to BE]])="True",(TABLE1[[#This Row],[Price Behaviour]])="Fast Reversal"), 2-(TABLE1[[#This Row],[Missed RRR on Entry]]),ROUND((TABLE1[[#This Row],[Exit Price]]-TABLE1[[#This Row],[Entry Price]])/(TABLE1[[#This Row],[Intended Entry]]-TABLE1[[#This Row],[SL Price]]),4))</f>
        <v>0.44440000000000002</v>
      </c>
      <c r="BG38" s="48">
        <f>IF((TABLE1[[#This Row],[Pattern SL]])&lt;&gt;FALSE,((TABLE1[[#This Row],[Pattern SL]])-(TABLE1[[#This Row],[Entry Price]]))/((TABLE1[[#This Row],[Intended Entry]])-(TABLE1[[#This Row],[SL Price]])),ROUND((TABLE1[[#This Row],[Exit Price]]-TABLE1[[#This Row],[Entry Price]])/(TABLE1[[#This Row],[Intended Entry]]-TABLE1[[#This Row],[SL Price]]),4))</f>
        <v>0.44440000000000002</v>
      </c>
      <c r="BH3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0.44440000000000002</v>
      </c>
      <c r="BI38"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0.44444444444444553</v>
      </c>
      <c r="BJ38" s="21">
        <f>IF( TABLE1[[#This Row],[Wick Exit]]&lt;&gt; FALSE,TABLE1[[#This Row],[RRR Wick Exit]],IF(TABLE1[[#This Row],[Volume Exit]]&lt;&gt; FALSE,TABLE1[[#This Row],[RRR Volume Exit]],TABLE1[[#This Row],[RRR Realized]]))</f>
        <v>0.44444444444444553</v>
      </c>
      <c r="BK38"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0.44440000000000002</v>
      </c>
      <c r="BL38" s="4">
        <f>IF(OR(AND(TABLE1[[#This Row],[Hard RRR Potential]]&gt;=2.5,TABLE1[[#This Row],[Volume Exit]]=FALSE,TABLE1[[#This Row],[Wick Exit]]=FALSE),AND(TABLE1[[#This Row],[Hard RRR Potential]]&gt;=2.5,TABLE1[[#This Row],[Volume Exit RRR Reach]]&gt;=2.5,TABLE1[[#This Row],[Wick Exit]]=FALSE)), 2.5-TABLE1[[#This Row],[Missed RRR on Entry]],TABLE1[[#This Row],[RRR Realized]])</f>
        <v>0.44440000000000002</v>
      </c>
      <c r="BM38" s="4">
        <f>IF(OR(AND(TABLE1[[#This Row],[Hard RRR Potential]]&gt;=3,TABLE1[[#This Row],[Volume Exit]]=FALSE,TABLE1[[#This Row],[Wick Exit]]=FALSE),AND(TABLE1[[#This Row],[Hard RRR Potential]]&gt;=3,TABLE1[[#This Row],[Volume Exit RRR Reach]]&gt;=3,TABLE1[[#This Row],[Wick Exit]]=FALSE)), 3-TABLE1[[#This Row],[Missed RRR on Entry]],TABLE1[[#This Row],[RRR Realized]])</f>
        <v>0.44440000000000002</v>
      </c>
    </row>
    <row r="39" spans="1:65" x14ac:dyDescent="0.45">
      <c r="A39" t="s">
        <v>256</v>
      </c>
      <c r="B39">
        <v>38</v>
      </c>
      <c r="C39" s="2">
        <v>43594</v>
      </c>
      <c r="D39" s="1">
        <v>0.42777777777777781</v>
      </c>
      <c r="E39" s="1">
        <v>0.43055555555555558</v>
      </c>
      <c r="F39" s="4">
        <f>8.33+8.57</f>
        <v>16.899999999999999</v>
      </c>
      <c r="G39" s="4">
        <f>33.08+16.9</f>
        <v>49.98</v>
      </c>
      <c r="H39" s="15">
        <v>1666</v>
      </c>
      <c r="I39" t="s">
        <v>18</v>
      </c>
      <c r="J39" t="s">
        <v>21</v>
      </c>
      <c r="K39">
        <v>1.25</v>
      </c>
      <c r="L39">
        <v>1.25</v>
      </c>
      <c r="M39">
        <v>1.19</v>
      </c>
      <c r="N39">
        <v>1.28</v>
      </c>
      <c r="O39">
        <v>1.32</v>
      </c>
      <c r="P39">
        <v>1.21</v>
      </c>
      <c r="Q39">
        <v>1.48</v>
      </c>
      <c r="R39">
        <v>1.48</v>
      </c>
      <c r="S39" t="b">
        <v>0</v>
      </c>
      <c r="T39" t="b">
        <v>0</v>
      </c>
      <c r="U39" t="b">
        <v>0</v>
      </c>
      <c r="W39" t="b">
        <v>0</v>
      </c>
      <c r="Z39" t="b">
        <v>0</v>
      </c>
      <c r="AA39">
        <v>1.28</v>
      </c>
      <c r="AB39" t="s">
        <v>27</v>
      </c>
      <c r="AC39" t="s">
        <v>28</v>
      </c>
      <c r="AD39" t="s">
        <v>196</v>
      </c>
      <c r="AE39">
        <v>80</v>
      </c>
      <c r="AF39">
        <v>28</v>
      </c>
      <c r="AG39">
        <v>1</v>
      </c>
      <c r="AH39" t="s">
        <v>18</v>
      </c>
      <c r="AI39">
        <v>1.2</v>
      </c>
      <c r="AJ39" t="s">
        <v>135</v>
      </c>
      <c r="AK39" t="s">
        <v>167</v>
      </c>
      <c r="AL39">
        <v>9</v>
      </c>
      <c r="AM39">
        <v>-0.25</v>
      </c>
      <c r="AN39">
        <v>4</v>
      </c>
      <c r="AO39" s="22" t="s">
        <v>258</v>
      </c>
      <c r="AP39" s="4">
        <f>IF(TABLE1[[#This Row],[Buy/Sell]]="BUY",(TABLE1[[#This Row],[Highest Price]]-TABLE1[[#This Row],[Entry Price]])/(TABLE1[[#This Row],[Intended Entry]]-TABLE1[[#This Row],[SL Price]]),(TABLE1[[#This Row],[Entry Price]]-TABLE1[[#This Row],[Lowest Price]])/(TABLE1[[#This Row],[SL Price]]-TABLE1[[#This Row],[Intended Entry]]))</f>
        <v>1.1666666666666667</v>
      </c>
      <c r="AQ39" s="19">
        <f>IF(TABLE1[[#This Row],[Buy/Sell]]="BUY",(TABLE1[[#This Row],[Entry Price]]-TABLE1[[#This Row],[Lowest Price]])/(TABLE1[[#This Row],[SL Price]]-TABLE1[[#This Row],[Intended Entry]]),(TABLE1[[#This Row],[Entry Price]]-TABLE1[[#This Row],[Highest Price]])/(TABLE1[[#This Row],[SL Price]]-TABLE1[[#This Row],[Intended Entry]]))</f>
        <v>-0.66666666666666663</v>
      </c>
      <c r="AR39" s="4" t="str">
        <f>IF(AND(TABLE1[[#This Row],[RRR Realized]]&lt;0.5,TABLE1[[#This Row],[RRR Realized]]&gt;-0.6),"BE",IF(TABLE1[[#This Row],[Gain/Loss]]&lt;0, "LOSER", "WINNER"))</f>
        <v>WINNER</v>
      </c>
      <c r="AS39" s="4">
        <f>TABLE1[[#This Row],[Gain/Loss]]-TABLE1[[#This Row],[Comissions]]</f>
        <v>33.08</v>
      </c>
      <c r="AT39" s="3">
        <f>TABLE1[[#This Row],[Exit Time]]-TABLE1[[#This Row],[Entry Time]]</f>
        <v>2.7777777777777679E-3</v>
      </c>
      <c r="AU39" s="4">
        <f>TABLE1[[#This Row],[Net Gain/Loss]]+AU38</f>
        <v>1448.8588999999995</v>
      </c>
      <c r="AV39" s="4">
        <f>IF(TABLE1[[#This Row],[Potential Price Before BE]]=FALSE,"FALSE",( TABLE1[[#This Row],[Potential Price Before BE]]-TABLE1[[#This Row],[Intended Entry]])/(TABLE1[[#This Row],[Intended Entry]]-TABLE1[[#This Row],[SL Price]]))</f>
        <v>3.8333333333333295</v>
      </c>
      <c r="AW39" s="4">
        <f>(IF(TABLE1[[#This Row],[Buy/Sell]]="BUY",(TABLE1[[#This Row],[Entry Price]]-TABLE1[[#This Row],[SL Price]])/(TABLE1[[#This Row],[Intended Entry]]-TABLE1[[#This Row],[SL Price]]),(TABLE1[[#This Row],[SL Price]]-TABLE1[[#This Row],[Entry Price]])/(TABLE1[[#This Row],[SL Price]]-TABLE1[[#This Row],[Intended Entry]])))-1</f>
        <v>0</v>
      </c>
      <c r="AX39" s="19">
        <f>TABLE1[[#This Row],[Missed RRR on Entry]]</f>
        <v>0</v>
      </c>
      <c r="AY39" s="19">
        <f>ROUND((TABLE1[[#This Row],[Potential Price]]-TABLE1[[#This Row],[Entry Price]])/(TABLE1[[#This Row],[Intended Entry]]-TABLE1[[#This Row],[SL Price]]),4)</f>
        <v>3.8332999999999999</v>
      </c>
      <c r="AZ39" s="19">
        <f>ROUND((TABLE1[[#This Row],[Potential Price]]-TABLE1[[#This Row],[Intended Entry]])/(TABLE1[[#This Row],[Intended Entry]]-TABLE1[[#This Row],[SL Price]]),4)</f>
        <v>3.8332999999999999</v>
      </c>
      <c r="BA39" s="19">
        <f>TABLE1[[#This Row],[RRR Potential]]-TABLE1[[#This Row],[RRR Realized]]</f>
        <v>3.3332999999999999</v>
      </c>
      <c r="BB39" s="25">
        <f>ROUND((TABLE1[[#This Row],[Exit Price]]-TABLE1[[#This Row],[Entry Price]])/(TABLE1[[#This Row],[Intended Entry]]-TABLE1[[#This Row],[SL Price]]),4)</f>
        <v>0.5</v>
      </c>
      <c r="BC39" s="4">
        <f>IF(AND((TABLE1[[#This Row],[Back to BE]])=TRUE,(TABLE1[[#This Row],[Price Behaviour]])="Fast Reversal"), 0-(TABLE1[[#This Row],[Missed RRR on Entry]]),ROUND((TABLE1[[#This Row],[Exit Price]]-TABLE1[[#This Row],[Entry Price]])/(TABLE1[[#This Row],[Intended Entry]]-TABLE1[[#This Row],[SL Price]]),4))</f>
        <v>0.5</v>
      </c>
      <c r="BD39" s="4">
        <f>IF(AND((TABLE1[[#This Row],[Hard RRR Potential]])&gt;=1,(TABLE1[[#This Row],[Back to BE]])="True",(TABLE1[[#This Row],[Price Behaviour]])="Fast Reversal"), 1-(TABLE1[[#This Row],[Missed RRR on Entry]]),ROUND((TABLE1[[#This Row],[Exit Price]]-TABLE1[[#This Row],[Entry Price]])/(TABLE1[[#This Row],[Intended Entry]]-TABLE1[[#This Row],[SL Price]]),4))</f>
        <v>0.5</v>
      </c>
      <c r="BE39" s="4">
        <f>IF(AND((TABLE1[[#This Row],[Hard RRR Potential]])&gt;=1.5,(TABLE1[[#This Row],[Back to BE]])="True",(TABLE1[[#This Row],[Price Behaviour]])="Fast Reversal"), 1.5-(TABLE1[[#This Row],[Missed RRR on Entry]]),ROUND((TABLE1[[#This Row],[Exit Price]]-TABLE1[[#This Row],[Entry Price]])/(TABLE1[[#This Row],[Intended Entry]]-TABLE1[[#This Row],[SL Price]]),4))</f>
        <v>0.5</v>
      </c>
      <c r="BF39" s="4">
        <f>IF(AND((TABLE1[[#This Row],[Hard RRR Potential]])&gt;=2,(TABLE1[[#This Row],[Back to BE]])="True",(TABLE1[[#This Row],[Price Behaviour]])="Fast Reversal"), 2-(TABLE1[[#This Row],[Missed RRR on Entry]]),ROUND((TABLE1[[#This Row],[Exit Price]]-TABLE1[[#This Row],[Entry Price]])/(TABLE1[[#This Row],[Intended Entry]]-TABLE1[[#This Row],[SL Price]]),4))</f>
        <v>0.5</v>
      </c>
      <c r="BG39" s="48">
        <f>IF((TABLE1[[#This Row],[Pattern SL]])&lt;&gt;FALSE,((TABLE1[[#This Row],[Pattern SL]])-(TABLE1[[#This Row],[Entry Price]]))/((TABLE1[[#This Row],[Intended Entry]])-(TABLE1[[#This Row],[SL Price]])),ROUND((TABLE1[[#This Row],[Exit Price]]-TABLE1[[#This Row],[Entry Price]])/(TABLE1[[#This Row],[Intended Entry]]-TABLE1[[#This Row],[SL Price]]),4))</f>
        <v>0.5</v>
      </c>
      <c r="BH3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v>
      </c>
      <c r="BI39"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v>
      </c>
      <c r="BJ39" s="21">
        <f>IF( TABLE1[[#This Row],[Wick Exit]]&lt;&gt; FALSE,TABLE1[[#This Row],[RRR Wick Exit]],IF(TABLE1[[#This Row],[Volume Exit]]&lt;&gt; FALSE,TABLE1[[#This Row],[RRR Volume Exit]],TABLE1[[#This Row],[RRR Realized]]))</f>
        <v>0.5</v>
      </c>
      <c r="BK39"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0.5</v>
      </c>
      <c r="BL39" s="4">
        <f>IF(OR(AND(TABLE1[[#This Row],[Hard RRR Potential]]&gt;=2.5,TABLE1[[#This Row],[Volume Exit]]=FALSE,TABLE1[[#This Row],[Wick Exit]]=FALSE),AND(TABLE1[[#This Row],[Hard RRR Potential]]&gt;=2.5,TABLE1[[#This Row],[Volume Exit RRR Reach]]&gt;=2.5,TABLE1[[#This Row],[Wick Exit]]=FALSE)), 2.5-TABLE1[[#This Row],[Missed RRR on Entry]],TABLE1[[#This Row],[RRR Realized]])</f>
        <v>0.5</v>
      </c>
      <c r="BM39" s="4">
        <f>IF(OR(AND(TABLE1[[#This Row],[Hard RRR Potential]]&gt;=3,TABLE1[[#This Row],[Volume Exit]]=FALSE,TABLE1[[#This Row],[Wick Exit]]=FALSE),AND(TABLE1[[#This Row],[Hard RRR Potential]]&gt;=3,TABLE1[[#This Row],[Volume Exit RRR Reach]]&gt;=3,TABLE1[[#This Row],[Wick Exit]]=FALSE)), 3-TABLE1[[#This Row],[Missed RRR on Entry]],TABLE1[[#This Row],[RRR Realized]])</f>
        <v>0.5</v>
      </c>
    </row>
    <row r="40" spans="1:65" x14ac:dyDescent="0.45">
      <c r="A40" t="s">
        <v>256</v>
      </c>
      <c r="B40">
        <v>39</v>
      </c>
      <c r="C40" s="2">
        <v>43594</v>
      </c>
      <c r="D40" s="1">
        <v>0.43472222222222223</v>
      </c>
      <c r="E40" s="1">
        <v>0.44097222222222227</v>
      </c>
      <c r="F40" s="4">
        <f>8.33+8.57</f>
        <v>16.899999999999999</v>
      </c>
      <c r="G40" s="4">
        <f>2.76+16.9</f>
        <v>19.659999999999997</v>
      </c>
      <c r="H40" s="15">
        <v>1666</v>
      </c>
      <c r="I40" t="s">
        <v>18</v>
      </c>
      <c r="J40" t="s">
        <v>21</v>
      </c>
      <c r="K40">
        <v>1.32</v>
      </c>
      <c r="L40">
        <v>1.32</v>
      </c>
      <c r="M40">
        <v>1.26</v>
      </c>
      <c r="N40">
        <v>1.3320000000000001</v>
      </c>
      <c r="O40">
        <v>1.43</v>
      </c>
      <c r="P40">
        <v>1.31</v>
      </c>
      <c r="Q40">
        <v>1.48</v>
      </c>
      <c r="R40">
        <v>1.48</v>
      </c>
      <c r="S40" t="b">
        <v>0</v>
      </c>
      <c r="T40" t="b">
        <v>0</v>
      </c>
      <c r="U40" t="b">
        <v>0</v>
      </c>
      <c r="W40" t="b">
        <v>0</v>
      </c>
      <c r="Z40" t="b">
        <v>0</v>
      </c>
      <c r="AA40" t="b">
        <v>0</v>
      </c>
      <c r="AB40" t="s">
        <v>25</v>
      </c>
      <c r="AC40" t="s">
        <v>28</v>
      </c>
      <c r="AD40" t="s">
        <v>196</v>
      </c>
      <c r="AE40">
        <v>80</v>
      </c>
      <c r="AF40">
        <v>28</v>
      </c>
      <c r="AG40">
        <v>2</v>
      </c>
      <c r="AH40" t="b">
        <v>0</v>
      </c>
      <c r="AI40">
        <v>1.21</v>
      </c>
      <c r="AJ40" t="s">
        <v>135</v>
      </c>
      <c r="AK40" t="s">
        <v>257</v>
      </c>
      <c r="AL40">
        <v>9</v>
      </c>
      <c r="AM40">
        <v>-0.25</v>
      </c>
      <c r="AN40">
        <v>4</v>
      </c>
      <c r="AO40" s="22" t="s">
        <v>258</v>
      </c>
      <c r="AP40" s="4">
        <f>IF(TABLE1[[#This Row],[Buy/Sell]]="BUY",(TABLE1[[#This Row],[Highest Price]]-TABLE1[[#This Row],[Entry Price]])/(TABLE1[[#This Row],[Intended Entry]]-TABLE1[[#This Row],[SL Price]]),(TABLE1[[#This Row],[Entry Price]]-TABLE1[[#This Row],[Lowest Price]])/(TABLE1[[#This Row],[SL Price]]-TABLE1[[#This Row],[Intended Entry]]))</f>
        <v>1.8333333333333297</v>
      </c>
      <c r="AQ40" s="19">
        <f>IF(TABLE1[[#This Row],[Buy/Sell]]="BUY",(TABLE1[[#This Row],[Entry Price]]-TABLE1[[#This Row],[Lowest Price]])/(TABLE1[[#This Row],[SL Price]]-TABLE1[[#This Row],[Intended Entry]]),(TABLE1[[#This Row],[Entry Price]]-TABLE1[[#This Row],[Highest Price]])/(TABLE1[[#This Row],[SL Price]]-TABLE1[[#This Row],[Intended Entry]]))</f>
        <v>-0.16666666666666666</v>
      </c>
      <c r="AR40" s="4" t="str">
        <f>IF(AND(TABLE1[[#This Row],[RRR Realized]]&lt;0.5,TABLE1[[#This Row],[RRR Realized]]&gt;-0.6),"BE",IF(TABLE1[[#This Row],[Gain/Loss]]&lt;0, "LOSER", "WINNER"))</f>
        <v>BE</v>
      </c>
      <c r="AS40" s="4">
        <f>TABLE1[[#This Row],[Gain/Loss]]-TABLE1[[#This Row],[Comissions]]</f>
        <v>2.759999999999998</v>
      </c>
      <c r="AT40" s="3">
        <f>TABLE1[[#This Row],[Exit Time]]-TABLE1[[#This Row],[Entry Time]]</f>
        <v>6.2500000000000333E-3</v>
      </c>
      <c r="AU40" s="4">
        <f>TABLE1[[#This Row],[Net Gain/Loss]]+AU39</f>
        <v>1451.6188999999995</v>
      </c>
      <c r="AV40" s="4">
        <f>IF(TABLE1[[#This Row],[Potential Price Before BE]]=FALSE,"FALSE",( TABLE1[[#This Row],[Potential Price Before BE]]-TABLE1[[#This Row],[Intended Entry]])/(TABLE1[[#This Row],[Intended Entry]]-TABLE1[[#This Row],[SL Price]]))</f>
        <v>2.666666666666663</v>
      </c>
      <c r="AW40" s="4">
        <f>(IF(TABLE1[[#This Row],[Buy/Sell]]="BUY",(TABLE1[[#This Row],[Entry Price]]-TABLE1[[#This Row],[SL Price]])/(TABLE1[[#This Row],[Intended Entry]]-TABLE1[[#This Row],[SL Price]]),(TABLE1[[#This Row],[SL Price]]-TABLE1[[#This Row],[Entry Price]])/(TABLE1[[#This Row],[SL Price]]-TABLE1[[#This Row],[Intended Entry]])))-1</f>
        <v>0</v>
      </c>
      <c r="AX40" s="19">
        <f>TABLE1[[#This Row],[Missed RRR on Entry]]</f>
        <v>0</v>
      </c>
      <c r="AY40" s="19">
        <f>ROUND((TABLE1[[#This Row],[Potential Price]]-TABLE1[[#This Row],[Entry Price]])/(TABLE1[[#This Row],[Intended Entry]]-TABLE1[[#This Row],[SL Price]]),4)</f>
        <v>2.6667000000000001</v>
      </c>
      <c r="AZ40" s="19">
        <f>ROUND((TABLE1[[#This Row],[Potential Price]]-TABLE1[[#This Row],[Intended Entry]])/(TABLE1[[#This Row],[Intended Entry]]-TABLE1[[#This Row],[SL Price]]),4)</f>
        <v>2.6667000000000001</v>
      </c>
      <c r="BA40" s="19">
        <f>TABLE1[[#This Row],[RRR Potential]]-TABLE1[[#This Row],[RRR Realized]]</f>
        <v>2.4666999999999999</v>
      </c>
      <c r="BB40" s="25">
        <f>ROUND((TABLE1[[#This Row],[Exit Price]]-TABLE1[[#This Row],[Entry Price]])/(TABLE1[[#This Row],[Intended Entry]]-TABLE1[[#This Row],[SL Price]]),4)</f>
        <v>0.2</v>
      </c>
      <c r="BC40" s="4">
        <f>IF(AND((TABLE1[[#This Row],[Back to BE]])=TRUE,(TABLE1[[#This Row],[Price Behaviour]])="Fast Reversal"), 0-(TABLE1[[#This Row],[Missed RRR on Entry]]),ROUND((TABLE1[[#This Row],[Exit Price]]-TABLE1[[#This Row],[Entry Price]])/(TABLE1[[#This Row],[Intended Entry]]-TABLE1[[#This Row],[SL Price]]),4))</f>
        <v>0.2</v>
      </c>
      <c r="BD40" s="4">
        <f>IF(AND((TABLE1[[#This Row],[Hard RRR Potential]])&gt;=1,(TABLE1[[#This Row],[Back to BE]])="True",(TABLE1[[#This Row],[Price Behaviour]])="Fast Reversal"), 1-(TABLE1[[#This Row],[Missed RRR on Entry]]),ROUND((TABLE1[[#This Row],[Exit Price]]-TABLE1[[#This Row],[Entry Price]])/(TABLE1[[#This Row],[Intended Entry]]-TABLE1[[#This Row],[SL Price]]),4))</f>
        <v>0.2</v>
      </c>
      <c r="BE40" s="4">
        <f>IF(AND((TABLE1[[#This Row],[Hard RRR Potential]])&gt;=1.5,(TABLE1[[#This Row],[Back to BE]])="True",(TABLE1[[#This Row],[Price Behaviour]])="Fast Reversal"), 1.5-(TABLE1[[#This Row],[Missed RRR on Entry]]),ROUND((TABLE1[[#This Row],[Exit Price]]-TABLE1[[#This Row],[Entry Price]])/(TABLE1[[#This Row],[Intended Entry]]-TABLE1[[#This Row],[SL Price]]),4))</f>
        <v>0.2</v>
      </c>
      <c r="BF40" s="4">
        <f>IF(AND((TABLE1[[#This Row],[Hard RRR Potential]])&gt;=2,(TABLE1[[#This Row],[Back to BE]])="True",(TABLE1[[#This Row],[Price Behaviour]])="Fast Reversal"), 2-(TABLE1[[#This Row],[Missed RRR on Entry]]),ROUND((TABLE1[[#This Row],[Exit Price]]-TABLE1[[#This Row],[Entry Price]])/(TABLE1[[#This Row],[Intended Entry]]-TABLE1[[#This Row],[SL Price]]),4))</f>
        <v>0.2</v>
      </c>
      <c r="BG40" s="48">
        <f>IF((TABLE1[[#This Row],[Pattern SL]])&lt;&gt;FALSE,((TABLE1[[#This Row],[Pattern SL]])-(TABLE1[[#This Row],[Entry Price]]))/((TABLE1[[#This Row],[Intended Entry]])-(TABLE1[[#This Row],[SL Price]])),ROUND((TABLE1[[#This Row],[Exit Price]]-TABLE1[[#This Row],[Entry Price]])/(TABLE1[[#This Row],[Intended Entry]]-TABLE1[[#This Row],[SL Price]]),4))</f>
        <v>0.2</v>
      </c>
      <c r="BH4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I40"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J40" s="21">
        <f>IF( TABLE1[[#This Row],[Wick Exit]]&lt;&gt; FALSE,TABLE1[[#This Row],[RRR Wick Exit]],IF(TABLE1[[#This Row],[Volume Exit]]&lt;&gt; FALSE,TABLE1[[#This Row],[RRR Volume Exit]],TABLE1[[#This Row],[RRR Realized]]))</f>
        <v>0.2</v>
      </c>
      <c r="BK40"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v>
      </c>
      <c r="BL40"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M40" s="4">
        <f>IF(OR(AND(TABLE1[[#This Row],[Hard RRR Potential]]&gt;=3,TABLE1[[#This Row],[Volume Exit]]=FALSE,TABLE1[[#This Row],[Wick Exit]]=FALSE),AND(TABLE1[[#This Row],[Hard RRR Potential]]&gt;=3,TABLE1[[#This Row],[Volume Exit RRR Reach]]&gt;=3,TABLE1[[#This Row],[Wick Exit]]=FALSE)), 3-TABLE1[[#This Row],[Missed RRR on Entry]],TABLE1[[#This Row],[RRR Realized]])</f>
        <v>0.2</v>
      </c>
    </row>
    <row r="41" spans="1:65" x14ac:dyDescent="0.45">
      <c r="A41" t="s">
        <v>259</v>
      </c>
      <c r="B41">
        <v>40</v>
      </c>
      <c r="C41" s="2">
        <v>43598</v>
      </c>
      <c r="D41" s="1">
        <v>0.44027777777777777</v>
      </c>
      <c r="E41" s="1">
        <v>0.45277777777777778</v>
      </c>
      <c r="F41" s="4">
        <v>8.49</v>
      </c>
      <c r="G41" s="4">
        <f>-99.13</f>
        <v>-99.13</v>
      </c>
      <c r="H41" s="15">
        <v>833</v>
      </c>
      <c r="I41" t="s">
        <v>18</v>
      </c>
      <c r="J41" t="s">
        <v>21</v>
      </c>
      <c r="K41">
        <v>3.47</v>
      </c>
      <c r="L41">
        <v>3.47</v>
      </c>
      <c r="M41">
        <v>3.35</v>
      </c>
      <c r="N41">
        <v>3.35</v>
      </c>
      <c r="O41">
        <v>3.49</v>
      </c>
      <c r="P41">
        <v>3.35</v>
      </c>
      <c r="Q41">
        <v>3.49</v>
      </c>
      <c r="R41">
        <v>3.49</v>
      </c>
      <c r="S41" t="b">
        <v>0</v>
      </c>
      <c r="T41" t="b">
        <v>0</v>
      </c>
      <c r="U41" t="b">
        <v>0</v>
      </c>
      <c r="V41" t="b">
        <v>0</v>
      </c>
      <c r="W41" t="b">
        <v>0</v>
      </c>
      <c r="Z41" t="b">
        <v>0</v>
      </c>
      <c r="AA41" t="b">
        <v>0</v>
      </c>
      <c r="AB41" t="s">
        <v>24</v>
      </c>
      <c r="AC41" t="s">
        <v>31</v>
      </c>
      <c r="AD41" t="s">
        <v>38</v>
      </c>
      <c r="AE41">
        <v>20</v>
      </c>
      <c r="AG41">
        <v>2</v>
      </c>
      <c r="AH41" t="b">
        <v>0</v>
      </c>
      <c r="AI41">
        <v>3.29</v>
      </c>
      <c r="AJ41" t="s">
        <v>137</v>
      </c>
      <c r="AK41" t="s">
        <v>167</v>
      </c>
      <c r="AL41">
        <v>5.93</v>
      </c>
      <c r="AM41">
        <v>-0.31</v>
      </c>
      <c r="AN41">
        <v>8.5</v>
      </c>
      <c r="AO41" s="22" t="s">
        <v>260</v>
      </c>
      <c r="AP41" s="4">
        <f>IF(TABLE1[[#This Row],[Buy/Sell]]="BUY",(TABLE1[[#This Row],[Highest Price]]-TABLE1[[#This Row],[Entry Price]])/(TABLE1[[#This Row],[Intended Entry]]-TABLE1[[#This Row],[SL Price]]),(TABLE1[[#This Row],[Entry Price]]-TABLE1[[#This Row],[Lowest Price]])/(TABLE1[[#This Row],[SL Price]]-TABLE1[[#This Row],[Intended Entry]]))</f>
        <v>0.16666666666666666</v>
      </c>
      <c r="AQ41" s="19">
        <f>IF(TABLE1[[#This Row],[Buy/Sell]]="BUY",(TABLE1[[#This Row],[Entry Price]]-TABLE1[[#This Row],[Lowest Price]])/(TABLE1[[#This Row],[SL Price]]-TABLE1[[#This Row],[Intended Entry]]),(TABLE1[[#This Row],[Entry Price]]-TABLE1[[#This Row],[Highest Price]])/(TABLE1[[#This Row],[SL Price]]-TABLE1[[#This Row],[Intended Entry]]))</f>
        <v>-1</v>
      </c>
      <c r="AR41" s="4" t="str">
        <f>IF(AND(TABLE1[[#This Row],[RRR Realized]]&lt;0.5,TABLE1[[#This Row],[RRR Realized]]&gt;-0.6),"BE",IF(TABLE1[[#This Row],[Gain/Loss]]&lt;0, "LOSER", "WINNER"))</f>
        <v>LOSER</v>
      </c>
      <c r="AS41" s="4">
        <f>TABLE1[[#This Row],[Gain/Loss]]-TABLE1[[#This Row],[Comissions]]</f>
        <v>-107.61999999999999</v>
      </c>
      <c r="AT41" s="3">
        <f>TABLE1[[#This Row],[Exit Time]]-TABLE1[[#This Row],[Entry Time]]</f>
        <v>1.2500000000000011E-2</v>
      </c>
      <c r="AU41" s="4">
        <f>TABLE1[[#This Row],[Net Gain/Loss]]+AU40</f>
        <v>1343.9988999999996</v>
      </c>
      <c r="AV41" s="4">
        <f>IF(TABLE1[[#This Row],[Potential Price Before BE]]=FALSE,"FALSE",( TABLE1[[#This Row],[Potential Price Before BE]]-TABLE1[[#This Row],[Intended Entry]])/(TABLE1[[#This Row],[Intended Entry]]-TABLE1[[#This Row],[SL Price]]))</f>
        <v>0.16666666666666666</v>
      </c>
      <c r="AW41" s="4">
        <f>(IF(TABLE1[[#This Row],[Buy/Sell]]="BUY",(TABLE1[[#This Row],[Entry Price]]-TABLE1[[#This Row],[SL Price]])/(TABLE1[[#This Row],[Intended Entry]]-TABLE1[[#This Row],[SL Price]]),(TABLE1[[#This Row],[SL Price]]-TABLE1[[#This Row],[Entry Price]])/(TABLE1[[#This Row],[SL Price]]-TABLE1[[#This Row],[Intended Entry]])))-1</f>
        <v>0</v>
      </c>
      <c r="AX41" s="19">
        <f>TABLE1[[#This Row],[Missed RRR on Entry]]</f>
        <v>0</v>
      </c>
      <c r="AY41" s="19">
        <f>ROUND((TABLE1[[#This Row],[Potential Price]]-TABLE1[[#This Row],[Entry Price]])/(TABLE1[[#This Row],[Intended Entry]]-TABLE1[[#This Row],[SL Price]]),4)</f>
        <v>0.16669999999999999</v>
      </c>
      <c r="AZ41" s="19">
        <f>ROUND((TABLE1[[#This Row],[Potential Price]]-TABLE1[[#This Row],[Intended Entry]])/(TABLE1[[#This Row],[Intended Entry]]-TABLE1[[#This Row],[SL Price]]),4)</f>
        <v>0.16669999999999999</v>
      </c>
      <c r="BA41" s="19">
        <f>TABLE1[[#This Row],[RRR Potential]]-TABLE1[[#This Row],[RRR Realized]]</f>
        <v>1.1667000000000001</v>
      </c>
      <c r="BB41" s="25">
        <f>ROUND((TABLE1[[#This Row],[Exit Price]]-TABLE1[[#This Row],[Entry Price]])/(TABLE1[[#This Row],[Intended Entry]]-TABLE1[[#This Row],[SL Price]]),4)</f>
        <v>-1</v>
      </c>
      <c r="BC41" s="4">
        <f>IF(AND((TABLE1[[#This Row],[Back to BE]])=TRUE,(TABLE1[[#This Row],[Price Behaviour]])="Fast Reversal"), 0-(TABLE1[[#This Row],[Missed RRR on Entry]]),ROUND((TABLE1[[#This Row],[Exit Price]]-TABLE1[[#This Row],[Entry Price]])/(TABLE1[[#This Row],[Intended Entry]]-TABLE1[[#This Row],[SL Price]]),4))</f>
        <v>-1</v>
      </c>
      <c r="BD41" s="4">
        <f>IF(AND((TABLE1[[#This Row],[Hard RRR Potential]])&gt;=1,(TABLE1[[#This Row],[Back to BE]])="True",(TABLE1[[#This Row],[Price Behaviour]])="Fast Reversal"), 1-(TABLE1[[#This Row],[Missed RRR on Entry]]),ROUND((TABLE1[[#This Row],[Exit Price]]-TABLE1[[#This Row],[Entry Price]])/(TABLE1[[#This Row],[Intended Entry]]-TABLE1[[#This Row],[SL Price]]),4))</f>
        <v>-1</v>
      </c>
      <c r="BE41" s="4">
        <f>IF(AND((TABLE1[[#This Row],[Hard RRR Potential]])&gt;=1.5,(TABLE1[[#This Row],[Back to BE]])="True",(TABLE1[[#This Row],[Price Behaviour]])="Fast Reversal"), 1.5-(TABLE1[[#This Row],[Missed RRR on Entry]]),ROUND((TABLE1[[#This Row],[Exit Price]]-TABLE1[[#This Row],[Entry Price]])/(TABLE1[[#This Row],[Intended Entry]]-TABLE1[[#This Row],[SL Price]]),4))</f>
        <v>-1</v>
      </c>
      <c r="BF41" s="4">
        <f>IF(AND((TABLE1[[#This Row],[Hard RRR Potential]])&gt;=2,(TABLE1[[#This Row],[Back to BE]])="True",(TABLE1[[#This Row],[Price Behaviour]])="Fast Reversal"), 2-(TABLE1[[#This Row],[Missed RRR on Entry]]),ROUND((TABLE1[[#This Row],[Exit Price]]-TABLE1[[#This Row],[Entry Price]])/(TABLE1[[#This Row],[Intended Entry]]-TABLE1[[#This Row],[SL Price]]),4))</f>
        <v>-1</v>
      </c>
      <c r="BG41" s="48">
        <f>IF((TABLE1[[#This Row],[Pattern SL]])&lt;&gt;FALSE,((TABLE1[[#This Row],[Pattern SL]])-(TABLE1[[#This Row],[Entry Price]]))/((TABLE1[[#This Row],[Intended Entry]])-(TABLE1[[#This Row],[SL Price]])),ROUND((TABLE1[[#This Row],[Exit Price]]-TABLE1[[#This Row],[Entry Price]])/(TABLE1[[#This Row],[Intended Entry]]-TABLE1[[#This Row],[SL Price]]),4))</f>
        <v>-1</v>
      </c>
      <c r="BH4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I41"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J41" s="21">
        <f>IF( TABLE1[[#This Row],[Wick Exit]]&lt;&gt; FALSE,TABLE1[[#This Row],[RRR Wick Exit]],IF(TABLE1[[#This Row],[Volume Exit]]&lt;&gt; FALSE,TABLE1[[#This Row],[RRR Volume Exit]],TABLE1[[#This Row],[RRR Realized]]))</f>
        <v>-1</v>
      </c>
      <c r="BK41"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L41"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M41" s="4">
        <f>IF(OR(AND(TABLE1[[#This Row],[Hard RRR Potential]]&gt;=3,TABLE1[[#This Row],[Volume Exit]]=FALSE,TABLE1[[#This Row],[Wick Exit]]=FALSE),AND(TABLE1[[#This Row],[Hard RRR Potential]]&gt;=3,TABLE1[[#This Row],[Volume Exit RRR Reach]]&gt;=3,TABLE1[[#This Row],[Wick Exit]]=FALSE)), 3-TABLE1[[#This Row],[Missed RRR on Entry]],TABLE1[[#This Row],[RRR Realized]])</f>
        <v>-1</v>
      </c>
    </row>
    <row r="42" spans="1:65" x14ac:dyDescent="0.45">
      <c r="A42" t="s">
        <v>261</v>
      </c>
      <c r="B42">
        <v>41</v>
      </c>
      <c r="C42" s="2">
        <v>43599</v>
      </c>
      <c r="D42" s="1">
        <v>0.40902777777777777</v>
      </c>
      <c r="E42" s="1">
        <v>0.45347222222222222</v>
      </c>
      <c r="F42" s="4">
        <f>8.55+8.33</f>
        <v>16.880000000000003</v>
      </c>
      <c r="G42" s="4">
        <f>332.98+16.88</f>
        <v>349.86</v>
      </c>
      <c r="H42" s="15">
        <v>1666</v>
      </c>
      <c r="I42" t="s">
        <v>18</v>
      </c>
      <c r="J42" t="s">
        <v>21</v>
      </c>
      <c r="K42">
        <v>0.53</v>
      </c>
      <c r="L42">
        <v>0.53</v>
      </c>
      <c r="M42">
        <f>0.53-0.06</f>
        <v>0.47000000000000003</v>
      </c>
      <c r="N42">
        <v>0.74</v>
      </c>
      <c r="O42">
        <v>0.78</v>
      </c>
      <c r="P42">
        <v>0.53</v>
      </c>
      <c r="Q42" t="b">
        <v>0</v>
      </c>
      <c r="R42">
        <v>0.82</v>
      </c>
      <c r="S42" t="b">
        <v>0</v>
      </c>
      <c r="T42" t="b">
        <v>0</v>
      </c>
      <c r="U42" t="b">
        <v>0</v>
      </c>
      <c r="W42" t="b">
        <v>0</v>
      </c>
      <c r="Z42" t="b">
        <v>0</v>
      </c>
      <c r="AA42" t="b">
        <v>0</v>
      </c>
      <c r="AB42" t="s">
        <v>25</v>
      </c>
      <c r="AC42" t="s">
        <v>28</v>
      </c>
      <c r="AD42" t="s">
        <v>33</v>
      </c>
      <c r="AE42">
        <v>500</v>
      </c>
      <c r="AG42">
        <v>1</v>
      </c>
      <c r="AH42" t="s">
        <v>319</v>
      </c>
      <c r="AI42">
        <v>0.48</v>
      </c>
      <c r="AJ42" t="s">
        <v>137</v>
      </c>
      <c r="AK42" t="s">
        <v>167</v>
      </c>
      <c r="AL42">
        <v>5.3</v>
      </c>
      <c r="AM42">
        <v>0.88</v>
      </c>
      <c r="AN42">
        <v>1.29</v>
      </c>
      <c r="AO42" s="22" t="s">
        <v>262</v>
      </c>
      <c r="AP42" s="4">
        <f>IF(TABLE1[[#This Row],[Buy/Sell]]="BUY",(TABLE1[[#This Row],[Highest Price]]-TABLE1[[#This Row],[Entry Price]])/(TABLE1[[#This Row],[Intended Entry]]-TABLE1[[#This Row],[SL Price]]),(TABLE1[[#This Row],[Entry Price]]-TABLE1[[#This Row],[Lowest Price]])/(TABLE1[[#This Row],[SL Price]]-TABLE1[[#This Row],[Intended Entry]]))</f>
        <v>4.166666666666667</v>
      </c>
      <c r="AQ42" s="19">
        <f>IF(TABLE1[[#This Row],[Buy/Sell]]="BUY",(TABLE1[[#This Row],[Entry Price]]-TABLE1[[#This Row],[Lowest Price]])/(TABLE1[[#This Row],[SL Price]]-TABLE1[[#This Row],[Intended Entry]]),(TABLE1[[#This Row],[Entry Price]]-TABLE1[[#This Row],[Highest Price]])/(TABLE1[[#This Row],[SL Price]]-TABLE1[[#This Row],[Intended Entry]]))</f>
        <v>0</v>
      </c>
      <c r="AR42" s="4" t="str">
        <f>IF(AND(TABLE1[[#This Row],[RRR Realized]]&lt;0.5,TABLE1[[#This Row],[RRR Realized]]&gt;-0.6),"BE",IF(TABLE1[[#This Row],[Gain/Loss]]&lt;0, "LOSER", "WINNER"))</f>
        <v>WINNER</v>
      </c>
      <c r="AS42" s="4">
        <f>TABLE1[[#This Row],[Gain/Loss]]-TABLE1[[#This Row],[Comissions]]</f>
        <v>332.98</v>
      </c>
      <c r="AT42" s="3">
        <f>TABLE1[[#This Row],[Exit Time]]-TABLE1[[#This Row],[Entry Time]]</f>
        <v>4.4444444444444453E-2</v>
      </c>
      <c r="AU42" s="4">
        <f>TABLE1[[#This Row],[Net Gain/Loss]]+AU41</f>
        <v>1676.9788999999996</v>
      </c>
      <c r="AV42" s="4" t="str">
        <f>IF(TABLE1[[#This Row],[Potential Price Before BE]]=FALSE,"FALSE",( TABLE1[[#This Row],[Potential Price Before BE]]-TABLE1[[#This Row],[Intended Entry]])/(TABLE1[[#This Row],[Intended Entry]]-TABLE1[[#This Row],[SL Price]]))</f>
        <v>FALSE</v>
      </c>
      <c r="AW42" s="4">
        <f>(IF(TABLE1[[#This Row],[Buy/Sell]]="BUY",(TABLE1[[#This Row],[Entry Price]]-TABLE1[[#This Row],[SL Price]])/(TABLE1[[#This Row],[Intended Entry]]-TABLE1[[#This Row],[SL Price]]),(TABLE1[[#This Row],[SL Price]]-TABLE1[[#This Row],[Entry Price]])/(TABLE1[[#This Row],[SL Price]]-TABLE1[[#This Row],[Intended Entry]])))-1</f>
        <v>0</v>
      </c>
      <c r="AX42" s="19">
        <f>TABLE1[[#This Row],[Missed RRR on Entry]]</f>
        <v>0</v>
      </c>
      <c r="AY42" s="19">
        <f>ROUND((TABLE1[[#This Row],[Potential Price]]-TABLE1[[#This Row],[Entry Price]])/(TABLE1[[#This Row],[Intended Entry]]-TABLE1[[#This Row],[SL Price]]),4)</f>
        <v>4.8333000000000004</v>
      </c>
      <c r="AZ42" s="19">
        <f>ROUND((TABLE1[[#This Row],[Potential Price]]-TABLE1[[#This Row],[Intended Entry]])/(TABLE1[[#This Row],[Intended Entry]]-TABLE1[[#This Row],[SL Price]]),4)</f>
        <v>4.8333000000000004</v>
      </c>
      <c r="BA42" s="19">
        <f>TABLE1[[#This Row],[RRR Potential]]-TABLE1[[#This Row],[RRR Realized]]</f>
        <v>1.3333000000000004</v>
      </c>
      <c r="BB42" s="25">
        <f>ROUND((TABLE1[[#This Row],[Exit Price]]-TABLE1[[#This Row],[Entry Price]])/(TABLE1[[#This Row],[Intended Entry]]-TABLE1[[#This Row],[SL Price]]),4)</f>
        <v>3.5</v>
      </c>
      <c r="BC42" s="4">
        <f>IF(AND((TABLE1[[#This Row],[Back to BE]])=TRUE,(TABLE1[[#This Row],[Price Behaviour]])="Fast Reversal"), 0-(TABLE1[[#This Row],[Missed RRR on Entry]]),ROUND((TABLE1[[#This Row],[Exit Price]]-TABLE1[[#This Row],[Entry Price]])/(TABLE1[[#This Row],[Intended Entry]]-TABLE1[[#This Row],[SL Price]]),4))</f>
        <v>3.5</v>
      </c>
      <c r="BD42" s="4">
        <f>IF(AND((TABLE1[[#This Row],[Hard RRR Potential]])&gt;=1,(TABLE1[[#This Row],[Back to BE]])="True",(TABLE1[[#This Row],[Price Behaviour]])="Fast Reversal"), 1-(TABLE1[[#This Row],[Missed RRR on Entry]]),ROUND((TABLE1[[#This Row],[Exit Price]]-TABLE1[[#This Row],[Entry Price]])/(TABLE1[[#This Row],[Intended Entry]]-TABLE1[[#This Row],[SL Price]]),4))</f>
        <v>3.5</v>
      </c>
      <c r="BE42" s="4">
        <f>IF(AND((TABLE1[[#This Row],[Hard RRR Potential]])&gt;=1.5,(TABLE1[[#This Row],[Back to BE]])="True",(TABLE1[[#This Row],[Price Behaviour]])="Fast Reversal"), 1.5-(TABLE1[[#This Row],[Missed RRR on Entry]]),ROUND((TABLE1[[#This Row],[Exit Price]]-TABLE1[[#This Row],[Entry Price]])/(TABLE1[[#This Row],[Intended Entry]]-TABLE1[[#This Row],[SL Price]]),4))</f>
        <v>3.5</v>
      </c>
      <c r="BF42" s="4">
        <f>IF(AND((TABLE1[[#This Row],[Hard RRR Potential]])&gt;=2,(TABLE1[[#This Row],[Back to BE]])="True",(TABLE1[[#This Row],[Price Behaviour]])="Fast Reversal"), 2-(TABLE1[[#This Row],[Missed RRR on Entry]]),ROUND((TABLE1[[#This Row],[Exit Price]]-TABLE1[[#This Row],[Entry Price]])/(TABLE1[[#This Row],[Intended Entry]]-TABLE1[[#This Row],[SL Price]]),4))</f>
        <v>3.5</v>
      </c>
      <c r="BG42" s="48">
        <f>IF((TABLE1[[#This Row],[Pattern SL]])&lt;&gt;FALSE,((TABLE1[[#This Row],[Pattern SL]])-(TABLE1[[#This Row],[Entry Price]]))/((TABLE1[[#This Row],[Intended Entry]])-(TABLE1[[#This Row],[SL Price]])),ROUND((TABLE1[[#This Row],[Exit Price]]-TABLE1[[#This Row],[Entry Price]])/(TABLE1[[#This Row],[Intended Entry]]-TABLE1[[#This Row],[SL Price]]),4))</f>
        <v>3.5</v>
      </c>
      <c r="BH4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3.5</v>
      </c>
      <c r="BI42"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3.5</v>
      </c>
      <c r="BJ42" s="21">
        <f>IF( TABLE1[[#This Row],[Wick Exit]]&lt;&gt; FALSE,TABLE1[[#This Row],[RRR Wick Exit]],IF(TABLE1[[#This Row],[Volume Exit]]&lt;&gt; FALSE,TABLE1[[#This Row],[RRR Volume Exit]],TABLE1[[#This Row],[RRR Realized]]))</f>
        <v>3.5</v>
      </c>
      <c r="BK4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3.5</v>
      </c>
      <c r="BL42"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M42" s="4">
        <f>IF(OR(AND(TABLE1[[#This Row],[Hard RRR Potential]]&gt;=3,TABLE1[[#This Row],[Volume Exit]]=FALSE,TABLE1[[#This Row],[Wick Exit]]=FALSE),AND(TABLE1[[#This Row],[Hard RRR Potential]]&gt;=3,TABLE1[[#This Row],[Volume Exit RRR Reach]]&gt;=3,TABLE1[[#This Row],[Wick Exit]]=FALSE)), 3-TABLE1[[#This Row],[Missed RRR on Entry]],TABLE1[[#This Row],[RRR Realized]])</f>
        <v>3</v>
      </c>
    </row>
    <row r="43" spans="1:65" x14ac:dyDescent="0.45">
      <c r="A43" t="s">
        <v>261</v>
      </c>
      <c r="B43">
        <v>42</v>
      </c>
      <c r="C43" s="2">
        <v>43599</v>
      </c>
      <c r="D43" s="1">
        <v>0.42152777777777778</v>
      </c>
      <c r="E43" s="1">
        <v>0.43472222222222223</v>
      </c>
      <c r="F43" s="4">
        <v>16.89</v>
      </c>
      <c r="G43" s="4">
        <f>166.37+16.89</f>
        <v>183.26</v>
      </c>
      <c r="H43" s="15">
        <v>1666</v>
      </c>
      <c r="I43" t="s">
        <v>18</v>
      </c>
      <c r="J43" t="s">
        <v>21</v>
      </c>
      <c r="K43">
        <v>0.68</v>
      </c>
      <c r="L43">
        <v>0.68</v>
      </c>
      <c r="M43">
        <v>0.62</v>
      </c>
      <c r="N43">
        <v>0.79</v>
      </c>
      <c r="O43">
        <v>0.82</v>
      </c>
      <c r="P43">
        <v>0.66</v>
      </c>
      <c r="Q43">
        <v>0.77</v>
      </c>
      <c r="R43">
        <v>0.82</v>
      </c>
      <c r="S43" t="b">
        <v>0</v>
      </c>
      <c r="T43" t="b">
        <v>0</v>
      </c>
      <c r="U43" t="b">
        <v>0</v>
      </c>
      <c r="W43">
        <v>0.79</v>
      </c>
      <c r="X43">
        <v>2.33</v>
      </c>
      <c r="Y43" t="b">
        <v>0</v>
      </c>
      <c r="Z43" t="b">
        <v>0</v>
      </c>
      <c r="AA43" t="b">
        <v>0</v>
      </c>
      <c r="AB43" t="s">
        <v>27</v>
      </c>
      <c r="AC43" t="s">
        <v>28</v>
      </c>
      <c r="AD43" t="s">
        <v>33</v>
      </c>
      <c r="AE43">
        <v>500</v>
      </c>
      <c r="AG43">
        <v>2</v>
      </c>
      <c r="AH43" t="b">
        <v>0</v>
      </c>
      <c r="AI43">
        <v>0.62</v>
      </c>
      <c r="AJ43" t="s">
        <v>137</v>
      </c>
      <c r="AK43" t="s">
        <v>167</v>
      </c>
      <c r="AL43">
        <v>5.3</v>
      </c>
      <c r="AM43">
        <v>0.88</v>
      </c>
      <c r="AN43">
        <v>1.29</v>
      </c>
      <c r="AO43" s="22" t="s">
        <v>262</v>
      </c>
      <c r="AP43" s="4">
        <f>IF(TABLE1[[#This Row],[Buy/Sell]]="BUY",(TABLE1[[#This Row],[Highest Price]]-TABLE1[[#This Row],[Entry Price]])/(TABLE1[[#This Row],[Intended Entry]]-TABLE1[[#This Row],[SL Price]]),(TABLE1[[#This Row],[Entry Price]]-TABLE1[[#This Row],[Lowest Price]])/(TABLE1[[#This Row],[SL Price]]-TABLE1[[#This Row],[Intended Entry]]))</f>
        <v>2.3333333333333295</v>
      </c>
      <c r="AQ43" s="19">
        <f>IF(TABLE1[[#This Row],[Buy/Sell]]="BUY",(TABLE1[[#This Row],[Entry Price]]-TABLE1[[#This Row],[Lowest Price]])/(TABLE1[[#This Row],[SL Price]]-TABLE1[[#This Row],[Intended Entry]]),(TABLE1[[#This Row],[Entry Price]]-TABLE1[[#This Row],[Highest Price]])/(TABLE1[[#This Row],[SL Price]]-TABLE1[[#This Row],[Intended Entry]]))</f>
        <v>-0.33333333333333331</v>
      </c>
      <c r="AR43" s="4" t="str">
        <f>IF(AND(TABLE1[[#This Row],[RRR Realized]]&lt;0.5,TABLE1[[#This Row],[RRR Realized]]&gt;-0.6),"BE",IF(TABLE1[[#This Row],[Gain/Loss]]&lt;0, "LOSER", "WINNER"))</f>
        <v>WINNER</v>
      </c>
      <c r="AS43" s="4">
        <f>TABLE1[[#This Row],[Gain/Loss]]-TABLE1[[#This Row],[Comissions]]</f>
        <v>166.37</v>
      </c>
      <c r="AT43" s="3">
        <f>TABLE1[[#This Row],[Exit Time]]-TABLE1[[#This Row],[Entry Time]]</f>
        <v>1.3194444444444453E-2</v>
      </c>
      <c r="AU43" s="4">
        <f>TABLE1[[#This Row],[Net Gain/Loss]]+AU42</f>
        <v>1843.3488999999995</v>
      </c>
      <c r="AV43" s="4">
        <f>IF(TABLE1[[#This Row],[Potential Price Before BE]]=FALSE,"FALSE",( TABLE1[[#This Row],[Potential Price Before BE]]-TABLE1[[#This Row],[Intended Entry]])/(TABLE1[[#This Row],[Intended Entry]]-TABLE1[[#This Row],[SL Price]]))</f>
        <v>1.4999999999999982</v>
      </c>
      <c r="AW43" s="4">
        <f>(IF(TABLE1[[#This Row],[Buy/Sell]]="BUY",(TABLE1[[#This Row],[Entry Price]]-TABLE1[[#This Row],[SL Price]])/(TABLE1[[#This Row],[Intended Entry]]-TABLE1[[#This Row],[SL Price]]),(TABLE1[[#This Row],[SL Price]]-TABLE1[[#This Row],[Entry Price]])/(TABLE1[[#This Row],[SL Price]]-TABLE1[[#This Row],[Intended Entry]])))-1</f>
        <v>0</v>
      </c>
      <c r="AX43" s="19">
        <f>TABLE1[[#This Row],[Missed RRR on Entry]]</f>
        <v>0</v>
      </c>
      <c r="AY43" s="19">
        <f>ROUND((TABLE1[[#This Row],[Potential Price]]-TABLE1[[#This Row],[Entry Price]])/(TABLE1[[#This Row],[Intended Entry]]-TABLE1[[#This Row],[SL Price]]),4)</f>
        <v>2.3332999999999999</v>
      </c>
      <c r="AZ43" s="19">
        <f>ROUND((TABLE1[[#This Row],[Potential Price]]-TABLE1[[#This Row],[Intended Entry]])/(TABLE1[[#This Row],[Intended Entry]]-TABLE1[[#This Row],[SL Price]]),4)</f>
        <v>2.3332999999999999</v>
      </c>
      <c r="BA43" s="19">
        <f>TABLE1[[#This Row],[RRR Potential]]-TABLE1[[#This Row],[RRR Realized]]</f>
        <v>0.5</v>
      </c>
      <c r="BB43" s="25">
        <f>ROUND((TABLE1[[#This Row],[Exit Price]]-TABLE1[[#This Row],[Entry Price]])/(TABLE1[[#This Row],[Intended Entry]]-TABLE1[[#This Row],[SL Price]]),4)</f>
        <v>1.8332999999999999</v>
      </c>
      <c r="BC43" s="4">
        <f>IF(AND((TABLE1[[#This Row],[Back to BE]])=TRUE,(TABLE1[[#This Row],[Price Behaviour]])="Fast Reversal"), 0-(TABLE1[[#This Row],[Missed RRR on Entry]]),ROUND((TABLE1[[#This Row],[Exit Price]]-TABLE1[[#This Row],[Entry Price]])/(TABLE1[[#This Row],[Intended Entry]]-TABLE1[[#This Row],[SL Price]]),4))</f>
        <v>1.8332999999999999</v>
      </c>
      <c r="BD43" s="4">
        <f>IF(AND((TABLE1[[#This Row],[Hard RRR Potential]])&gt;=1,(TABLE1[[#This Row],[Back to BE]])="True",(TABLE1[[#This Row],[Price Behaviour]])="Fast Reversal"), 1-(TABLE1[[#This Row],[Missed RRR on Entry]]),ROUND((TABLE1[[#This Row],[Exit Price]]-TABLE1[[#This Row],[Entry Price]])/(TABLE1[[#This Row],[Intended Entry]]-TABLE1[[#This Row],[SL Price]]),4))</f>
        <v>1.8332999999999999</v>
      </c>
      <c r="BE43" s="4">
        <f>IF(AND((TABLE1[[#This Row],[Hard RRR Potential]])&gt;=1.5,(TABLE1[[#This Row],[Back to BE]])="True",(TABLE1[[#This Row],[Price Behaviour]])="Fast Reversal"), 1.5-(TABLE1[[#This Row],[Missed RRR on Entry]]),ROUND((TABLE1[[#This Row],[Exit Price]]-TABLE1[[#This Row],[Entry Price]])/(TABLE1[[#This Row],[Intended Entry]]-TABLE1[[#This Row],[SL Price]]),4))</f>
        <v>1.8332999999999999</v>
      </c>
      <c r="BF43" s="4">
        <f>IF(AND((TABLE1[[#This Row],[Hard RRR Potential]])&gt;=2,(TABLE1[[#This Row],[Back to BE]])="True",(TABLE1[[#This Row],[Price Behaviour]])="Fast Reversal"), 2-(TABLE1[[#This Row],[Missed RRR on Entry]]),ROUND((TABLE1[[#This Row],[Exit Price]]-TABLE1[[#This Row],[Entry Price]])/(TABLE1[[#This Row],[Intended Entry]]-TABLE1[[#This Row],[SL Price]]),4))</f>
        <v>1.8332999999999999</v>
      </c>
      <c r="BG43" s="48">
        <f>IF((TABLE1[[#This Row],[Pattern SL]])&lt;&gt;FALSE,((TABLE1[[#This Row],[Pattern SL]])-(TABLE1[[#This Row],[Entry Price]]))/((TABLE1[[#This Row],[Intended Entry]])-(TABLE1[[#This Row],[SL Price]])),ROUND((TABLE1[[#This Row],[Exit Price]]-TABLE1[[#This Row],[Entry Price]])/(TABLE1[[#This Row],[Intended Entry]]-TABLE1[[#This Row],[SL Price]]),4))</f>
        <v>1.8332999999999999</v>
      </c>
      <c r="BH4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1.8333333333333315</v>
      </c>
      <c r="BI43"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1.8332999999999999</v>
      </c>
      <c r="BJ43" s="21">
        <f>IF( TABLE1[[#This Row],[Wick Exit]]&lt;&gt; FALSE,TABLE1[[#This Row],[RRR Wick Exit]],IF(TABLE1[[#This Row],[Volume Exit]]&lt;&gt; FALSE,TABLE1[[#This Row],[RRR Volume Exit]],TABLE1[[#This Row],[RRR Realized]]))</f>
        <v>1.8333333333333315</v>
      </c>
      <c r="BK4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1.8332999999999999</v>
      </c>
      <c r="BL43" s="4">
        <f>IF(OR(AND(TABLE1[[#This Row],[Hard RRR Potential]]&gt;=2.5,TABLE1[[#This Row],[Volume Exit]]=FALSE,TABLE1[[#This Row],[Wick Exit]]=FALSE),AND(TABLE1[[#This Row],[Hard RRR Potential]]&gt;=2.5,TABLE1[[#This Row],[Volume Exit RRR Reach]]&gt;=2.5,TABLE1[[#This Row],[Wick Exit]]=FALSE)), 2.5-TABLE1[[#This Row],[Missed RRR on Entry]],TABLE1[[#This Row],[RRR Realized]])</f>
        <v>1.8332999999999999</v>
      </c>
      <c r="BM43" s="4">
        <f>IF(OR(AND(TABLE1[[#This Row],[Hard RRR Potential]]&gt;=3,TABLE1[[#This Row],[Volume Exit]]=FALSE,TABLE1[[#This Row],[Wick Exit]]=FALSE),AND(TABLE1[[#This Row],[Hard RRR Potential]]&gt;=3,TABLE1[[#This Row],[Volume Exit RRR Reach]]&gt;=3,TABLE1[[#This Row],[Wick Exit]]=FALSE)), 3-TABLE1[[#This Row],[Missed RRR on Entry]],TABLE1[[#This Row],[RRR Realized]])</f>
        <v>1.8332999999999999</v>
      </c>
    </row>
    <row r="44" spans="1:65" x14ac:dyDescent="0.45">
      <c r="A44" t="s">
        <v>263</v>
      </c>
      <c r="B44">
        <v>43</v>
      </c>
      <c r="C44" s="2">
        <v>43600</v>
      </c>
      <c r="D44" s="1">
        <v>0.40277777777777773</v>
      </c>
      <c r="E44" s="1">
        <v>0.4069444444444445</v>
      </c>
      <c r="F44" s="4">
        <v>27.6</v>
      </c>
      <c r="G44" s="15">
        <f>-96</f>
        <v>-96</v>
      </c>
      <c r="H44" s="15">
        <v>3333</v>
      </c>
      <c r="I44" t="s">
        <v>18</v>
      </c>
      <c r="J44" t="s">
        <v>21</v>
      </c>
      <c r="K44">
        <v>0.33110000000000001</v>
      </c>
      <c r="L44">
        <v>0.33500000000000002</v>
      </c>
      <c r="M44">
        <v>0.30930000000000002</v>
      </c>
      <c r="N44">
        <v>0.30609999999999998</v>
      </c>
      <c r="O44">
        <v>0.34</v>
      </c>
      <c r="P44">
        <v>0.30609999999999998</v>
      </c>
      <c r="Q44">
        <v>0.34</v>
      </c>
      <c r="R44">
        <v>0.34</v>
      </c>
      <c r="S44" t="b">
        <v>0</v>
      </c>
      <c r="T44" t="b">
        <v>0</v>
      </c>
      <c r="U44" t="b">
        <v>0</v>
      </c>
      <c r="V44" t="b">
        <v>0</v>
      </c>
      <c r="W44" t="b">
        <v>0</v>
      </c>
      <c r="Z44" t="b">
        <v>0</v>
      </c>
      <c r="AA44" t="b">
        <v>0</v>
      </c>
      <c r="AB44" t="s">
        <v>24</v>
      </c>
      <c r="AC44" t="s">
        <v>31</v>
      </c>
      <c r="AD44" t="s">
        <v>35</v>
      </c>
      <c r="AE44">
        <v>51</v>
      </c>
      <c r="AF44">
        <v>17</v>
      </c>
      <c r="AG44">
        <v>1</v>
      </c>
      <c r="AH44" t="s">
        <v>319</v>
      </c>
      <c r="AI44">
        <v>0.31</v>
      </c>
      <c r="AJ44" t="s">
        <v>135</v>
      </c>
      <c r="AK44" t="s">
        <v>187</v>
      </c>
      <c r="AL44">
        <v>12.5</v>
      </c>
      <c r="AM44">
        <v>1.23</v>
      </c>
      <c r="AN44">
        <v>9.1999999999999993</v>
      </c>
      <c r="AO44" s="22" t="s">
        <v>266</v>
      </c>
      <c r="AP44" s="4">
        <f>IF(TABLE1[[#This Row],[Buy/Sell]]="BUY",(TABLE1[[#This Row],[Highest Price]]-TABLE1[[#This Row],[Entry Price]])/(TABLE1[[#This Row],[Intended Entry]]-TABLE1[[#This Row],[SL Price]]),(TABLE1[[#This Row],[Entry Price]]-TABLE1[[#This Row],[Lowest Price]])/(TABLE1[[#This Row],[SL Price]]-TABLE1[[#This Row],[Intended Entry]]))</f>
        <v>0.22935779816513796</v>
      </c>
      <c r="AQ44" s="19">
        <f>IF(TABLE1[[#This Row],[Buy/Sell]]="BUY",(TABLE1[[#This Row],[Entry Price]]-TABLE1[[#This Row],[Lowest Price]])/(TABLE1[[#This Row],[SL Price]]-TABLE1[[#This Row],[Intended Entry]]),(TABLE1[[#This Row],[Entry Price]]-TABLE1[[#This Row],[Highest Price]])/(TABLE1[[#This Row],[SL Price]]-TABLE1[[#This Row],[Intended Entry]]))</f>
        <v>-1.325688073394498</v>
      </c>
      <c r="AR44" s="4" t="str">
        <f>IF(AND(TABLE1[[#This Row],[RRR Realized]]&lt;0.5,TABLE1[[#This Row],[RRR Realized]]&gt;-0.6),"BE",IF(TABLE1[[#This Row],[Gain/Loss]]&lt;0, "LOSER", "WINNER"))</f>
        <v>LOSER</v>
      </c>
      <c r="AS44" s="4">
        <f>TABLE1[[#This Row],[Gain/Loss]]-TABLE1[[#This Row],[Comissions]]</f>
        <v>-123.6</v>
      </c>
      <c r="AT44" s="3">
        <f>TABLE1[[#This Row],[Exit Time]]-TABLE1[[#This Row],[Entry Time]]</f>
        <v>4.1666666666667629E-3</v>
      </c>
      <c r="AU44" s="4">
        <f>TABLE1[[#This Row],[Net Gain/Loss]]+AU43</f>
        <v>1719.7488999999996</v>
      </c>
      <c r="AV44" s="4">
        <f>IF(TABLE1[[#This Row],[Potential Price Before BE]]=FALSE,"FALSE",( TABLE1[[#This Row],[Potential Price Before BE]]-TABLE1[[#This Row],[Intended Entry]])/(TABLE1[[#This Row],[Intended Entry]]-TABLE1[[#This Row],[SL Price]]))</f>
        <v>0.40825688073394611</v>
      </c>
      <c r="AW44" s="4">
        <f>(IF(TABLE1[[#This Row],[Buy/Sell]]="BUY",(TABLE1[[#This Row],[Entry Price]]-TABLE1[[#This Row],[SL Price]])/(TABLE1[[#This Row],[Intended Entry]]-TABLE1[[#This Row],[SL Price]]),(TABLE1[[#This Row],[SL Price]]-TABLE1[[#This Row],[Entry Price]])/(TABLE1[[#This Row],[SL Price]]-TABLE1[[#This Row],[Intended Entry]])))-1</f>
        <v>0.17889908256880815</v>
      </c>
      <c r="AX44" s="19">
        <f>TABLE1[[#This Row],[Missed RRR on Entry]]</f>
        <v>0.17889908256880815</v>
      </c>
      <c r="AY44" s="19">
        <f>ROUND((TABLE1[[#This Row],[Potential Price]]-TABLE1[[#This Row],[Entry Price]])/(TABLE1[[#This Row],[Intended Entry]]-TABLE1[[#This Row],[SL Price]]),4)</f>
        <v>0.22939999999999999</v>
      </c>
      <c r="AZ44" s="19">
        <f>ROUND((TABLE1[[#This Row],[Potential Price]]-TABLE1[[#This Row],[Intended Entry]])/(TABLE1[[#This Row],[Intended Entry]]-TABLE1[[#This Row],[SL Price]]),4)</f>
        <v>0.4083</v>
      </c>
      <c r="BA44" s="19">
        <f>TABLE1[[#This Row],[RRR Potential]]-TABLE1[[#This Row],[RRR Realized]]</f>
        <v>1.5551000000000001</v>
      </c>
      <c r="BB44" s="25">
        <f>ROUND((TABLE1[[#This Row],[Exit Price]]-TABLE1[[#This Row],[Entry Price]])/(TABLE1[[#This Row],[Intended Entry]]-TABLE1[[#This Row],[SL Price]]),4)</f>
        <v>-1.3257000000000001</v>
      </c>
      <c r="BC44" s="4">
        <f>IF(AND((TABLE1[[#This Row],[Back to BE]])=TRUE,(TABLE1[[#This Row],[Price Behaviour]])="Fast Reversal"), 0-(TABLE1[[#This Row],[Missed RRR on Entry]]),ROUND((TABLE1[[#This Row],[Exit Price]]-TABLE1[[#This Row],[Entry Price]])/(TABLE1[[#This Row],[Intended Entry]]-TABLE1[[#This Row],[SL Price]]),4))</f>
        <v>-1.3257000000000001</v>
      </c>
      <c r="BD44" s="4">
        <f>IF(AND((TABLE1[[#This Row],[Hard RRR Potential]])&gt;=1,(TABLE1[[#This Row],[Back to BE]])="True",(TABLE1[[#This Row],[Price Behaviour]])="Fast Reversal"), 1-(TABLE1[[#This Row],[Missed RRR on Entry]]),ROUND((TABLE1[[#This Row],[Exit Price]]-TABLE1[[#This Row],[Entry Price]])/(TABLE1[[#This Row],[Intended Entry]]-TABLE1[[#This Row],[SL Price]]),4))</f>
        <v>-1.3257000000000001</v>
      </c>
      <c r="BE44" s="4">
        <f>IF(AND((TABLE1[[#This Row],[Hard RRR Potential]])&gt;=1.5,(TABLE1[[#This Row],[Back to BE]])="True",(TABLE1[[#This Row],[Price Behaviour]])="Fast Reversal"), 1.5-(TABLE1[[#This Row],[Missed RRR on Entry]]),ROUND((TABLE1[[#This Row],[Exit Price]]-TABLE1[[#This Row],[Entry Price]])/(TABLE1[[#This Row],[Intended Entry]]-TABLE1[[#This Row],[SL Price]]),4))</f>
        <v>-1.3257000000000001</v>
      </c>
      <c r="BF44" s="4">
        <f>IF(AND((TABLE1[[#This Row],[Hard RRR Potential]])&gt;=2,(TABLE1[[#This Row],[Back to BE]])="True",(TABLE1[[#This Row],[Price Behaviour]])="Fast Reversal"), 2-(TABLE1[[#This Row],[Missed RRR on Entry]]),ROUND((TABLE1[[#This Row],[Exit Price]]-TABLE1[[#This Row],[Entry Price]])/(TABLE1[[#This Row],[Intended Entry]]-TABLE1[[#This Row],[SL Price]]),4))</f>
        <v>-1.3257000000000001</v>
      </c>
      <c r="BG44" s="48">
        <f>IF((TABLE1[[#This Row],[Pattern SL]])&lt;&gt;FALSE,((TABLE1[[#This Row],[Pattern SL]])-(TABLE1[[#This Row],[Entry Price]]))/((TABLE1[[#This Row],[Intended Entry]])-(TABLE1[[#This Row],[SL Price]])),ROUND((TABLE1[[#This Row],[Exit Price]]-TABLE1[[#This Row],[Entry Price]])/(TABLE1[[#This Row],[Intended Entry]]-TABLE1[[#This Row],[SL Price]]),4))</f>
        <v>-1.3257000000000001</v>
      </c>
      <c r="BH4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-1.3257000000000001</v>
      </c>
      <c r="BI44"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-1.3257000000000001</v>
      </c>
      <c r="BJ44" s="21">
        <f>IF( TABLE1[[#This Row],[Wick Exit]]&lt;&gt; FALSE,TABLE1[[#This Row],[RRR Wick Exit]],IF(TABLE1[[#This Row],[Volume Exit]]&lt;&gt; FALSE,TABLE1[[#This Row],[RRR Volume Exit]],TABLE1[[#This Row],[RRR Realized]]))</f>
        <v>-1.3257000000000001</v>
      </c>
      <c r="BK4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-1.3257000000000001</v>
      </c>
      <c r="BL44" s="4">
        <f>IF(OR(AND(TABLE1[[#This Row],[Hard RRR Potential]]&gt;=2.5,TABLE1[[#This Row],[Volume Exit]]=FALSE,TABLE1[[#This Row],[Wick Exit]]=FALSE),AND(TABLE1[[#This Row],[Hard RRR Potential]]&gt;=2.5,TABLE1[[#This Row],[Volume Exit RRR Reach]]&gt;=2.5,TABLE1[[#This Row],[Wick Exit]]=FALSE)), 2.5-TABLE1[[#This Row],[Missed RRR on Entry]],TABLE1[[#This Row],[RRR Realized]])</f>
        <v>-1.3257000000000001</v>
      </c>
      <c r="BM44" s="4">
        <f>IF(OR(AND(TABLE1[[#This Row],[Hard RRR Potential]]&gt;=3,TABLE1[[#This Row],[Volume Exit]]=FALSE,TABLE1[[#This Row],[Wick Exit]]=FALSE),AND(TABLE1[[#This Row],[Hard RRR Potential]]&gt;=3,TABLE1[[#This Row],[Volume Exit RRR Reach]]&gt;=3,TABLE1[[#This Row],[Wick Exit]]=FALSE)), 3-TABLE1[[#This Row],[Missed RRR on Entry]],TABLE1[[#This Row],[RRR Realized]])</f>
        <v>-1.3257000000000001</v>
      </c>
    </row>
    <row r="45" spans="1:65" x14ac:dyDescent="0.45">
      <c r="A45" t="s">
        <v>264</v>
      </c>
      <c r="B45">
        <v>44</v>
      </c>
      <c r="C45" s="2">
        <v>43600</v>
      </c>
      <c r="D45" s="1">
        <v>0.42083333333333334</v>
      </c>
      <c r="E45" s="1">
        <v>0.42152777777777778</v>
      </c>
      <c r="F45" s="4">
        <v>10</v>
      </c>
      <c r="G45" s="15">
        <v>-95.54</v>
      </c>
      <c r="H45" s="15">
        <v>714</v>
      </c>
      <c r="I45" t="s">
        <v>18</v>
      </c>
      <c r="J45" t="s">
        <v>21</v>
      </c>
      <c r="K45">
        <v>2.88</v>
      </c>
      <c r="L45">
        <v>2.88</v>
      </c>
      <c r="M45">
        <f>2.88-0.14</f>
        <v>2.7399999999999998</v>
      </c>
      <c r="N45">
        <v>2.742</v>
      </c>
      <c r="O45">
        <v>2.9</v>
      </c>
      <c r="P45">
        <v>2.742</v>
      </c>
      <c r="Q45">
        <v>2.9</v>
      </c>
      <c r="R45">
        <v>2.9</v>
      </c>
      <c r="S45" t="b">
        <v>0</v>
      </c>
      <c r="T45" t="b">
        <v>0</v>
      </c>
      <c r="U45" t="b">
        <v>0</v>
      </c>
      <c r="V45" t="b">
        <v>0</v>
      </c>
      <c r="W45" t="b">
        <v>0</v>
      </c>
      <c r="Z45" t="b">
        <v>0</v>
      </c>
      <c r="AA45" t="b">
        <v>0</v>
      </c>
      <c r="AB45" t="s">
        <v>24</v>
      </c>
      <c r="AC45" t="s">
        <v>31</v>
      </c>
      <c r="AD45" t="s">
        <v>33</v>
      </c>
      <c r="AE45">
        <v>80</v>
      </c>
      <c r="AF45">
        <v>14</v>
      </c>
      <c r="AG45">
        <v>2</v>
      </c>
      <c r="AH45" t="s">
        <v>319</v>
      </c>
      <c r="AI45">
        <v>2.75</v>
      </c>
      <c r="AJ45" t="s">
        <v>135</v>
      </c>
      <c r="AK45" t="s">
        <v>167</v>
      </c>
      <c r="AL45">
        <v>5.15</v>
      </c>
      <c r="AM45">
        <v>1.23</v>
      </c>
      <c r="AN45">
        <v>3.3</v>
      </c>
      <c r="AO45" s="22" t="s">
        <v>267</v>
      </c>
      <c r="AP45" s="4">
        <f>IF(TABLE1[[#This Row],[Buy/Sell]]="BUY",(TABLE1[[#This Row],[Highest Price]]-TABLE1[[#This Row],[Entry Price]])/(TABLE1[[#This Row],[Intended Entry]]-TABLE1[[#This Row],[SL Price]]),(TABLE1[[#This Row],[Entry Price]]-TABLE1[[#This Row],[Lowest Price]])/(TABLE1[[#This Row],[SL Price]]-TABLE1[[#This Row],[Intended Entry]]))</f>
        <v>0.14285714285714285</v>
      </c>
      <c r="AQ45" s="19">
        <f>IF(TABLE1[[#This Row],[Buy/Sell]]="BUY",(TABLE1[[#This Row],[Entry Price]]-TABLE1[[#This Row],[Lowest Price]])/(TABLE1[[#This Row],[SL Price]]-TABLE1[[#This Row],[Intended Entry]]),(TABLE1[[#This Row],[Entry Price]]-TABLE1[[#This Row],[Highest Price]])/(TABLE1[[#This Row],[SL Price]]-TABLE1[[#This Row],[Intended Entry]]))</f>
        <v>-0.9857142857142841</v>
      </c>
      <c r="AR45" s="4" t="str">
        <f>IF(AND(TABLE1[[#This Row],[RRR Realized]]&lt;0.5,TABLE1[[#This Row],[RRR Realized]]&gt;-0.6),"BE",IF(TABLE1[[#This Row],[Gain/Loss]]&lt;0, "LOSER", "WINNER"))</f>
        <v>LOSER</v>
      </c>
      <c r="AS45" s="4">
        <f>TABLE1[[#This Row],[Gain/Loss]]-TABLE1[[#This Row],[Comissions]]</f>
        <v>-105.54</v>
      </c>
      <c r="AT45" s="3">
        <f>TABLE1[[#This Row],[Exit Time]]-TABLE1[[#This Row],[Entry Time]]</f>
        <v>6.9444444444444198E-4</v>
      </c>
      <c r="AU45" s="4">
        <f>TABLE1[[#This Row],[Net Gain/Loss]]+AU44</f>
        <v>1614.2088999999996</v>
      </c>
      <c r="AV45" s="4">
        <f>IF(TABLE1[[#This Row],[Potential Price Before BE]]=FALSE,"FALSE",( TABLE1[[#This Row],[Potential Price Before BE]]-TABLE1[[#This Row],[Intended Entry]])/(TABLE1[[#This Row],[Intended Entry]]-TABLE1[[#This Row],[SL Price]]))</f>
        <v>0.14285714285714285</v>
      </c>
      <c r="AW45" s="4">
        <f>(IF(TABLE1[[#This Row],[Buy/Sell]]="BUY",(TABLE1[[#This Row],[Entry Price]]-TABLE1[[#This Row],[SL Price]])/(TABLE1[[#This Row],[Intended Entry]]-TABLE1[[#This Row],[SL Price]]),(TABLE1[[#This Row],[SL Price]]-TABLE1[[#This Row],[Entry Price]])/(TABLE1[[#This Row],[SL Price]]-TABLE1[[#This Row],[Intended Entry]])))-1</f>
        <v>0</v>
      </c>
      <c r="AX45" s="19">
        <f>TABLE1[[#This Row],[Missed RRR on Entry]]</f>
        <v>0</v>
      </c>
      <c r="AY45" s="19">
        <f>ROUND((TABLE1[[#This Row],[Potential Price]]-TABLE1[[#This Row],[Entry Price]])/(TABLE1[[#This Row],[Intended Entry]]-TABLE1[[#This Row],[SL Price]]),4)</f>
        <v>0.1429</v>
      </c>
      <c r="AZ45" s="19">
        <f>ROUND((TABLE1[[#This Row],[Potential Price]]-TABLE1[[#This Row],[Intended Entry]])/(TABLE1[[#This Row],[Intended Entry]]-TABLE1[[#This Row],[SL Price]]),4)</f>
        <v>0.1429</v>
      </c>
      <c r="BA45" s="19">
        <f>TABLE1[[#This Row],[RRR Potential]]-TABLE1[[#This Row],[RRR Realized]]</f>
        <v>1.1286</v>
      </c>
      <c r="BB45" s="25">
        <f>ROUND((TABLE1[[#This Row],[Exit Price]]-TABLE1[[#This Row],[Entry Price]])/(TABLE1[[#This Row],[Intended Entry]]-TABLE1[[#This Row],[SL Price]]),4)</f>
        <v>-0.98570000000000002</v>
      </c>
      <c r="BC45" s="4">
        <f>IF(AND((TABLE1[[#This Row],[Back to BE]])=TRUE,(TABLE1[[#This Row],[Price Behaviour]])="Fast Reversal"), 0-(TABLE1[[#This Row],[Missed RRR on Entry]]),ROUND((TABLE1[[#This Row],[Exit Price]]-TABLE1[[#This Row],[Entry Price]])/(TABLE1[[#This Row],[Intended Entry]]-TABLE1[[#This Row],[SL Price]]),4))</f>
        <v>-0.98570000000000002</v>
      </c>
      <c r="BD45" s="4">
        <f>IF(AND((TABLE1[[#This Row],[Hard RRR Potential]])&gt;=1,(TABLE1[[#This Row],[Back to BE]])="True",(TABLE1[[#This Row],[Price Behaviour]])="Fast Reversal"), 1-(TABLE1[[#This Row],[Missed RRR on Entry]]),ROUND((TABLE1[[#This Row],[Exit Price]]-TABLE1[[#This Row],[Entry Price]])/(TABLE1[[#This Row],[Intended Entry]]-TABLE1[[#This Row],[SL Price]]),4))</f>
        <v>-0.98570000000000002</v>
      </c>
      <c r="BE45" s="4">
        <f>IF(AND((TABLE1[[#This Row],[Hard RRR Potential]])&gt;=1.5,(TABLE1[[#This Row],[Back to BE]])="True",(TABLE1[[#This Row],[Price Behaviour]])="Fast Reversal"), 1.5-(TABLE1[[#This Row],[Missed RRR on Entry]]),ROUND((TABLE1[[#This Row],[Exit Price]]-TABLE1[[#This Row],[Entry Price]])/(TABLE1[[#This Row],[Intended Entry]]-TABLE1[[#This Row],[SL Price]]),4))</f>
        <v>-0.98570000000000002</v>
      </c>
      <c r="BF45" s="4">
        <f>IF(AND((TABLE1[[#This Row],[Hard RRR Potential]])&gt;=2,(TABLE1[[#This Row],[Back to BE]])="True",(TABLE1[[#This Row],[Price Behaviour]])="Fast Reversal"), 2-(TABLE1[[#This Row],[Missed RRR on Entry]]),ROUND((TABLE1[[#This Row],[Exit Price]]-TABLE1[[#This Row],[Entry Price]])/(TABLE1[[#This Row],[Intended Entry]]-TABLE1[[#This Row],[SL Price]]),4))</f>
        <v>-0.98570000000000002</v>
      </c>
      <c r="BG45" s="48">
        <f>IF((TABLE1[[#This Row],[Pattern SL]])&lt;&gt;FALSE,((TABLE1[[#This Row],[Pattern SL]])-(TABLE1[[#This Row],[Entry Price]]))/((TABLE1[[#This Row],[Intended Entry]])-(TABLE1[[#This Row],[SL Price]])),ROUND((TABLE1[[#This Row],[Exit Price]]-TABLE1[[#This Row],[Entry Price]])/(TABLE1[[#This Row],[Intended Entry]]-TABLE1[[#This Row],[SL Price]]),4))</f>
        <v>-0.98570000000000002</v>
      </c>
      <c r="BH4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-0.98570000000000002</v>
      </c>
      <c r="BI45"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-0.98570000000000002</v>
      </c>
      <c r="BJ45" s="21">
        <f>IF( TABLE1[[#This Row],[Wick Exit]]&lt;&gt; FALSE,TABLE1[[#This Row],[RRR Wick Exit]],IF(TABLE1[[#This Row],[Volume Exit]]&lt;&gt; FALSE,TABLE1[[#This Row],[RRR Volume Exit]],TABLE1[[#This Row],[RRR Realized]]))</f>
        <v>-0.98570000000000002</v>
      </c>
      <c r="BK4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-0.98570000000000002</v>
      </c>
      <c r="BL45" s="4">
        <f>IF(OR(AND(TABLE1[[#This Row],[Hard RRR Potential]]&gt;=2.5,TABLE1[[#This Row],[Volume Exit]]=FALSE,TABLE1[[#This Row],[Wick Exit]]=FALSE),AND(TABLE1[[#This Row],[Hard RRR Potential]]&gt;=2.5,TABLE1[[#This Row],[Volume Exit RRR Reach]]&gt;=2.5,TABLE1[[#This Row],[Wick Exit]]=FALSE)), 2.5-TABLE1[[#This Row],[Missed RRR on Entry]],TABLE1[[#This Row],[RRR Realized]])</f>
        <v>-0.98570000000000002</v>
      </c>
      <c r="BM45" s="4">
        <f>IF(OR(AND(TABLE1[[#This Row],[Hard RRR Potential]]&gt;=3,TABLE1[[#This Row],[Volume Exit]]=FALSE,TABLE1[[#This Row],[Wick Exit]]=FALSE),AND(TABLE1[[#This Row],[Hard RRR Potential]]&gt;=3,TABLE1[[#This Row],[Volume Exit RRR Reach]]&gt;=3,TABLE1[[#This Row],[Wick Exit]]=FALSE)), 3-TABLE1[[#This Row],[Missed RRR on Entry]],TABLE1[[#This Row],[RRR Realized]])</f>
        <v>-0.98570000000000002</v>
      </c>
    </row>
    <row r="46" spans="1:65" x14ac:dyDescent="0.45">
      <c r="A46" t="s">
        <v>265</v>
      </c>
      <c r="B46">
        <v>45</v>
      </c>
      <c r="C46" s="2">
        <v>43600</v>
      </c>
      <c r="D46" s="1">
        <v>0.42638888888888887</v>
      </c>
      <c r="E46" s="1">
        <v>0.42777777777777781</v>
      </c>
      <c r="F46" s="4">
        <v>2.1</v>
      </c>
      <c r="G46" s="4">
        <v>-96.48</v>
      </c>
      <c r="H46" s="15">
        <v>200</v>
      </c>
      <c r="I46" t="s">
        <v>18</v>
      </c>
      <c r="J46" t="s">
        <v>21</v>
      </c>
      <c r="K46">
        <v>8.76</v>
      </c>
      <c r="L46">
        <v>8.6999999999999993</v>
      </c>
      <c r="M46">
        <v>8.1999999999999993</v>
      </c>
      <c r="N46">
        <v>8.2200000000000006</v>
      </c>
      <c r="O46">
        <v>8.7200000000000006</v>
      </c>
      <c r="P46">
        <v>8.2200000000000006</v>
      </c>
      <c r="Q46">
        <v>8.7200000000000006</v>
      </c>
      <c r="R46">
        <v>8.7200000000000006</v>
      </c>
      <c r="S46" t="b">
        <v>0</v>
      </c>
      <c r="T46" t="b">
        <v>0</v>
      </c>
      <c r="U46" t="b">
        <v>0</v>
      </c>
      <c r="V46" t="b">
        <v>0</v>
      </c>
      <c r="W46" t="b">
        <v>0</v>
      </c>
      <c r="Z46" t="b">
        <v>0</v>
      </c>
      <c r="AA46" t="b">
        <v>0</v>
      </c>
      <c r="AB46" t="s">
        <v>24</v>
      </c>
      <c r="AC46" t="s">
        <v>31</v>
      </c>
      <c r="AD46" t="s">
        <v>33</v>
      </c>
      <c r="AE46">
        <v>300</v>
      </c>
      <c r="AF46">
        <v>7</v>
      </c>
      <c r="AG46">
        <v>1</v>
      </c>
      <c r="AH46" t="s">
        <v>18</v>
      </c>
      <c r="AI46">
        <v>8.4</v>
      </c>
      <c r="AJ46" t="s">
        <v>135</v>
      </c>
      <c r="AK46" t="s">
        <v>167</v>
      </c>
      <c r="AL46">
        <v>1.42</v>
      </c>
      <c r="AM46">
        <v>1.23</v>
      </c>
      <c r="AN46">
        <v>2.97</v>
      </c>
      <c r="AO46" s="22" t="s">
        <v>268</v>
      </c>
      <c r="AP46" s="4">
        <f>IF(TABLE1[[#This Row],[Buy/Sell]]="BUY",(TABLE1[[#This Row],[Highest Price]]-TABLE1[[#This Row],[Entry Price]])/(TABLE1[[#This Row],[Intended Entry]]-TABLE1[[#This Row],[SL Price]]),(TABLE1[[#This Row],[Entry Price]]-TABLE1[[#This Row],[Lowest Price]])/(TABLE1[[#This Row],[SL Price]]-TABLE1[[#This Row],[Intended Entry]]))</f>
        <v>3.5714285714288092E-2</v>
      </c>
      <c r="AQ46" s="19">
        <f>IF(TABLE1[[#This Row],[Buy/Sell]]="BUY",(TABLE1[[#This Row],[Entry Price]]-TABLE1[[#This Row],[Lowest Price]])/(TABLE1[[#This Row],[SL Price]]-TABLE1[[#This Row],[Intended Entry]]),(TABLE1[[#This Row],[Entry Price]]-TABLE1[[#This Row],[Highest Price]])/(TABLE1[[#This Row],[SL Price]]-TABLE1[[#This Row],[Intended Entry]]))</f>
        <v>-0.85714285714285399</v>
      </c>
      <c r="AR46" s="4" t="str">
        <f>IF(AND(TABLE1[[#This Row],[RRR Realized]]&lt;0.5,TABLE1[[#This Row],[RRR Realized]]&gt;-0.6),"BE",IF(TABLE1[[#This Row],[Gain/Loss]]&lt;0, "LOSER", "WINNER"))</f>
        <v>LOSER</v>
      </c>
      <c r="AS46" s="4">
        <f>TABLE1[[#This Row],[Gain/Loss]]-TABLE1[[#This Row],[Comissions]]</f>
        <v>-98.58</v>
      </c>
      <c r="AT46" s="3">
        <f>TABLE1[[#This Row],[Exit Time]]-TABLE1[[#This Row],[Entry Time]]</f>
        <v>1.3888888888889395E-3</v>
      </c>
      <c r="AU46" s="4">
        <f>TABLE1[[#This Row],[Net Gain/Loss]]+AU45</f>
        <v>1515.6288999999997</v>
      </c>
      <c r="AV46" s="4">
        <f>IF(TABLE1[[#This Row],[Potential Price Before BE]]=FALSE,"FALSE",( TABLE1[[#This Row],[Potential Price Before BE]]-TABLE1[[#This Row],[Intended Entry]])/(TABLE1[[#This Row],[Intended Entry]]-TABLE1[[#This Row],[SL Price]]))</f>
        <v>-7.1428571428569843E-2</v>
      </c>
      <c r="AW46" s="4">
        <f>(IF(TABLE1[[#This Row],[Buy/Sell]]="BUY",(TABLE1[[#This Row],[Entry Price]]-TABLE1[[#This Row],[SL Price]])/(TABLE1[[#This Row],[Intended Entry]]-TABLE1[[#This Row],[SL Price]]),(TABLE1[[#This Row],[SL Price]]-TABLE1[[#This Row],[Entry Price]])/(TABLE1[[#This Row],[SL Price]]-TABLE1[[#This Row],[Intended Entry]])))-1</f>
        <v>-0.10714285714285798</v>
      </c>
      <c r="AX46" s="19">
        <f>TABLE1[[#This Row],[Missed RRR on Entry]]</f>
        <v>-0.10714285714285798</v>
      </c>
      <c r="AY46" s="19">
        <f>ROUND((TABLE1[[#This Row],[Potential Price]]-TABLE1[[#This Row],[Entry Price]])/(TABLE1[[#This Row],[Intended Entry]]-TABLE1[[#This Row],[SL Price]]),4)</f>
        <v>3.5700000000000003E-2</v>
      </c>
      <c r="AZ46" s="19">
        <f>ROUND((TABLE1[[#This Row],[Potential Price]]-TABLE1[[#This Row],[Intended Entry]])/(TABLE1[[#This Row],[Intended Entry]]-TABLE1[[#This Row],[SL Price]]),4)</f>
        <v>-7.1400000000000005E-2</v>
      </c>
      <c r="BA46" s="19">
        <f>TABLE1[[#This Row],[RRR Potential]]-TABLE1[[#This Row],[RRR Realized]]</f>
        <v>0.89279999999999993</v>
      </c>
      <c r="BB46" s="25">
        <f>ROUND((TABLE1[[#This Row],[Exit Price]]-TABLE1[[#This Row],[Entry Price]])/(TABLE1[[#This Row],[Intended Entry]]-TABLE1[[#This Row],[SL Price]]),4)</f>
        <v>-0.85709999999999997</v>
      </c>
      <c r="BC46" s="4">
        <f>IF(AND((TABLE1[[#This Row],[Back to BE]])=TRUE,(TABLE1[[#This Row],[Price Behaviour]])="Fast Reversal"), 0-(TABLE1[[#This Row],[Missed RRR on Entry]]),ROUND((TABLE1[[#This Row],[Exit Price]]-TABLE1[[#This Row],[Entry Price]])/(TABLE1[[#This Row],[Intended Entry]]-TABLE1[[#This Row],[SL Price]]),4))</f>
        <v>-0.85709999999999997</v>
      </c>
      <c r="BD46" s="4">
        <f>IF(AND((TABLE1[[#This Row],[Hard RRR Potential]])&gt;=1,(TABLE1[[#This Row],[Back to BE]])="True",(TABLE1[[#This Row],[Price Behaviour]])="Fast Reversal"), 1-(TABLE1[[#This Row],[Missed RRR on Entry]]),ROUND((TABLE1[[#This Row],[Exit Price]]-TABLE1[[#This Row],[Entry Price]])/(TABLE1[[#This Row],[Intended Entry]]-TABLE1[[#This Row],[SL Price]]),4))</f>
        <v>-0.85709999999999997</v>
      </c>
      <c r="BE46" s="4">
        <f>IF(AND((TABLE1[[#This Row],[Hard RRR Potential]])&gt;=1.5,(TABLE1[[#This Row],[Back to BE]])="True",(TABLE1[[#This Row],[Price Behaviour]])="Fast Reversal"), 1.5-(TABLE1[[#This Row],[Missed RRR on Entry]]),ROUND((TABLE1[[#This Row],[Exit Price]]-TABLE1[[#This Row],[Entry Price]])/(TABLE1[[#This Row],[Intended Entry]]-TABLE1[[#This Row],[SL Price]]),4))</f>
        <v>-0.85709999999999997</v>
      </c>
      <c r="BF46" s="4">
        <f>IF(AND((TABLE1[[#This Row],[Hard RRR Potential]])&gt;=2,(TABLE1[[#This Row],[Back to BE]])="True",(TABLE1[[#This Row],[Price Behaviour]])="Fast Reversal"), 2-(TABLE1[[#This Row],[Missed RRR on Entry]]),ROUND((TABLE1[[#This Row],[Exit Price]]-TABLE1[[#This Row],[Entry Price]])/(TABLE1[[#This Row],[Intended Entry]]-TABLE1[[#This Row],[SL Price]]),4))</f>
        <v>-0.85709999999999997</v>
      </c>
      <c r="BG46" s="48">
        <f>IF((TABLE1[[#This Row],[Pattern SL]])&lt;&gt;FALSE,((TABLE1[[#This Row],[Pattern SL]])-(TABLE1[[#This Row],[Entry Price]]))/((TABLE1[[#This Row],[Intended Entry]])-(TABLE1[[#This Row],[SL Price]])),ROUND((TABLE1[[#This Row],[Exit Price]]-TABLE1[[#This Row],[Entry Price]])/(TABLE1[[#This Row],[Intended Entry]]-TABLE1[[#This Row],[SL Price]]),4))</f>
        <v>-0.85709999999999997</v>
      </c>
      <c r="BH4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-0.85709999999999997</v>
      </c>
      <c r="BI46"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-0.85709999999999997</v>
      </c>
      <c r="BJ46" s="21">
        <f>IF( TABLE1[[#This Row],[Wick Exit]]&lt;&gt; FALSE,TABLE1[[#This Row],[RRR Wick Exit]],IF(TABLE1[[#This Row],[Volume Exit]]&lt;&gt; FALSE,TABLE1[[#This Row],[RRR Volume Exit]],TABLE1[[#This Row],[RRR Realized]]))</f>
        <v>-0.85709999999999997</v>
      </c>
      <c r="BK46"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-0.85709999999999997</v>
      </c>
      <c r="BL46" s="4">
        <f>IF(OR(AND(TABLE1[[#This Row],[Hard RRR Potential]]&gt;=2.5,TABLE1[[#This Row],[Volume Exit]]=FALSE,TABLE1[[#This Row],[Wick Exit]]=FALSE),AND(TABLE1[[#This Row],[Hard RRR Potential]]&gt;=2.5,TABLE1[[#This Row],[Volume Exit RRR Reach]]&gt;=2.5,TABLE1[[#This Row],[Wick Exit]]=FALSE)), 2.5-TABLE1[[#This Row],[Missed RRR on Entry]],TABLE1[[#This Row],[RRR Realized]])</f>
        <v>-0.85709999999999997</v>
      </c>
      <c r="BM46" s="4">
        <f>IF(OR(AND(TABLE1[[#This Row],[Hard RRR Potential]]&gt;=3,TABLE1[[#This Row],[Volume Exit]]=FALSE,TABLE1[[#This Row],[Wick Exit]]=FALSE),AND(TABLE1[[#This Row],[Hard RRR Potential]]&gt;=3,TABLE1[[#This Row],[Volume Exit RRR Reach]]&gt;=3,TABLE1[[#This Row],[Wick Exit]]=FALSE)), 3-TABLE1[[#This Row],[Missed RRR on Entry]],TABLE1[[#This Row],[RRR Realized]])</f>
        <v>-0.85709999999999997</v>
      </c>
    </row>
    <row r="47" spans="1:65" x14ac:dyDescent="0.45">
      <c r="A47" t="s">
        <v>264</v>
      </c>
      <c r="B47">
        <v>46</v>
      </c>
      <c r="C47" s="2">
        <v>43600</v>
      </c>
      <c r="D47" s="1">
        <v>0.4375</v>
      </c>
      <c r="E47" s="1">
        <v>0.4465277777777778</v>
      </c>
      <c r="F47" s="4">
        <v>10</v>
      </c>
      <c r="G47" s="4">
        <v>90.02</v>
      </c>
      <c r="H47" s="15">
        <v>1000</v>
      </c>
      <c r="I47" t="s">
        <v>18</v>
      </c>
      <c r="J47" t="s">
        <v>21</v>
      </c>
      <c r="K47">
        <v>2.81</v>
      </c>
      <c r="L47">
        <v>2.81</v>
      </c>
      <c r="M47">
        <v>2.71</v>
      </c>
      <c r="N47">
        <v>2.9</v>
      </c>
      <c r="O47">
        <v>3.05</v>
      </c>
      <c r="P47">
        <v>2.8</v>
      </c>
      <c r="Q47">
        <v>3.13</v>
      </c>
      <c r="R47">
        <v>3.13</v>
      </c>
      <c r="S47" t="b">
        <v>0</v>
      </c>
      <c r="T47" t="b">
        <v>0</v>
      </c>
      <c r="U47" t="b">
        <v>0</v>
      </c>
      <c r="W47">
        <v>2.92</v>
      </c>
      <c r="X47">
        <v>2.4</v>
      </c>
      <c r="Y47" t="b">
        <v>0</v>
      </c>
      <c r="Z47" t="b">
        <v>0</v>
      </c>
      <c r="AA47" t="b">
        <v>0</v>
      </c>
      <c r="AB47" t="s">
        <v>25</v>
      </c>
      <c r="AC47" t="s">
        <v>28</v>
      </c>
      <c r="AD47" t="s">
        <v>33</v>
      </c>
      <c r="AE47">
        <v>80</v>
      </c>
      <c r="AF47">
        <v>14</v>
      </c>
      <c r="AG47">
        <v>2</v>
      </c>
      <c r="AH47" t="s">
        <v>18</v>
      </c>
      <c r="AI47">
        <v>2.71</v>
      </c>
      <c r="AJ47" t="s">
        <v>135</v>
      </c>
      <c r="AK47" t="s">
        <v>257</v>
      </c>
      <c r="AL47">
        <v>5.15</v>
      </c>
      <c r="AM47">
        <v>1.23</v>
      </c>
      <c r="AN47">
        <v>3.3</v>
      </c>
      <c r="AO47" s="22" t="s">
        <v>267</v>
      </c>
      <c r="AP47" s="4">
        <f>IF(TABLE1[[#This Row],[Buy/Sell]]="BUY",(TABLE1[[#This Row],[Highest Price]]-TABLE1[[#This Row],[Entry Price]])/(TABLE1[[#This Row],[Intended Entry]]-TABLE1[[#This Row],[SL Price]]),(TABLE1[[#This Row],[Entry Price]]-TABLE1[[#This Row],[Lowest Price]])/(TABLE1[[#This Row],[SL Price]]-TABLE1[[#This Row],[Intended Entry]]))</f>
        <v>2.3999999999999955</v>
      </c>
      <c r="AQ47" s="19">
        <f>IF(TABLE1[[#This Row],[Buy/Sell]]="BUY",(TABLE1[[#This Row],[Entry Price]]-TABLE1[[#This Row],[Lowest Price]])/(TABLE1[[#This Row],[SL Price]]-TABLE1[[#This Row],[Intended Entry]]),(TABLE1[[#This Row],[Entry Price]]-TABLE1[[#This Row],[Highest Price]])/(TABLE1[[#This Row],[SL Price]]-TABLE1[[#This Row],[Intended Entry]]))</f>
        <v>-0.10000000000000223</v>
      </c>
      <c r="AR47" s="4" t="str">
        <f>IF(AND(TABLE1[[#This Row],[RRR Realized]]&lt;0.5,TABLE1[[#This Row],[RRR Realized]]&gt;-0.6),"BE",IF(TABLE1[[#This Row],[Gain/Loss]]&lt;0, "LOSER", "WINNER"))</f>
        <v>WINNER</v>
      </c>
      <c r="AS47" s="4">
        <f>TABLE1[[#This Row],[Gain/Loss]]-TABLE1[[#This Row],[Comissions]]</f>
        <v>80.02</v>
      </c>
      <c r="AT47" s="3">
        <f>TABLE1[[#This Row],[Exit Time]]-TABLE1[[#This Row],[Entry Time]]</f>
        <v>9.0277777777778012E-3</v>
      </c>
      <c r="AU47" s="4">
        <f>TABLE1[[#This Row],[Net Gain/Loss]]+AU46</f>
        <v>1595.6488999999997</v>
      </c>
      <c r="AV47" s="4">
        <f>IF(TABLE1[[#This Row],[Potential Price Before BE]]=FALSE,"FALSE",( TABLE1[[#This Row],[Potential Price Before BE]]-TABLE1[[#This Row],[Intended Entry]])/(TABLE1[[#This Row],[Intended Entry]]-TABLE1[[#This Row],[SL Price]]))</f>
        <v>3.1999999999999957</v>
      </c>
      <c r="AW47" s="4">
        <f>(IF(TABLE1[[#This Row],[Buy/Sell]]="BUY",(TABLE1[[#This Row],[Entry Price]]-TABLE1[[#This Row],[SL Price]])/(TABLE1[[#This Row],[Intended Entry]]-TABLE1[[#This Row],[SL Price]]),(TABLE1[[#This Row],[SL Price]]-TABLE1[[#This Row],[Entry Price]])/(TABLE1[[#This Row],[SL Price]]-TABLE1[[#This Row],[Intended Entry]])))-1</f>
        <v>0</v>
      </c>
      <c r="AX47" s="19">
        <f>TABLE1[[#This Row],[Missed RRR on Entry]]</f>
        <v>0</v>
      </c>
      <c r="AY47" s="19">
        <f>ROUND((TABLE1[[#This Row],[Potential Price]]-TABLE1[[#This Row],[Entry Price]])/(TABLE1[[#This Row],[Intended Entry]]-TABLE1[[#This Row],[SL Price]]),4)</f>
        <v>3.2</v>
      </c>
      <c r="AZ47" s="19">
        <f>ROUND((TABLE1[[#This Row],[Potential Price]]-TABLE1[[#This Row],[Intended Entry]])/(TABLE1[[#This Row],[Intended Entry]]-TABLE1[[#This Row],[SL Price]]),4)</f>
        <v>3.2</v>
      </c>
      <c r="BA47" s="19">
        <f>TABLE1[[#This Row],[RRR Potential]]-TABLE1[[#This Row],[RRR Realized]]</f>
        <v>2.3000000000000003</v>
      </c>
      <c r="BB47" s="25">
        <f>ROUND((TABLE1[[#This Row],[Exit Price]]-TABLE1[[#This Row],[Entry Price]])/(TABLE1[[#This Row],[Intended Entry]]-TABLE1[[#This Row],[SL Price]]),4)</f>
        <v>0.9</v>
      </c>
      <c r="BC47" s="4">
        <f>IF(AND((TABLE1[[#This Row],[Back to BE]])=TRUE,(TABLE1[[#This Row],[Price Behaviour]])="Fast Reversal"), 0-(TABLE1[[#This Row],[Missed RRR on Entry]]),ROUND((TABLE1[[#This Row],[Exit Price]]-TABLE1[[#This Row],[Entry Price]])/(TABLE1[[#This Row],[Intended Entry]]-TABLE1[[#This Row],[SL Price]]),4))</f>
        <v>0.9</v>
      </c>
      <c r="BD47" s="4">
        <f>IF(AND((TABLE1[[#This Row],[Hard RRR Potential]])&gt;=1,(TABLE1[[#This Row],[Back to BE]])="True",(TABLE1[[#This Row],[Price Behaviour]])="Fast Reversal"), 1-(TABLE1[[#This Row],[Missed RRR on Entry]]),ROUND((TABLE1[[#This Row],[Exit Price]]-TABLE1[[#This Row],[Entry Price]])/(TABLE1[[#This Row],[Intended Entry]]-TABLE1[[#This Row],[SL Price]]),4))</f>
        <v>0.9</v>
      </c>
      <c r="BE47" s="4">
        <f>IF(AND((TABLE1[[#This Row],[Hard RRR Potential]])&gt;=1.5,(TABLE1[[#This Row],[Back to BE]])="True",(TABLE1[[#This Row],[Price Behaviour]])="Fast Reversal"), 1.5-(TABLE1[[#This Row],[Missed RRR on Entry]]),ROUND((TABLE1[[#This Row],[Exit Price]]-TABLE1[[#This Row],[Entry Price]])/(TABLE1[[#This Row],[Intended Entry]]-TABLE1[[#This Row],[SL Price]]),4))</f>
        <v>0.9</v>
      </c>
      <c r="BF47" s="4">
        <f>IF(AND((TABLE1[[#This Row],[Hard RRR Potential]])&gt;=2,(TABLE1[[#This Row],[Back to BE]])="True",(TABLE1[[#This Row],[Price Behaviour]])="Fast Reversal"), 2-(TABLE1[[#This Row],[Missed RRR on Entry]]),ROUND((TABLE1[[#This Row],[Exit Price]]-TABLE1[[#This Row],[Entry Price]])/(TABLE1[[#This Row],[Intended Entry]]-TABLE1[[#This Row],[SL Price]]),4))</f>
        <v>0.9</v>
      </c>
      <c r="BG47" s="48">
        <f>IF((TABLE1[[#This Row],[Pattern SL]])&lt;&gt;FALSE,((TABLE1[[#This Row],[Pattern SL]])-(TABLE1[[#This Row],[Entry Price]]))/((TABLE1[[#This Row],[Intended Entry]])-(TABLE1[[#This Row],[SL Price]])),ROUND((TABLE1[[#This Row],[Exit Price]]-TABLE1[[#This Row],[Entry Price]])/(TABLE1[[#This Row],[Intended Entry]]-TABLE1[[#This Row],[SL Price]]),4))</f>
        <v>0.9</v>
      </c>
      <c r="BH4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1.0999999999999979</v>
      </c>
      <c r="BI47"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v>
      </c>
      <c r="BJ47" s="21">
        <f>IF( TABLE1[[#This Row],[Wick Exit]]&lt;&gt; FALSE,TABLE1[[#This Row],[RRR Wick Exit]],IF(TABLE1[[#This Row],[Volume Exit]]&lt;&gt; FALSE,TABLE1[[#This Row],[RRR Volume Exit]],TABLE1[[#This Row],[RRR Realized]]))</f>
        <v>1.0999999999999979</v>
      </c>
      <c r="BK47"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v>
      </c>
      <c r="BL47" s="4">
        <f>IF(OR(AND(TABLE1[[#This Row],[Hard RRR Potential]]&gt;=2.5,TABLE1[[#This Row],[Volume Exit]]=FALSE,TABLE1[[#This Row],[Wick Exit]]=FALSE),AND(TABLE1[[#This Row],[Hard RRR Potential]]&gt;=2.5,TABLE1[[#This Row],[Volume Exit RRR Reach]]&gt;=2.5,TABLE1[[#This Row],[Wick Exit]]=FALSE)), 2.5-TABLE1[[#This Row],[Missed RRR on Entry]],TABLE1[[#This Row],[RRR Realized]])</f>
        <v>0.9</v>
      </c>
      <c r="BM47" s="4">
        <f>IF(OR(AND(TABLE1[[#This Row],[Hard RRR Potential]]&gt;=3,TABLE1[[#This Row],[Volume Exit]]=FALSE,TABLE1[[#This Row],[Wick Exit]]=FALSE),AND(TABLE1[[#This Row],[Hard RRR Potential]]&gt;=3,TABLE1[[#This Row],[Volume Exit RRR Reach]]&gt;=3,TABLE1[[#This Row],[Wick Exit]]=FALSE)), 3-TABLE1[[#This Row],[Missed RRR on Entry]],TABLE1[[#This Row],[RRR Realized]])</f>
        <v>0.9</v>
      </c>
    </row>
    <row r="48" spans="1:65" x14ac:dyDescent="0.45">
      <c r="A48" t="s">
        <v>264</v>
      </c>
      <c r="B48">
        <v>47</v>
      </c>
      <c r="C48" s="2">
        <v>43600</v>
      </c>
      <c r="D48" s="1">
        <v>0.45</v>
      </c>
      <c r="E48" s="1">
        <v>0.45347222222222222</v>
      </c>
      <c r="F48" s="4">
        <v>10</v>
      </c>
      <c r="G48" s="4">
        <v>173.74</v>
      </c>
      <c r="H48" s="15">
        <v>1250</v>
      </c>
      <c r="I48" t="s">
        <v>18</v>
      </c>
      <c r="J48" t="s">
        <v>21</v>
      </c>
      <c r="K48">
        <v>2.95</v>
      </c>
      <c r="L48">
        <v>2.948</v>
      </c>
      <c r="M48">
        <f>2.95-0.12</f>
        <v>2.83</v>
      </c>
      <c r="N48">
        <v>3.09</v>
      </c>
      <c r="O48">
        <v>3.13</v>
      </c>
      <c r="P48">
        <v>2.92</v>
      </c>
      <c r="Q48">
        <v>3.13</v>
      </c>
      <c r="R48">
        <v>3.13</v>
      </c>
      <c r="S48" t="b">
        <v>0</v>
      </c>
      <c r="T48" t="b">
        <v>0</v>
      </c>
      <c r="U48" t="b">
        <v>0</v>
      </c>
      <c r="W48" s="27">
        <v>2.92</v>
      </c>
      <c r="X48">
        <v>1.51</v>
      </c>
      <c r="Y48" t="b">
        <v>0</v>
      </c>
      <c r="Z48" t="b">
        <v>0</v>
      </c>
      <c r="AA48" t="b">
        <v>0</v>
      </c>
      <c r="AB48" t="s">
        <v>25</v>
      </c>
      <c r="AC48" t="s">
        <v>28</v>
      </c>
      <c r="AD48" t="s">
        <v>33</v>
      </c>
      <c r="AE48">
        <v>80</v>
      </c>
      <c r="AF48">
        <v>14</v>
      </c>
      <c r="AG48">
        <v>3</v>
      </c>
      <c r="AH48" t="b">
        <v>0</v>
      </c>
      <c r="AI48">
        <v>2.78</v>
      </c>
      <c r="AJ48" t="s">
        <v>135</v>
      </c>
      <c r="AK48" t="s">
        <v>181</v>
      </c>
      <c r="AL48">
        <v>5.15</v>
      </c>
      <c r="AM48">
        <v>1.23</v>
      </c>
      <c r="AN48">
        <v>3.3</v>
      </c>
      <c r="AO48" s="22" t="s">
        <v>267</v>
      </c>
      <c r="AP48" s="4">
        <f>IF(TABLE1[[#This Row],[Buy/Sell]]="BUY",(TABLE1[[#This Row],[Highest Price]]-TABLE1[[#This Row],[Entry Price]])/(TABLE1[[#This Row],[Intended Entry]]-TABLE1[[#This Row],[SL Price]]),(TABLE1[[#This Row],[Entry Price]]-TABLE1[[#This Row],[Lowest Price]])/(TABLE1[[#This Row],[SL Price]]-TABLE1[[#This Row],[Intended Entry]]))</f>
        <v>1.5166666666666648</v>
      </c>
      <c r="AQ48" s="19">
        <f>IF(TABLE1[[#This Row],[Buy/Sell]]="BUY",(TABLE1[[#This Row],[Entry Price]]-TABLE1[[#This Row],[Lowest Price]])/(TABLE1[[#This Row],[SL Price]]-TABLE1[[#This Row],[Intended Entry]]),(TABLE1[[#This Row],[Entry Price]]-TABLE1[[#This Row],[Highest Price]])/(TABLE1[[#This Row],[SL Price]]-TABLE1[[#This Row],[Intended Entry]]))</f>
        <v>-0.23333333333333334</v>
      </c>
      <c r="AR48" s="4" t="str">
        <f>IF(AND(TABLE1[[#This Row],[RRR Realized]]&lt;0.5,TABLE1[[#This Row],[RRR Realized]]&gt;-0.6),"BE",IF(TABLE1[[#This Row],[Gain/Loss]]&lt;0, "LOSER", "WINNER"))</f>
        <v>WINNER</v>
      </c>
      <c r="AS48" s="4">
        <f>TABLE1[[#This Row],[Gain/Loss]]-TABLE1[[#This Row],[Comissions]]</f>
        <v>163.74</v>
      </c>
      <c r="AT48" s="3">
        <f>TABLE1[[#This Row],[Exit Time]]-TABLE1[[#This Row],[Entry Time]]</f>
        <v>3.4722222222222099E-3</v>
      </c>
      <c r="AU48" s="4">
        <f>TABLE1[[#This Row],[Net Gain/Loss]]+AU47</f>
        <v>1759.3888999999997</v>
      </c>
      <c r="AV48" s="4">
        <f>IF(TABLE1[[#This Row],[Potential Price Before BE]]=FALSE,"FALSE",( TABLE1[[#This Row],[Potential Price Before BE]]-TABLE1[[#This Row],[Intended Entry]])/(TABLE1[[#This Row],[Intended Entry]]-TABLE1[[#This Row],[SL Price]]))</f>
        <v>1.4999999999999962</v>
      </c>
      <c r="AW48" s="4">
        <f>(IF(TABLE1[[#This Row],[Buy/Sell]]="BUY",(TABLE1[[#This Row],[Entry Price]]-TABLE1[[#This Row],[SL Price]])/(TABLE1[[#This Row],[Intended Entry]]-TABLE1[[#This Row],[SL Price]]),(TABLE1[[#This Row],[SL Price]]-TABLE1[[#This Row],[Entry Price]])/(TABLE1[[#This Row],[SL Price]]-TABLE1[[#This Row],[Intended Entry]])))-1</f>
        <v>-1.6666666666668495E-2</v>
      </c>
      <c r="AX48" s="19">
        <f>TABLE1[[#This Row],[Missed RRR on Entry]]</f>
        <v>-1.6666666666668495E-2</v>
      </c>
      <c r="AY48" s="19">
        <f>ROUND((TABLE1[[#This Row],[Potential Price]]-TABLE1[[#This Row],[Entry Price]])/(TABLE1[[#This Row],[Intended Entry]]-TABLE1[[#This Row],[SL Price]]),4)</f>
        <v>1.5166999999999999</v>
      </c>
      <c r="AZ48" s="19">
        <f>ROUND((TABLE1[[#This Row],[Potential Price]]-TABLE1[[#This Row],[Intended Entry]])/(TABLE1[[#This Row],[Intended Entry]]-TABLE1[[#This Row],[SL Price]]),4)</f>
        <v>1.5</v>
      </c>
      <c r="BA48" s="19">
        <f>TABLE1[[#This Row],[RRR Potential]]-TABLE1[[#This Row],[RRR Realized]]</f>
        <v>0.33339999999999992</v>
      </c>
      <c r="BB48" s="25">
        <f>ROUND((TABLE1[[#This Row],[Exit Price]]-TABLE1[[#This Row],[Entry Price]])/(TABLE1[[#This Row],[Intended Entry]]-TABLE1[[#This Row],[SL Price]]),4)</f>
        <v>1.1833</v>
      </c>
      <c r="BC48" s="4">
        <f>IF(AND((TABLE1[[#This Row],[Back to BE]])=TRUE,(TABLE1[[#This Row],[Price Behaviour]])="Fast Reversal"), 0-(TABLE1[[#This Row],[Missed RRR on Entry]]),ROUND((TABLE1[[#This Row],[Exit Price]]-TABLE1[[#This Row],[Entry Price]])/(TABLE1[[#This Row],[Intended Entry]]-TABLE1[[#This Row],[SL Price]]),4))</f>
        <v>1.1833</v>
      </c>
      <c r="BD48" s="4">
        <f>IF(AND((TABLE1[[#This Row],[Hard RRR Potential]])&gt;=1,(TABLE1[[#This Row],[Back to BE]])="True",(TABLE1[[#This Row],[Price Behaviour]])="Fast Reversal"), 1-(TABLE1[[#This Row],[Missed RRR on Entry]]),ROUND((TABLE1[[#This Row],[Exit Price]]-TABLE1[[#This Row],[Entry Price]])/(TABLE1[[#This Row],[Intended Entry]]-TABLE1[[#This Row],[SL Price]]),4))</f>
        <v>1.1833</v>
      </c>
      <c r="BE48" s="4">
        <f>IF(AND((TABLE1[[#This Row],[Hard RRR Potential]])&gt;=1.5,(TABLE1[[#This Row],[Back to BE]])="True",(TABLE1[[#This Row],[Price Behaviour]])="Fast Reversal"), 1.5-(TABLE1[[#This Row],[Missed RRR on Entry]]),ROUND((TABLE1[[#This Row],[Exit Price]]-TABLE1[[#This Row],[Entry Price]])/(TABLE1[[#This Row],[Intended Entry]]-TABLE1[[#This Row],[SL Price]]),4))</f>
        <v>1.1833</v>
      </c>
      <c r="BF48" s="4">
        <f>IF(AND((TABLE1[[#This Row],[Hard RRR Potential]])&gt;=2,(TABLE1[[#This Row],[Back to BE]])="True",(TABLE1[[#This Row],[Price Behaviour]])="Fast Reversal"), 2-(TABLE1[[#This Row],[Missed RRR on Entry]]),ROUND((TABLE1[[#This Row],[Exit Price]]-TABLE1[[#This Row],[Entry Price]])/(TABLE1[[#This Row],[Intended Entry]]-TABLE1[[#This Row],[SL Price]]),4))</f>
        <v>1.1833</v>
      </c>
      <c r="BG48" s="48">
        <f>IF((TABLE1[[#This Row],[Pattern SL]])&lt;&gt;FALSE,((TABLE1[[#This Row],[Pattern SL]])-(TABLE1[[#This Row],[Entry Price]]))/((TABLE1[[#This Row],[Intended Entry]])-(TABLE1[[#This Row],[SL Price]])),ROUND((TABLE1[[#This Row],[Exit Price]]-TABLE1[[#This Row],[Entry Price]])/(TABLE1[[#This Row],[Intended Entry]]-TABLE1[[#This Row],[SL Price]]),4))</f>
        <v>1.1833</v>
      </c>
      <c r="BH4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-0.23333333333333334</v>
      </c>
      <c r="BI48"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1.1833</v>
      </c>
      <c r="BJ48" s="21">
        <f>IF( TABLE1[[#This Row],[Wick Exit]]&lt;&gt; FALSE,TABLE1[[#This Row],[RRR Wick Exit]],IF(TABLE1[[#This Row],[Volume Exit]]&lt;&gt; FALSE,TABLE1[[#This Row],[RRR Volume Exit]],TABLE1[[#This Row],[RRR Realized]]))</f>
        <v>-0.23333333333333334</v>
      </c>
      <c r="BK48"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1.1833</v>
      </c>
      <c r="BL48" s="4">
        <f>IF(OR(AND(TABLE1[[#This Row],[Hard RRR Potential]]&gt;=2.5,TABLE1[[#This Row],[Volume Exit]]=FALSE,TABLE1[[#This Row],[Wick Exit]]=FALSE),AND(TABLE1[[#This Row],[Hard RRR Potential]]&gt;=2.5,TABLE1[[#This Row],[Volume Exit RRR Reach]]&gt;=2.5,TABLE1[[#This Row],[Wick Exit]]=FALSE)), 2.5-TABLE1[[#This Row],[Missed RRR on Entry]],TABLE1[[#This Row],[RRR Realized]])</f>
        <v>1.1833</v>
      </c>
      <c r="BM48" s="4">
        <f>IF(OR(AND(TABLE1[[#This Row],[Hard RRR Potential]]&gt;=3,TABLE1[[#This Row],[Volume Exit]]=FALSE,TABLE1[[#This Row],[Wick Exit]]=FALSE),AND(TABLE1[[#This Row],[Hard RRR Potential]]&gt;=3,TABLE1[[#This Row],[Volume Exit RRR Reach]]&gt;=3,TABLE1[[#This Row],[Wick Exit]]=FALSE)), 3-TABLE1[[#This Row],[Missed RRR on Entry]],TABLE1[[#This Row],[RRR Realized]])</f>
        <v>1.1833</v>
      </c>
    </row>
    <row r="49" spans="1:65" x14ac:dyDescent="0.45">
      <c r="A49" t="s">
        <v>265</v>
      </c>
      <c r="B49">
        <v>48</v>
      </c>
      <c r="C49" s="2">
        <v>43600</v>
      </c>
      <c r="D49" s="1">
        <v>0.45416666666666666</v>
      </c>
      <c r="E49" s="1">
        <v>0.47847222222222219</v>
      </c>
      <c r="F49" s="4">
        <v>2.1</v>
      </c>
      <c r="G49" s="4">
        <v>5.14</v>
      </c>
      <c r="H49" s="15">
        <v>200</v>
      </c>
      <c r="I49" t="s">
        <v>18</v>
      </c>
      <c r="J49" t="s">
        <v>21</v>
      </c>
      <c r="K49">
        <v>8.58</v>
      </c>
      <c r="L49">
        <v>8.59</v>
      </c>
      <c r="M49">
        <v>8.1300000000000008</v>
      </c>
      <c r="N49">
        <v>8.61</v>
      </c>
      <c r="O49">
        <v>9.4600000000000009</v>
      </c>
      <c r="P49">
        <v>8.26</v>
      </c>
      <c r="Q49">
        <v>9.4600000000000009</v>
      </c>
      <c r="R49">
        <v>9.4600000000000009</v>
      </c>
      <c r="S49" t="b">
        <v>0</v>
      </c>
      <c r="T49" t="b">
        <v>0</v>
      </c>
      <c r="U49" t="b">
        <v>0</v>
      </c>
      <c r="W49" t="b">
        <v>0</v>
      </c>
      <c r="Z49">
        <v>8.4499999999999993</v>
      </c>
      <c r="AA49" t="b">
        <v>0</v>
      </c>
      <c r="AB49" t="s">
        <v>27</v>
      </c>
      <c r="AC49" t="s">
        <v>30</v>
      </c>
      <c r="AD49" t="s">
        <v>33</v>
      </c>
      <c r="AE49">
        <v>300</v>
      </c>
      <c r="AF49">
        <v>7</v>
      </c>
      <c r="AG49">
        <v>1</v>
      </c>
      <c r="AH49" t="s">
        <v>18</v>
      </c>
      <c r="AI49">
        <v>8.4499999999999993</v>
      </c>
      <c r="AJ49" t="s">
        <v>135</v>
      </c>
      <c r="AK49" t="s">
        <v>167</v>
      </c>
      <c r="AL49">
        <v>1.42</v>
      </c>
      <c r="AM49">
        <v>1.23</v>
      </c>
      <c r="AN49">
        <v>2.97</v>
      </c>
      <c r="AO49" s="22" t="s">
        <v>268</v>
      </c>
      <c r="AP49" s="4">
        <f>IF(TABLE1[[#This Row],[Buy/Sell]]="BUY",(TABLE1[[#This Row],[Highest Price]]-TABLE1[[#This Row],[Entry Price]])/(TABLE1[[#This Row],[Intended Entry]]-TABLE1[[#This Row],[SL Price]]),(TABLE1[[#This Row],[Entry Price]]-TABLE1[[#This Row],[Lowest Price]])/(TABLE1[[#This Row],[SL Price]]-TABLE1[[#This Row],[Intended Entry]]))</f>
        <v>1.9333333333333387</v>
      </c>
      <c r="AQ49" s="19">
        <f>IF(TABLE1[[#This Row],[Buy/Sell]]="BUY",(TABLE1[[#This Row],[Entry Price]]-TABLE1[[#This Row],[Lowest Price]])/(TABLE1[[#This Row],[SL Price]]-TABLE1[[#This Row],[Intended Entry]]),(TABLE1[[#This Row],[Entry Price]]-TABLE1[[#This Row],[Highest Price]])/(TABLE1[[#This Row],[SL Price]]-TABLE1[[#This Row],[Intended Entry]]))</f>
        <v>-0.73333333333333461</v>
      </c>
      <c r="AR49" s="4" t="str">
        <f>IF(AND(TABLE1[[#This Row],[RRR Realized]]&lt;0.5,TABLE1[[#This Row],[RRR Realized]]&gt;-0.6),"BE",IF(TABLE1[[#This Row],[Gain/Loss]]&lt;0, "LOSER", "WINNER"))</f>
        <v>BE</v>
      </c>
      <c r="AS49" s="4">
        <f>TABLE1[[#This Row],[Gain/Loss]]-TABLE1[[#This Row],[Comissions]]</f>
        <v>3.0399999999999996</v>
      </c>
      <c r="AT49" s="3">
        <f>TABLE1[[#This Row],[Exit Time]]-TABLE1[[#This Row],[Entry Time]]</f>
        <v>2.4305555555555525E-2</v>
      </c>
      <c r="AU49" s="4">
        <f>TABLE1[[#This Row],[Net Gain/Loss]]+AU48</f>
        <v>1762.4288999999997</v>
      </c>
      <c r="AV49" s="4">
        <f>IF(TABLE1[[#This Row],[Potential Price Before BE]]=FALSE,"FALSE",( TABLE1[[#This Row],[Potential Price Before BE]]-TABLE1[[#This Row],[Intended Entry]])/(TABLE1[[#This Row],[Intended Entry]]-TABLE1[[#This Row],[SL Price]]))</f>
        <v>1.9555555555555604</v>
      </c>
      <c r="AW49" s="4">
        <f>(IF(TABLE1[[#This Row],[Buy/Sell]]="BUY",(TABLE1[[#This Row],[Entry Price]]-TABLE1[[#This Row],[SL Price]])/(TABLE1[[#This Row],[Intended Entry]]-TABLE1[[#This Row],[SL Price]]),(TABLE1[[#This Row],[SL Price]]-TABLE1[[#This Row],[Entry Price]])/(TABLE1[[#This Row],[SL Price]]-TABLE1[[#This Row],[Intended Entry]])))-1</f>
        <v>2.2222222222221699E-2</v>
      </c>
      <c r="AX49" s="19">
        <f>TABLE1[[#This Row],[Missed RRR on Entry]]</f>
        <v>2.2222222222221699E-2</v>
      </c>
      <c r="AY49" s="19">
        <f>ROUND((TABLE1[[#This Row],[Potential Price]]-TABLE1[[#This Row],[Entry Price]])/(TABLE1[[#This Row],[Intended Entry]]-TABLE1[[#This Row],[SL Price]]),4)</f>
        <v>1.9333</v>
      </c>
      <c r="AZ49" s="19">
        <f>ROUND((TABLE1[[#This Row],[Potential Price]]-TABLE1[[#This Row],[Intended Entry]])/(TABLE1[[#This Row],[Intended Entry]]-TABLE1[[#This Row],[SL Price]]),4)</f>
        <v>1.9556</v>
      </c>
      <c r="BA49" s="19">
        <f>TABLE1[[#This Row],[RRR Potential]]-TABLE1[[#This Row],[RRR Realized]]</f>
        <v>1.8889</v>
      </c>
      <c r="BB49" s="25">
        <f>ROUND((TABLE1[[#This Row],[Exit Price]]-TABLE1[[#This Row],[Entry Price]])/(TABLE1[[#This Row],[Intended Entry]]-TABLE1[[#This Row],[SL Price]]),4)</f>
        <v>4.4400000000000002E-2</v>
      </c>
      <c r="BC49" s="4">
        <f>IF(AND((TABLE1[[#This Row],[Back to BE]])=TRUE,(TABLE1[[#This Row],[Price Behaviour]])="Fast Reversal"), 0-(TABLE1[[#This Row],[Missed RRR on Entry]]),ROUND((TABLE1[[#This Row],[Exit Price]]-TABLE1[[#This Row],[Entry Price]])/(TABLE1[[#This Row],[Intended Entry]]-TABLE1[[#This Row],[SL Price]]),4))</f>
        <v>4.4400000000000002E-2</v>
      </c>
      <c r="BD49" s="4">
        <f>IF(AND((TABLE1[[#This Row],[Hard RRR Potential]])&gt;=1,(TABLE1[[#This Row],[Back to BE]])="True",(TABLE1[[#This Row],[Price Behaviour]])="Fast Reversal"), 1-(TABLE1[[#This Row],[Missed RRR on Entry]]),ROUND((TABLE1[[#This Row],[Exit Price]]-TABLE1[[#This Row],[Entry Price]])/(TABLE1[[#This Row],[Intended Entry]]-TABLE1[[#This Row],[SL Price]]),4))</f>
        <v>4.4400000000000002E-2</v>
      </c>
      <c r="BE49" s="4">
        <f>IF(AND((TABLE1[[#This Row],[Hard RRR Potential]])&gt;=1.5,(TABLE1[[#This Row],[Back to BE]])="True",(TABLE1[[#This Row],[Price Behaviour]])="Fast Reversal"), 1.5-(TABLE1[[#This Row],[Missed RRR on Entry]]),ROUND((TABLE1[[#This Row],[Exit Price]]-TABLE1[[#This Row],[Entry Price]])/(TABLE1[[#This Row],[Intended Entry]]-TABLE1[[#This Row],[SL Price]]),4))</f>
        <v>4.4400000000000002E-2</v>
      </c>
      <c r="BF49" s="4">
        <f>IF(AND((TABLE1[[#This Row],[Hard RRR Potential]])&gt;=2,(TABLE1[[#This Row],[Back to BE]])="True",(TABLE1[[#This Row],[Price Behaviour]])="Fast Reversal"), 2-(TABLE1[[#This Row],[Missed RRR on Entry]]),ROUND((TABLE1[[#This Row],[Exit Price]]-TABLE1[[#This Row],[Entry Price]])/(TABLE1[[#This Row],[Intended Entry]]-TABLE1[[#This Row],[SL Price]]),4))</f>
        <v>4.4400000000000002E-2</v>
      </c>
      <c r="BG49" s="48">
        <f>IF((TABLE1[[#This Row],[Pattern SL]])&lt;&gt;FALSE,((TABLE1[[#This Row],[Pattern SL]])-(TABLE1[[#This Row],[Entry Price]]))/((TABLE1[[#This Row],[Intended Entry]])-(TABLE1[[#This Row],[SL Price]])),ROUND((TABLE1[[#This Row],[Exit Price]]-TABLE1[[#This Row],[Entry Price]])/(TABLE1[[#This Row],[Intended Entry]]-TABLE1[[#This Row],[SL Price]]),4))</f>
        <v>4.4400000000000002E-2</v>
      </c>
      <c r="BH4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4.4400000000000002E-2</v>
      </c>
      <c r="BI49"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4.4400000000000002E-2</v>
      </c>
      <c r="BJ49" s="21">
        <f>IF( TABLE1[[#This Row],[Wick Exit]]&lt;&gt; FALSE,TABLE1[[#This Row],[RRR Wick Exit]],IF(TABLE1[[#This Row],[Volume Exit]]&lt;&gt; FALSE,TABLE1[[#This Row],[RRR Volume Exit]],TABLE1[[#This Row],[RRR Realized]]))</f>
        <v>4.4400000000000002E-2</v>
      </c>
      <c r="BK49"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-0.31111111111111289</v>
      </c>
      <c r="BL49" s="4">
        <f>IF(OR(AND(TABLE1[[#This Row],[Hard RRR Potential]]&gt;=2.5,TABLE1[[#This Row],[Volume Exit]]=FALSE,TABLE1[[#This Row],[Wick Exit]]=FALSE),AND(TABLE1[[#This Row],[Hard RRR Potential]]&gt;=2.5,TABLE1[[#This Row],[Volume Exit RRR Reach]]&gt;=2.5,TABLE1[[#This Row],[Wick Exit]]=FALSE)), 2.5-TABLE1[[#This Row],[Missed RRR on Entry]],TABLE1[[#This Row],[RRR Realized]])</f>
        <v>4.4400000000000002E-2</v>
      </c>
      <c r="BM49" s="4">
        <f>IF(OR(AND(TABLE1[[#This Row],[Hard RRR Potential]]&gt;=3,TABLE1[[#This Row],[Volume Exit]]=FALSE,TABLE1[[#This Row],[Wick Exit]]=FALSE),AND(TABLE1[[#This Row],[Hard RRR Potential]]&gt;=3,TABLE1[[#This Row],[Volume Exit RRR Reach]]&gt;=3,TABLE1[[#This Row],[Wick Exit]]=FALSE)), 3-TABLE1[[#This Row],[Missed RRR on Entry]],TABLE1[[#This Row],[RRR Realized]])</f>
        <v>4.4400000000000002E-2</v>
      </c>
    </row>
    <row r="50" spans="1:65" x14ac:dyDescent="0.45">
      <c r="A50" t="s">
        <v>269</v>
      </c>
      <c r="B50">
        <v>49</v>
      </c>
      <c r="C50" s="2">
        <v>43601</v>
      </c>
      <c r="D50" s="1">
        <v>0.42291666666666666</v>
      </c>
      <c r="E50" s="1">
        <v>0.4236111111111111</v>
      </c>
      <c r="F50" s="4">
        <v>3.09</v>
      </c>
      <c r="G50" s="4">
        <f>-103.09+3.09</f>
        <v>-100</v>
      </c>
      <c r="H50" s="15">
        <v>500</v>
      </c>
      <c r="I50" t="s">
        <v>18</v>
      </c>
      <c r="J50" t="s">
        <v>21</v>
      </c>
      <c r="K50">
        <v>3</v>
      </c>
      <c r="L50">
        <v>3</v>
      </c>
      <c r="M50">
        <v>2.8</v>
      </c>
      <c r="N50">
        <v>2.8</v>
      </c>
      <c r="O50">
        <v>3.1</v>
      </c>
      <c r="P50">
        <v>2.8</v>
      </c>
      <c r="Q50">
        <v>3.1</v>
      </c>
      <c r="R50">
        <v>3.1</v>
      </c>
      <c r="S50" t="b">
        <v>0</v>
      </c>
      <c r="T50" t="b">
        <v>0</v>
      </c>
      <c r="U50" t="b">
        <v>0</v>
      </c>
      <c r="V50" t="b">
        <v>0</v>
      </c>
      <c r="W50" t="b">
        <v>0</v>
      </c>
      <c r="Z50" t="b">
        <v>0</v>
      </c>
      <c r="AA50" t="b">
        <v>0</v>
      </c>
      <c r="AB50" t="s">
        <v>24</v>
      </c>
      <c r="AC50" t="s">
        <v>31</v>
      </c>
      <c r="AD50" t="s">
        <v>34</v>
      </c>
      <c r="AE50">
        <v>428</v>
      </c>
      <c r="AG50">
        <v>1</v>
      </c>
      <c r="AH50" t="s">
        <v>319</v>
      </c>
      <c r="AI50">
        <v>2.76</v>
      </c>
      <c r="AJ50" t="s">
        <v>135</v>
      </c>
      <c r="AK50" t="s">
        <v>187</v>
      </c>
      <c r="AL50">
        <v>0.88</v>
      </c>
      <c r="AM50">
        <v>1.06</v>
      </c>
      <c r="AN50">
        <v>3.3</v>
      </c>
      <c r="AO50" s="22" t="s">
        <v>271</v>
      </c>
      <c r="AP50" s="4">
        <f>IF(TABLE1[[#This Row],[Buy/Sell]]="BUY",(TABLE1[[#This Row],[Highest Price]]-TABLE1[[#This Row],[Entry Price]])/(TABLE1[[#This Row],[Intended Entry]]-TABLE1[[#This Row],[SL Price]]),(TABLE1[[#This Row],[Entry Price]]-TABLE1[[#This Row],[Lowest Price]])/(TABLE1[[#This Row],[SL Price]]-TABLE1[[#This Row],[Intended Entry]]))</f>
        <v>0.5</v>
      </c>
      <c r="AQ50" s="19">
        <f>IF(TABLE1[[#This Row],[Buy/Sell]]="BUY",(TABLE1[[#This Row],[Entry Price]]-TABLE1[[#This Row],[Lowest Price]])/(TABLE1[[#This Row],[SL Price]]-TABLE1[[#This Row],[Intended Entry]]),(TABLE1[[#This Row],[Entry Price]]-TABLE1[[#This Row],[Highest Price]])/(TABLE1[[#This Row],[SL Price]]-TABLE1[[#This Row],[Intended Entry]]))</f>
        <v>-1</v>
      </c>
      <c r="AR50" s="4" t="str">
        <f>IF(AND(TABLE1[[#This Row],[RRR Realized]]&lt;0.5,TABLE1[[#This Row],[RRR Realized]]&gt;-0.6),"BE",IF(TABLE1[[#This Row],[Gain/Loss]]&lt;0, "LOSER", "WINNER"))</f>
        <v>LOSER</v>
      </c>
      <c r="AS50" s="4">
        <f>TABLE1[[#This Row],[Gain/Loss]]-TABLE1[[#This Row],[Comissions]]</f>
        <v>-103.09</v>
      </c>
      <c r="AT50" s="3">
        <f>TABLE1[[#This Row],[Exit Time]]-TABLE1[[#This Row],[Entry Time]]</f>
        <v>6.9444444444444198E-4</v>
      </c>
      <c r="AU50" s="4">
        <f>TABLE1[[#This Row],[Net Gain/Loss]]+AU49</f>
        <v>1659.3388999999997</v>
      </c>
      <c r="AV50" s="4">
        <f>IF(TABLE1[[#This Row],[Potential Price Before BE]]=FALSE,"FALSE",( TABLE1[[#This Row],[Potential Price Before BE]]-TABLE1[[#This Row],[Intended Entry]])/(TABLE1[[#This Row],[Intended Entry]]-TABLE1[[#This Row],[SL Price]]))</f>
        <v>0.5</v>
      </c>
      <c r="AW50" s="4">
        <f>(IF(TABLE1[[#This Row],[Buy/Sell]]="BUY",(TABLE1[[#This Row],[Entry Price]]-TABLE1[[#This Row],[SL Price]])/(TABLE1[[#This Row],[Intended Entry]]-TABLE1[[#This Row],[SL Price]]),(TABLE1[[#This Row],[SL Price]]-TABLE1[[#This Row],[Entry Price]])/(TABLE1[[#This Row],[SL Price]]-TABLE1[[#This Row],[Intended Entry]])))-1</f>
        <v>0</v>
      </c>
      <c r="AX50" s="19">
        <f>TABLE1[[#This Row],[Missed RRR on Entry]]</f>
        <v>0</v>
      </c>
      <c r="AY50" s="19">
        <f>ROUND((TABLE1[[#This Row],[Potential Price]]-TABLE1[[#This Row],[Entry Price]])/(TABLE1[[#This Row],[Intended Entry]]-TABLE1[[#This Row],[SL Price]]),4)</f>
        <v>0.5</v>
      </c>
      <c r="AZ50" s="19">
        <f>ROUND((TABLE1[[#This Row],[Potential Price]]-TABLE1[[#This Row],[Intended Entry]])/(TABLE1[[#This Row],[Intended Entry]]-TABLE1[[#This Row],[SL Price]]),4)</f>
        <v>0.5</v>
      </c>
      <c r="BA50" s="19">
        <f>TABLE1[[#This Row],[RRR Potential]]-TABLE1[[#This Row],[RRR Realized]]</f>
        <v>1.5</v>
      </c>
      <c r="BB50" s="25">
        <f>ROUND((TABLE1[[#This Row],[Exit Price]]-TABLE1[[#This Row],[Entry Price]])/(TABLE1[[#This Row],[Intended Entry]]-TABLE1[[#This Row],[SL Price]]),4)</f>
        <v>-1</v>
      </c>
      <c r="BC50" s="4">
        <f>IF(AND((TABLE1[[#This Row],[Back to BE]])=TRUE,(TABLE1[[#This Row],[Price Behaviour]])="Fast Reversal"), 0-(TABLE1[[#This Row],[Missed RRR on Entry]]),ROUND((TABLE1[[#This Row],[Exit Price]]-TABLE1[[#This Row],[Entry Price]])/(TABLE1[[#This Row],[Intended Entry]]-TABLE1[[#This Row],[SL Price]]),4))</f>
        <v>-1</v>
      </c>
      <c r="BD50" s="4">
        <f>IF(AND((TABLE1[[#This Row],[Hard RRR Potential]])&gt;=1,(TABLE1[[#This Row],[Back to BE]])="True",(TABLE1[[#This Row],[Price Behaviour]])="Fast Reversal"), 1-(TABLE1[[#This Row],[Missed RRR on Entry]]),ROUND((TABLE1[[#This Row],[Exit Price]]-TABLE1[[#This Row],[Entry Price]])/(TABLE1[[#This Row],[Intended Entry]]-TABLE1[[#This Row],[SL Price]]),4))</f>
        <v>-1</v>
      </c>
      <c r="BE50" s="4">
        <f>IF(AND((TABLE1[[#This Row],[Hard RRR Potential]])&gt;=1.5,(TABLE1[[#This Row],[Back to BE]])="True",(TABLE1[[#This Row],[Price Behaviour]])="Fast Reversal"), 1.5-(TABLE1[[#This Row],[Missed RRR on Entry]]),ROUND((TABLE1[[#This Row],[Exit Price]]-TABLE1[[#This Row],[Entry Price]])/(TABLE1[[#This Row],[Intended Entry]]-TABLE1[[#This Row],[SL Price]]),4))</f>
        <v>-1</v>
      </c>
      <c r="BF50" s="4">
        <f>IF(AND((TABLE1[[#This Row],[Hard RRR Potential]])&gt;=2,(TABLE1[[#This Row],[Back to BE]])="True",(TABLE1[[#This Row],[Price Behaviour]])="Fast Reversal"), 2-(TABLE1[[#This Row],[Missed RRR on Entry]]),ROUND((TABLE1[[#This Row],[Exit Price]]-TABLE1[[#This Row],[Entry Price]])/(TABLE1[[#This Row],[Intended Entry]]-TABLE1[[#This Row],[SL Price]]),4))</f>
        <v>-1</v>
      </c>
      <c r="BG50" s="48">
        <f>IF((TABLE1[[#This Row],[Pattern SL]])&lt;&gt;FALSE,((TABLE1[[#This Row],[Pattern SL]])-(TABLE1[[#This Row],[Entry Price]]))/((TABLE1[[#This Row],[Intended Entry]])-(TABLE1[[#This Row],[SL Price]])),ROUND((TABLE1[[#This Row],[Exit Price]]-TABLE1[[#This Row],[Entry Price]])/(TABLE1[[#This Row],[Intended Entry]]-TABLE1[[#This Row],[SL Price]]),4))</f>
        <v>-1</v>
      </c>
      <c r="BH5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I50"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J50" s="21">
        <f>IF( TABLE1[[#This Row],[Wick Exit]]&lt;&gt; FALSE,TABLE1[[#This Row],[RRR Wick Exit]],IF(TABLE1[[#This Row],[Volume Exit]]&lt;&gt; FALSE,TABLE1[[#This Row],[RRR Volume Exit]],TABLE1[[#This Row],[RRR Realized]]))</f>
        <v>-1</v>
      </c>
      <c r="BK50"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L50"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M50" s="4">
        <f>IF(OR(AND(TABLE1[[#This Row],[Hard RRR Potential]]&gt;=3,TABLE1[[#This Row],[Volume Exit]]=FALSE,TABLE1[[#This Row],[Wick Exit]]=FALSE),AND(TABLE1[[#This Row],[Hard RRR Potential]]&gt;=3,TABLE1[[#This Row],[Volume Exit RRR Reach]]&gt;=3,TABLE1[[#This Row],[Wick Exit]]=FALSE)), 3-TABLE1[[#This Row],[Missed RRR on Entry]],TABLE1[[#This Row],[RRR Realized]])</f>
        <v>-1</v>
      </c>
    </row>
    <row r="51" spans="1:65" x14ac:dyDescent="0.45">
      <c r="A51" t="s">
        <v>270</v>
      </c>
      <c r="B51">
        <v>50</v>
      </c>
      <c r="C51" s="2">
        <v>43601</v>
      </c>
      <c r="D51" s="1">
        <v>0.43333333333333335</v>
      </c>
      <c r="E51" s="1">
        <v>0.43611111111111112</v>
      </c>
      <c r="F51" s="4">
        <v>25.35</v>
      </c>
      <c r="G51" s="4">
        <f>224.63+25.35</f>
        <v>249.98</v>
      </c>
      <c r="H51" s="15">
        <v>2500</v>
      </c>
      <c r="I51" t="s">
        <v>18</v>
      </c>
      <c r="J51" t="s">
        <v>21</v>
      </c>
      <c r="K51">
        <v>1.3</v>
      </c>
      <c r="L51">
        <v>1.3</v>
      </c>
      <c r="M51">
        <v>1.26</v>
      </c>
      <c r="N51">
        <v>1.4</v>
      </c>
      <c r="O51">
        <v>1.42</v>
      </c>
      <c r="P51">
        <v>1.29</v>
      </c>
      <c r="Q51" t="b">
        <v>0</v>
      </c>
      <c r="R51">
        <v>1.65</v>
      </c>
      <c r="S51" t="b">
        <v>0</v>
      </c>
      <c r="T51" t="b">
        <v>0</v>
      </c>
      <c r="U51" t="b">
        <v>1</v>
      </c>
      <c r="W51" t="b">
        <v>0</v>
      </c>
      <c r="Z51" t="b">
        <v>0</v>
      </c>
      <c r="AA51" t="b">
        <v>0</v>
      </c>
      <c r="AB51" t="s">
        <v>25</v>
      </c>
      <c r="AC51" t="s">
        <v>28</v>
      </c>
      <c r="AD51" t="s">
        <v>33</v>
      </c>
      <c r="AE51">
        <v>100</v>
      </c>
      <c r="AG51">
        <v>1</v>
      </c>
      <c r="AH51" t="b">
        <v>0</v>
      </c>
      <c r="AI51">
        <v>1.23</v>
      </c>
      <c r="AJ51" t="s">
        <v>135</v>
      </c>
      <c r="AK51" t="s">
        <v>257</v>
      </c>
      <c r="AL51">
        <v>14.4</v>
      </c>
      <c r="AM51">
        <v>1.06</v>
      </c>
      <c r="AN51">
        <v>14</v>
      </c>
      <c r="AO51" s="22" t="s">
        <v>272</v>
      </c>
      <c r="AP51" s="4">
        <f>IF(TABLE1[[#This Row],[Buy/Sell]]="BUY",(TABLE1[[#This Row],[Highest Price]]-TABLE1[[#This Row],[Entry Price]])/(TABLE1[[#This Row],[Intended Entry]]-TABLE1[[#This Row],[SL Price]]),(TABLE1[[#This Row],[Entry Price]]-TABLE1[[#This Row],[Lowest Price]])/(TABLE1[[#This Row],[SL Price]]-TABLE1[[#This Row],[Intended Entry]]))</f>
        <v>2.9999999999999947</v>
      </c>
      <c r="AQ51" s="19">
        <f>IF(TABLE1[[#This Row],[Buy/Sell]]="BUY",(TABLE1[[#This Row],[Entry Price]]-TABLE1[[#This Row],[Lowest Price]])/(TABLE1[[#This Row],[SL Price]]-TABLE1[[#This Row],[Intended Entry]]),(TABLE1[[#This Row],[Entry Price]]-TABLE1[[#This Row],[Highest Price]])/(TABLE1[[#This Row],[SL Price]]-TABLE1[[#This Row],[Intended Entry]]))</f>
        <v>-0.25</v>
      </c>
      <c r="AR51" s="4" t="str">
        <f>IF(AND(TABLE1[[#This Row],[RRR Realized]]&lt;0.5,TABLE1[[#This Row],[RRR Realized]]&gt;-0.6),"BE",IF(TABLE1[[#This Row],[Gain/Loss]]&lt;0, "LOSER", "WINNER"))</f>
        <v>WINNER</v>
      </c>
      <c r="AS51" s="4">
        <f>TABLE1[[#This Row],[Gain/Loss]]-TABLE1[[#This Row],[Comissions]]</f>
        <v>224.63</v>
      </c>
      <c r="AT51" s="3">
        <f>TABLE1[[#This Row],[Exit Time]]-TABLE1[[#This Row],[Entry Time]]</f>
        <v>2.7777777777777679E-3</v>
      </c>
      <c r="AU51" s="4">
        <f>TABLE1[[#This Row],[Net Gain/Loss]]+AU50</f>
        <v>1883.9688999999998</v>
      </c>
      <c r="AV51" s="4" t="str">
        <f>IF(TABLE1[[#This Row],[Potential Price Before BE]]=FALSE,"FALSE",( TABLE1[[#This Row],[Potential Price Before BE]]-TABLE1[[#This Row],[Intended Entry]])/(TABLE1[[#This Row],[Intended Entry]]-TABLE1[[#This Row],[SL Price]]))</f>
        <v>FALSE</v>
      </c>
      <c r="AW51" s="4">
        <f>(IF(TABLE1[[#This Row],[Buy/Sell]]="BUY",(TABLE1[[#This Row],[Entry Price]]-TABLE1[[#This Row],[SL Price]])/(TABLE1[[#This Row],[Intended Entry]]-TABLE1[[#This Row],[SL Price]]),(TABLE1[[#This Row],[SL Price]]-TABLE1[[#This Row],[Entry Price]])/(TABLE1[[#This Row],[SL Price]]-TABLE1[[#This Row],[Intended Entry]])))-1</f>
        <v>0</v>
      </c>
      <c r="AX51" s="19">
        <f>TABLE1[[#This Row],[Missed RRR on Entry]]</f>
        <v>0</v>
      </c>
      <c r="AY51" s="19">
        <f>ROUND((TABLE1[[#This Row],[Potential Price]]-TABLE1[[#This Row],[Entry Price]])/(TABLE1[[#This Row],[Intended Entry]]-TABLE1[[#This Row],[SL Price]]),4)</f>
        <v>8.75</v>
      </c>
      <c r="AZ51" s="19">
        <f>ROUND((TABLE1[[#This Row],[Potential Price]]-TABLE1[[#This Row],[Intended Entry]])/(TABLE1[[#This Row],[Intended Entry]]-TABLE1[[#This Row],[SL Price]]),4)</f>
        <v>8.75</v>
      </c>
      <c r="BA51" s="19">
        <f>TABLE1[[#This Row],[RRR Potential]]-TABLE1[[#This Row],[RRR Realized]]</f>
        <v>6.25</v>
      </c>
      <c r="BB51" s="25">
        <f>ROUND((TABLE1[[#This Row],[Exit Price]]-TABLE1[[#This Row],[Entry Price]])/(TABLE1[[#This Row],[Intended Entry]]-TABLE1[[#This Row],[SL Price]]),4)</f>
        <v>2.5</v>
      </c>
      <c r="BC51" s="4">
        <f>IF(AND((TABLE1[[#This Row],[Back to BE]])=TRUE,(TABLE1[[#This Row],[Price Behaviour]])="Fast Reversal"), 0-(TABLE1[[#This Row],[Missed RRR on Entry]]),ROUND((TABLE1[[#This Row],[Exit Price]]-TABLE1[[#This Row],[Entry Price]])/(TABLE1[[#This Row],[Intended Entry]]-TABLE1[[#This Row],[SL Price]]),4))</f>
        <v>2.5</v>
      </c>
      <c r="BD51" s="4">
        <f>IF(AND((TABLE1[[#This Row],[Hard RRR Potential]])&gt;=1,(TABLE1[[#This Row],[Back to BE]])="True",(TABLE1[[#This Row],[Price Behaviour]])="Fast Reversal"), 1-(TABLE1[[#This Row],[Missed RRR on Entry]]),ROUND((TABLE1[[#This Row],[Exit Price]]-TABLE1[[#This Row],[Entry Price]])/(TABLE1[[#This Row],[Intended Entry]]-TABLE1[[#This Row],[SL Price]]),4))</f>
        <v>2.5</v>
      </c>
      <c r="BE51" s="4">
        <f>IF(AND((TABLE1[[#This Row],[Hard RRR Potential]])&gt;=1.5,(TABLE1[[#This Row],[Back to BE]])="True",(TABLE1[[#This Row],[Price Behaviour]])="Fast Reversal"), 1.5-(TABLE1[[#This Row],[Missed RRR on Entry]]),ROUND((TABLE1[[#This Row],[Exit Price]]-TABLE1[[#This Row],[Entry Price]])/(TABLE1[[#This Row],[Intended Entry]]-TABLE1[[#This Row],[SL Price]]),4))</f>
        <v>2.5</v>
      </c>
      <c r="BF51" s="4">
        <f>IF(AND((TABLE1[[#This Row],[Hard RRR Potential]])&gt;=2,(TABLE1[[#This Row],[Back to BE]])="True",(TABLE1[[#This Row],[Price Behaviour]])="Fast Reversal"), 2-(TABLE1[[#This Row],[Missed RRR on Entry]]),ROUND((TABLE1[[#This Row],[Exit Price]]-TABLE1[[#This Row],[Entry Price]])/(TABLE1[[#This Row],[Intended Entry]]-TABLE1[[#This Row],[SL Price]]),4))</f>
        <v>2.5</v>
      </c>
      <c r="BG51" s="48">
        <f>IF((TABLE1[[#This Row],[Pattern SL]])&lt;&gt;FALSE,((TABLE1[[#This Row],[Pattern SL]])-(TABLE1[[#This Row],[Entry Price]]))/((TABLE1[[#This Row],[Intended Entry]])-(TABLE1[[#This Row],[SL Price]])),ROUND((TABLE1[[#This Row],[Exit Price]]-TABLE1[[#This Row],[Entry Price]])/(TABLE1[[#This Row],[Intended Entry]]-TABLE1[[#This Row],[SL Price]]),4))</f>
        <v>2.5</v>
      </c>
      <c r="BH5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2.5</v>
      </c>
      <c r="BI51"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2.5</v>
      </c>
      <c r="BJ51" s="21">
        <f>IF( TABLE1[[#This Row],[Wick Exit]]&lt;&gt; FALSE,TABLE1[[#This Row],[RRR Wick Exit]],IF(TABLE1[[#This Row],[Volume Exit]]&lt;&gt; FALSE,TABLE1[[#This Row],[RRR Volume Exit]],TABLE1[[#This Row],[RRR Realized]]))</f>
        <v>2.5</v>
      </c>
      <c r="BK51"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2.5</v>
      </c>
      <c r="BL51"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M51" s="4">
        <f>IF(OR(AND(TABLE1[[#This Row],[Hard RRR Potential]]&gt;=3,TABLE1[[#This Row],[Volume Exit]]=FALSE,TABLE1[[#This Row],[Wick Exit]]=FALSE),AND(TABLE1[[#This Row],[Hard RRR Potential]]&gt;=3,TABLE1[[#This Row],[Volume Exit RRR Reach]]&gt;=3,TABLE1[[#This Row],[Wick Exit]]=FALSE)), 3-TABLE1[[#This Row],[Missed RRR on Entry]],TABLE1[[#This Row],[RRR Realized]])</f>
        <v>3</v>
      </c>
    </row>
    <row r="52" spans="1:65" x14ac:dyDescent="0.45">
      <c r="A52" t="s">
        <v>269</v>
      </c>
      <c r="B52">
        <v>51</v>
      </c>
      <c r="C52" s="2">
        <v>43601</v>
      </c>
      <c r="D52" s="1">
        <v>0.44097222222222227</v>
      </c>
      <c r="E52" s="1">
        <v>0.46875</v>
      </c>
      <c r="F52" s="4">
        <f>1.67+1.72</f>
        <v>3.3899999999999997</v>
      </c>
      <c r="G52" s="4">
        <f>-96.63+3.39</f>
        <v>-93.24</v>
      </c>
      <c r="H52" s="15">
        <v>333</v>
      </c>
      <c r="I52" t="s">
        <v>18</v>
      </c>
      <c r="J52" t="s">
        <v>21</v>
      </c>
      <c r="K52">
        <v>2.92</v>
      </c>
      <c r="L52">
        <v>2.93</v>
      </c>
      <c r="M52">
        <v>2.62</v>
      </c>
      <c r="N52">
        <v>2.65</v>
      </c>
      <c r="O52">
        <v>3.1</v>
      </c>
      <c r="P52">
        <v>2.62</v>
      </c>
      <c r="Q52">
        <v>3.1</v>
      </c>
      <c r="R52">
        <v>3.1</v>
      </c>
      <c r="S52" t="b">
        <v>0</v>
      </c>
      <c r="T52">
        <v>2.79</v>
      </c>
      <c r="U52" t="b">
        <v>0</v>
      </c>
      <c r="V52" t="b">
        <v>1</v>
      </c>
      <c r="W52" t="b">
        <v>0</v>
      </c>
      <c r="Z52">
        <v>2.91</v>
      </c>
      <c r="AA52" t="b">
        <v>0</v>
      </c>
      <c r="AB52" t="s">
        <v>24</v>
      </c>
      <c r="AC52" t="s">
        <v>30</v>
      </c>
      <c r="AD52" t="s">
        <v>34</v>
      </c>
      <c r="AE52">
        <v>428</v>
      </c>
      <c r="AG52">
        <v>1</v>
      </c>
      <c r="AH52" t="s">
        <v>319</v>
      </c>
      <c r="AI52">
        <v>2.76</v>
      </c>
      <c r="AJ52" t="s">
        <v>135</v>
      </c>
      <c r="AK52" t="s">
        <v>167</v>
      </c>
      <c r="AL52">
        <v>0.88</v>
      </c>
      <c r="AM52">
        <v>1.06</v>
      </c>
      <c r="AN52">
        <v>3.3</v>
      </c>
      <c r="AO52" s="22" t="s">
        <v>271</v>
      </c>
      <c r="AP52" s="4">
        <f>IF(TABLE1[[#This Row],[Buy/Sell]]="BUY",(TABLE1[[#This Row],[Highest Price]]-TABLE1[[#This Row],[Entry Price]])/(TABLE1[[#This Row],[Intended Entry]]-TABLE1[[#This Row],[SL Price]]),(TABLE1[[#This Row],[Entry Price]]-TABLE1[[#This Row],[Lowest Price]])/(TABLE1[[#This Row],[SL Price]]-TABLE1[[#This Row],[Intended Entry]]))</f>
        <v>0.56666666666666676</v>
      </c>
      <c r="AQ52" s="19">
        <f>IF(TABLE1[[#This Row],[Buy/Sell]]="BUY",(TABLE1[[#This Row],[Entry Price]]-TABLE1[[#This Row],[Lowest Price]])/(TABLE1[[#This Row],[SL Price]]-TABLE1[[#This Row],[Intended Entry]]),(TABLE1[[#This Row],[Entry Price]]-TABLE1[[#This Row],[Highest Price]])/(TABLE1[[#This Row],[SL Price]]-TABLE1[[#This Row],[Intended Entry]]))</f>
        <v>-1.0333333333333341</v>
      </c>
      <c r="AR52" s="4" t="str">
        <f>IF(AND(TABLE1[[#This Row],[RRR Realized]]&lt;0.5,TABLE1[[#This Row],[RRR Realized]]&gt;-0.6),"BE",IF(TABLE1[[#This Row],[Gain/Loss]]&lt;0, "LOSER", "WINNER"))</f>
        <v>LOSER</v>
      </c>
      <c r="AS52" s="4">
        <f>TABLE1[[#This Row],[Gain/Loss]]-TABLE1[[#This Row],[Comissions]]</f>
        <v>-96.63</v>
      </c>
      <c r="AT52" s="3">
        <f>TABLE1[[#This Row],[Exit Time]]-TABLE1[[#This Row],[Entry Time]]</f>
        <v>2.7777777777777735E-2</v>
      </c>
      <c r="AU52" s="4">
        <f>TABLE1[[#This Row],[Net Gain/Loss]]+AU51</f>
        <v>1787.3388999999997</v>
      </c>
      <c r="AV52" s="4">
        <f>IF(TABLE1[[#This Row],[Potential Price Before BE]]=FALSE,"FALSE",( TABLE1[[#This Row],[Potential Price Before BE]]-TABLE1[[#This Row],[Intended Entry]])/(TABLE1[[#This Row],[Intended Entry]]-TABLE1[[#This Row],[SL Price]]))</f>
        <v>0.60000000000000087</v>
      </c>
      <c r="AW52" s="4">
        <f>(IF(TABLE1[[#This Row],[Buy/Sell]]="BUY",(TABLE1[[#This Row],[Entry Price]]-TABLE1[[#This Row],[SL Price]])/(TABLE1[[#This Row],[Intended Entry]]-TABLE1[[#This Row],[SL Price]]),(TABLE1[[#This Row],[SL Price]]-TABLE1[[#This Row],[Entry Price]])/(TABLE1[[#This Row],[SL Price]]-TABLE1[[#This Row],[Intended Entry]])))-1</f>
        <v>3.3333333333334103E-2</v>
      </c>
      <c r="AX52" s="19">
        <f>TABLE1[[#This Row],[Missed RRR on Entry]]</f>
        <v>3.3333333333334103E-2</v>
      </c>
      <c r="AY52" s="19">
        <f>ROUND((TABLE1[[#This Row],[Potential Price]]-TABLE1[[#This Row],[Entry Price]])/(TABLE1[[#This Row],[Intended Entry]]-TABLE1[[#This Row],[SL Price]]),4)</f>
        <v>0.56669999999999998</v>
      </c>
      <c r="AZ52" s="19">
        <f>ROUND((TABLE1[[#This Row],[Potential Price]]-TABLE1[[#This Row],[Intended Entry]])/(TABLE1[[#This Row],[Intended Entry]]-TABLE1[[#This Row],[SL Price]]),4)</f>
        <v>0.6</v>
      </c>
      <c r="BA52" s="19">
        <f>TABLE1[[#This Row],[RRR Potential]]-TABLE1[[#This Row],[RRR Realized]]</f>
        <v>1.5</v>
      </c>
      <c r="BB52" s="25">
        <f>ROUND((TABLE1[[#This Row],[Exit Price]]-TABLE1[[#This Row],[Entry Price]])/(TABLE1[[#This Row],[Intended Entry]]-TABLE1[[#This Row],[SL Price]]),4)</f>
        <v>-0.93330000000000002</v>
      </c>
      <c r="BC52" s="4">
        <f>IF(AND((TABLE1[[#This Row],[Back to BE]])=TRUE,(TABLE1[[#This Row],[Price Behaviour]])="Fast Reversal"), 0-(TABLE1[[#This Row],[Missed RRR on Entry]]),ROUND((TABLE1[[#This Row],[Exit Price]]-TABLE1[[#This Row],[Entry Price]])/(TABLE1[[#This Row],[Intended Entry]]-TABLE1[[#This Row],[SL Price]]),4))</f>
        <v>-3.3333333333334103E-2</v>
      </c>
      <c r="BD52" s="4">
        <f>IF(AND((TABLE1[[#This Row],[Hard RRR Potential]])&gt;=1,(TABLE1[[#This Row],[Back to BE]])="True",(TABLE1[[#This Row],[Price Behaviour]])="Fast Reversal"), 1-(TABLE1[[#This Row],[Missed RRR on Entry]]),ROUND((TABLE1[[#This Row],[Exit Price]]-TABLE1[[#This Row],[Entry Price]])/(TABLE1[[#This Row],[Intended Entry]]-TABLE1[[#This Row],[SL Price]]),4))</f>
        <v>-0.93330000000000002</v>
      </c>
      <c r="BE52" s="4">
        <f>IF(AND((TABLE1[[#This Row],[Hard RRR Potential]])&gt;=1.5,(TABLE1[[#This Row],[Back to BE]])="True",(TABLE1[[#This Row],[Price Behaviour]])="Fast Reversal"), 1.5-(TABLE1[[#This Row],[Missed RRR on Entry]]),ROUND((TABLE1[[#This Row],[Exit Price]]-TABLE1[[#This Row],[Entry Price]])/(TABLE1[[#This Row],[Intended Entry]]-TABLE1[[#This Row],[SL Price]]),4))</f>
        <v>-0.93330000000000002</v>
      </c>
      <c r="BF52" s="4">
        <f>IF(AND((TABLE1[[#This Row],[Hard RRR Potential]])&gt;=2,(TABLE1[[#This Row],[Back to BE]])="True",(TABLE1[[#This Row],[Price Behaviour]])="Fast Reversal"), 2-(TABLE1[[#This Row],[Missed RRR on Entry]]),ROUND((TABLE1[[#This Row],[Exit Price]]-TABLE1[[#This Row],[Entry Price]])/(TABLE1[[#This Row],[Intended Entry]]-TABLE1[[#This Row],[SL Price]]),4))</f>
        <v>-0.93330000000000002</v>
      </c>
      <c r="BG52" s="48">
        <f>IF((TABLE1[[#This Row],[Pattern SL]])&lt;&gt;FALSE,((TABLE1[[#This Row],[Pattern SL]])-(TABLE1[[#This Row],[Entry Price]]))/((TABLE1[[#This Row],[Intended Entry]])-(TABLE1[[#This Row],[SL Price]])),ROUND((TABLE1[[#This Row],[Exit Price]]-TABLE1[[#This Row],[Entry Price]])/(TABLE1[[#This Row],[Intended Entry]]-TABLE1[[#This Row],[SL Price]]),4))</f>
        <v>-0.93330000000000002</v>
      </c>
      <c r="BH5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-0.93330000000000002</v>
      </c>
      <c r="BI52"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-0.93330000000000002</v>
      </c>
      <c r="BJ52" s="21">
        <f>IF( TABLE1[[#This Row],[Wick Exit]]&lt;&gt; FALSE,TABLE1[[#This Row],[RRR Wick Exit]],IF(TABLE1[[#This Row],[Volume Exit]]&lt;&gt; FALSE,TABLE1[[#This Row],[RRR Volume Exit]],TABLE1[[#This Row],[RRR Realized]]))</f>
        <v>-0.93330000000000002</v>
      </c>
      <c r="BK5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-6.6666666666666763E-2</v>
      </c>
      <c r="BL52" s="4">
        <f>IF(OR(AND(TABLE1[[#This Row],[Hard RRR Potential]]&gt;=2.5,TABLE1[[#This Row],[Volume Exit]]=FALSE,TABLE1[[#This Row],[Wick Exit]]=FALSE),AND(TABLE1[[#This Row],[Hard RRR Potential]]&gt;=2.5,TABLE1[[#This Row],[Volume Exit RRR Reach]]&gt;=2.5,TABLE1[[#This Row],[Wick Exit]]=FALSE)), 2.5-TABLE1[[#This Row],[Missed RRR on Entry]],TABLE1[[#This Row],[RRR Realized]])</f>
        <v>-0.93330000000000002</v>
      </c>
      <c r="BM52" s="4">
        <f>IF(OR(AND(TABLE1[[#This Row],[Hard RRR Potential]]&gt;=3,TABLE1[[#This Row],[Volume Exit]]=FALSE,TABLE1[[#This Row],[Wick Exit]]=FALSE),AND(TABLE1[[#This Row],[Hard RRR Potential]]&gt;=3,TABLE1[[#This Row],[Volume Exit RRR Reach]]&gt;=3,TABLE1[[#This Row],[Wick Exit]]=FALSE)), 3-TABLE1[[#This Row],[Missed RRR on Entry]],TABLE1[[#This Row],[RRR Realized]])</f>
        <v>-0.93330000000000002</v>
      </c>
    </row>
    <row r="53" spans="1:65" x14ac:dyDescent="0.45">
      <c r="A53" t="s">
        <v>270</v>
      </c>
      <c r="B53">
        <v>52</v>
      </c>
      <c r="C53" s="2">
        <v>43602</v>
      </c>
      <c r="D53" s="1">
        <v>0.4145833333333333</v>
      </c>
      <c r="E53" s="1">
        <v>0.41944444444444445</v>
      </c>
      <c r="F53" s="4">
        <v>20.34</v>
      </c>
      <c r="G53" s="4">
        <v>680.54</v>
      </c>
      <c r="H53" s="15">
        <v>2000</v>
      </c>
      <c r="I53" t="s">
        <v>18</v>
      </c>
      <c r="J53" t="s">
        <v>21</v>
      </c>
      <c r="K53">
        <v>2.12</v>
      </c>
      <c r="L53">
        <v>2.1190000000000002</v>
      </c>
      <c r="M53">
        <v>2.02</v>
      </c>
      <c r="N53">
        <v>2.46</v>
      </c>
      <c r="O53">
        <v>2.72</v>
      </c>
      <c r="P53">
        <v>2.1</v>
      </c>
      <c r="Q53">
        <v>2.72</v>
      </c>
      <c r="R53">
        <v>2.72</v>
      </c>
      <c r="S53" t="b">
        <v>0</v>
      </c>
      <c r="T53" t="b">
        <v>0</v>
      </c>
      <c r="U53" t="b">
        <v>1</v>
      </c>
      <c r="W53" t="b">
        <v>0</v>
      </c>
      <c r="Z53" t="b">
        <v>0</v>
      </c>
      <c r="AA53" t="b">
        <v>0</v>
      </c>
      <c r="AB53" t="s">
        <v>25</v>
      </c>
      <c r="AC53" t="s">
        <v>28</v>
      </c>
      <c r="AD53" t="s">
        <v>33</v>
      </c>
      <c r="AE53">
        <v>118</v>
      </c>
      <c r="AG53">
        <v>1</v>
      </c>
      <c r="AH53" t="b">
        <v>0</v>
      </c>
      <c r="AI53">
        <v>2</v>
      </c>
      <c r="AJ53" t="s">
        <v>137</v>
      </c>
      <c r="AK53" t="s">
        <v>167</v>
      </c>
      <c r="AL53">
        <v>14.4</v>
      </c>
      <c r="AM53">
        <v>0.85</v>
      </c>
      <c r="AN53">
        <v>0.3</v>
      </c>
      <c r="AO53" s="22" t="s">
        <v>274</v>
      </c>
      <c r="AP53" s="4">
        <f>IF(TABLE1[[#This Row],[Buy/Sell]]="BUY",(TABLE1[[#This Row],[Highest Price]]-TABLE1[[#This Row],[Entry Price]])/(TABLE1[[#This Row],[Intended Entry]]-TABLE1[[#This Row],[SL Price]]),(TABLE1[[#This Row],[Entry Price]]-TABLE1[[#This Row],[Lowest Price]])/(TABLE1[[#This Row],[SL Price]]-TABLE1[[#This Row],[Intended Entry]]))</f>
        <v>6.0099999999999945</v>
      </c>
      <c r="AQ53" s="19">
        <f>IF(TABLE1[[#This Row],[Buy/Sell]]="BUY",(TABLE1[[#This Row],[Entry Price]]-TABLE1[[#This Row],[Lowest Price]])/(TABLE1[[#This Row],[SL Price]]-TABLE1[[#This Row],[Intended Entry]]),(TABLE1[[#This Row],[Entry Price]]-TABLE1[[#This Row],[Highest Price]])/(TABLE1[[#This Row],[SL Price]]-TABLE1[[#This Row],[Intended Entry]]))</f>
        <v>-0.19000000000000111</v>
      </c>
      <c r="AR53" s="4" t="str">
        <f>IF(AND(TABLE1[[#This Row],[RRR Realized]]&lt;0.5,TABLE1[[#This Row],[RRR Realized]]&gt;-0.6),"BE",IF(TABLE1[[#This Row],[Gain/Loss]]&lt;0, "LOSER", "WINNER"))</f>
        <v>WINNER</v>
      </c>
      <c r="AS53" s="4">
        <f>TABLE1[[#This Row],[Gain/Loss]]-TABLE1[[#This Row],[Comissions]]</f>
        <v>660.19999999999993</v>
      </c>
      <c r="AT53" s="3">
        <f>TABLE1[[#This Row],[Exit Time]]-TABLE1[[#This Row],[Entry Time]]</f>
        <v>4.8611111111111494E-3</v>
      </c>
      <c r="AU53" s="4">
        <f>TABLE1[[#This Row],[Net Gain/Loss]]+AU52</f>
        <v>2447.5388999999996</v>
      </c>
      <c r="AV53" s="4">
        <f>IF(TABLE1[[#This Row],[Potential Price Before BE]]=FALSE,"FALSE",( TABLE1[[#This Row],[Potential Price Before BE]]-TABLE1[[#This Row],[Intended Entry]])/(TABLE1[[#This Row],[Intended Entry]]-TABLE1[[#This Row],[SL Price]]))</f>
        <v>5.9999999999999956</v>
      </c>
      <c r="AW53" s="4">
        <f>(IF(TABLE1[[#This Row],[Buy/Sell]]="BUY",(TABLE1[[#This Row],[Entry Price]]-TABLE1[[#This Row],[SL Price]])/(TABLE1[[#This Row],[Intended Entry]]-TABLE1[[#This Row],[SL Price]]),(TABLE1[[#This Row],[SL Price]]-TABLE1[[#This Row],[Entry Price]])/(TABLE1[[#This Row],[SL Price]]-TABLE1[[#This Row],[Intended Entry]])))-1</f>
        <v>-9.9999999999988987E-3</v>
      </c>
      <c r="AX53" s="19">
        <f>TABLE1[[#This Row],[Missed RRR on Entry]]</f>
        <v>-9.9999999999988987E-3</v>
      </c>
      <c r="AY53" s="19">
        <f>ROUND((TABLE1[[#This Row],[Potential Price]]-TABLE1[[#This Row],[Entry Price]])/(TABLE1[[#This Row],[Intended Entry]]-TABLE1[[#This Row],[SL Price]]),4)</f>
        <v>6.01</v>
      </c>
      <c r="AZ53" s="19">
        <f>ROUND((TABLE1[[#This Row],[Potential Price]]-TABLE1[[#This Row],[Intended Entry]])/(TABLE1[[#This Row],[Intended Entry]]-TABLE1[[#This Row],[SL Price]]),4)</f>
        <v>6</v>
      </c>
      <c r="BA53" s="19">
        <f>TABLE1[[#This Row],[RRR Potential]]-TABLE1[[#This Row],[RRR Realized]]</f>
        <v>2.5999999999999996</v>
      </c>
      <c r="BB53" s="25">
        <f>ROUND((TABLE1[[#This Row],[Exit Price]]-TABLE1[[#This Row],[Entry Price]])/(TABLE1[[#This Row],[Intended Entry]]-TABLE1[[#This Row],[SL Price]]),4)</f>
        <v>3.41</v>
      </c>
      <c r="BC53" s="4">
        <f>IF(AND((TABLE1[[#This Row],[Back to BE]])=TRUE,(TABLE1[[#This Row],[Price Behaviour]])="Fast Reversal"), 0-(TABLE1[[#This Row],[Missed RRR on Entry]]),ROUND((TABLE1[[#This Row],[Exit Price]]-TABLE1[[#This Row],[Entry Price]])/(TABLE1[[#This Row],[Intended Entry]]-TABLE1[[#This Row],[SL Price]]),4))</f>
        <v>3.41</v>
      </c>
      <c r="BD53" s="4">
        <f>IF(AND((TABLE1[[#This Row],[Hard RRR Potential]])&gt;=1,(TABLE1[[#This Row],[Back to BE]])="True",(TABLE1[[#This Row],[Price Behaviour]])="Fast Reversal"), 1-(TABLE1[[#This Row],[Missed RRR on Entry]]),ROUND((TABLE1[[#This Row],[Exit Price]]-TABLE1[[#This Row],[Entry Price]])/(TABLE1[[#This Row],[Intended Entry]]-TABLE1[[#This Row],[SL Price]]),4))</f>
        <v>3.41</v>
      </c>
      <c r="BE53" s="4">
        <f>IF(AND((TABLE1[[#This Row],[Hard RRR Potential]])&gt;=1.5,(TABLE1[[#This Row],[Back to BE]])="True",(TABLE1[[#This Row],[Price Behaviour]])="Fast Reversal"), 1.5-(TABLE1[[#This Row],[Missed RRR on Entry]]),ROUND((TABLE1[[#This Row],[Exit Price]]-TABLE1[[#This Row],[Entry Price]])/(TABLE1[[#This Row],[Intended Entry]]-TABLE1[[#This Row],[SL Price]]),4))</f>
        <v>3.41</v>
      </c>
      <c r="BF53" s="4">
        <f>IF(AND((TABLE1[[#This Row],[Hard RRR Potential]])&gt;=2,(TABLE1[[#This Row],[Back to BE]])="True",(TABLE1[[#This Row],[Price Behaviour]])="Fast Reversal"), 2-(TABLE1[[#This Row],[Missed RRR on Entry]]),ROUND((TABLE1[[#This Row],[Exit Price]]-TABLE1[[#This Row],[Entry Price]])/(TABLE1[[#This Row],[Intended Entry]]-TABLE1[[#This Row],[SL Price]]),4))</f>
        <v>3.41</v>
      </c>
      <c r="BG53" s="48">
        <f>IF((TABLE1[[#This Row],[Pattern SL]])&lt;&gt;FALSE,((TABLE1[[#This Row],[Pattern SL]])-(TABLE1[[#This Row],[Entry Price]]))/((TABLE1[[#This Row],[Intended Entry]])-(TABLE1[[#This Row],[SL Price]])),ROUND((TABLE1[[#This Row],[Exit Price]]-TABLE1[[#This Row],[Entry Price]])/(TABLE1[[#This Row],[Intended Entry]]-TABLE1[[#This Row],[SL Price]]),4))</f>
        <v>3.41</v>
      </c>
      <c r="BH5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3.41</v>
      </c>
      <c r="BI53"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3.41</v>
      </c>
      <c r="BJ53" s="21">
        <f>IF( TABLE1[[#This Row],[Wick Exit]]&lt;&gt; FALSE,TABLE1[[#This Row],[RRR Wick Exit]],IF(TABLE1[[#This Row],[Volume Exit]]&lt;&gt; FALSE,TABLE1[[#This Row],[RRR Volume Exit]],TABLE1[[#This Row],[RRR Realized]]))</f>
        <v>3.41</v>
      </c>
      <c r="BK5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3.41</v>
      </c>
      <c r="BL53" s="4">
        <f>IF(OR(AND(TABLE1[[#This Row],[Hard RRR Potential]]&gt;=2.5,TABLE1[[#This Row],[Volume Exit]]=FALSE,TABLE1[[#This Row],[Wick Exit]]=FALSE),AND(TABLE1[[#This Row],[Hard RRR Potential]]&gt;=2.5,TABLE1[[#This Row],[Volume Exit RRR Reach]]&gt;=2.5,TABLE1[[#This Row],[Wick Exit]]=FALSE)), 2.5-TABLE1[[#This Row],[Missed RRR on Entry]],TABLE1[[#This Row],[RRR Realized]])</f>
        <v>2.5099999999999989</v>
      </c>
      <c r="BM53" s="4">
        <f>IF(OR(AND(TABLE1[[#This Row],[Hard RRR Potential]]&gt;=3,TABLE1[[#This Row],[Volume Exit]]=FALSE,TABLE1[[#This Row],[Wick Exit]]=FALSE),AND(TABLE1[[#This Row],[Hard RRR Potential]]&gt;=3,TABLE1[[#This Row],[Volume Exit RRR Reach]]&gt;=3,TABLE1[[#This Row],[Wick Exit]]=FALSE)), 3-TABLE1[[#This Row],[Missed RRR on Entry]],TABLE1[[#This Row],[RRR Realized]])</f>
        <v>3.0099999999999989</v>
      </c>
    </row>
    <row r="54" spans="1:65" x14ac:dyDescent="0.45">
      <c r="A54" t="s">
        <v>235</v>
      </c>
      <c r="B54">
        <v>53</v>
      </c>
      <c r="C54" s="2">
        <v>43602</v>
      </c>
      <c r="D54" s="1">
        <v>0.44791666666666669</v>
      </c>
      <c r="E54" s="1">
        <v>0.45</v>
      </c>
      <c r="F54" s="4">
        <v>10.25</v>
      </c>
      <c r="G54" s="4">
        <f>-215.63+10.25</f>
        <v>-205.38</v>
      </c>
      <c r="H54" s="15">
        <v>1000</v>
      </c>
      <c r="I54" t="s">
        <v>18</v>
      </c>
      <c r="J54" t="s">
        <v>21</v>
      </c>
      <c r="K54">
        <v>6.62</v>
      </c>
      <c r="L54">
        <v>6.63</v>
      </c>
      <c r="M54">
        <v>6.42</v>
      </c>
      <c r="N54">
        <v>6.4249999999999998</v>
      </c>
      <c r="O54">
        <v>6.72</v>
      </c>
      <c r="P54">
        <v>6.42</v>
      </c>
      <c r="Q54">
        <v>6.72</v>
      </c>
      <c r="R54">
        <v>6.72</v>
      </c>
      <c r="S54" t="b">
        <v>0</v>
      </c>
      <c r="T54" t="b">
        <v>0</v>
      </c>
      <c r="U54" t="b">
        <v>0</v>
      </c>
      <c r="V54" t="b">
        <v>0</v>
      </c>
      <c r="W54" t="b">
        <v>0</v>
      </c>
      <c r="Z54" t="b">
        <v>0</v>
      </c>
      <c r="AA54" t="b">
        <v>0</v>
      </c>
      <c r="AB54" t="s">
        <v>24</v>
      </c>
      <c r="AC54" t="s">
        <v>31</v>
      </c>
      <c r="AD54" t="s">
        <v>38</v>
      </c>
      <c r="AE54">
        <v>6</v>
      </c>
      <c r="AG54">
        <v>2</v>
      </c>
      <c r="AH54" t="b">
        <v>0</v>
      </c>
      <c r="AI54">
        <v>6.05</v>
      </c>
      <c r="AJ54" t="s">
        <v>135</v>
      </c>
      <c r="AK54" t="s">
        <v>248</v>
      </c>
      <c r="AL54">
        <v>3.66</v>
      </c>
      <c r="AM54">
        <v>0.85</v>
      </c>
      <c r="AN54">
        <v>2</v>
      </c>
      <c r="AO54" s="22" t="s">
        <v>273</v>
      </c>
      <c r="AP54" s="4">
        <f>IF(TABLE1[[#This Row],[Buy/Sell]]="BUY",(TABLE1[[#This Row],[Highest Price]]-TABLE1[[#This Row],[Entry Price]])/(TABLE1[[#This Row],[Intended Entry]]-TABLE1[[#This Row],[SL Price]]),(TABLE1[[#This Row],[Entry Price]]-TABLE1[[#This Row],[Lowest Price]])/(TABLE1[[#This Row],[SL Price]]-TABLE1[[#This Row],[Intended Entry]]))</f>
        <v>0.4499999999999989</v>
      </c>
      <c r="AQ54" s="19">
        <f>IF(TABLE1[[#This Row],[Buy/Sell]]="BUY",(TABLE1[[#This Row],[Entry Price]]-TABLE1[[#This Row],[Lowest Price]])/(TABLE1[[#This Row],[SL Price]]-TABLE1[[#This Row],[Intended Entry]]),(TABLE1[[#This Row],[Entry Price]]-TABLE1[[#This Row],[Highest Price]])/(TABLE1[[#This Row],[SL Price]]-TABLE1[[#This Row],[Intended Entry]]))</f>
        <v>-1.0499999999999989</v>
      </c>
      <c r="AR54" s="4" t="str">
        <f>IF(AND(TABLE1[[#This Row],[RRR Realized]]&lt;0.5,TABLE1[[#This Row],[RRR Realized]]&gt;-0.6),"BE",IF(TABLE1[[#This Row],[Gain/Loss]]&lt;0, "LOSER", "WINNER"))</f>
        <v>LOSER</v>
      </c>
      <c r="AS54" s="4">
        <f>TABLE1[[#This Row],[Gain/Loss]]-TABLE1[[#This Row],[Comissions]]</f>
        <v>-215.63</v>
      </c>
      <c r="AT54" s="3">
        <f>TABLE1[[#This Row],[Exit Time]]-TABLE1[[#This Row],[Entry Time]]</f>
        <v>2.0833333333333259E-3</v>
      </c>
      <c r="AU54" s="4">
        <f>TABLE1[[#This Row],[Net Gain/Loss]]+AU53</f>
        <v>2231.9088999999994</v>
      </c>
      <c r="AV54" s="4">
        <f>IF(TABLE1[[#This Row],[Potential Price Before BE]]=FALSE,"FALSE",( TABLE1[[#This Row],[Potential Price Before BE]]-TABLE1[[#This Row],[Intended Entry]])/(TABLE1[[#This Row],[Intended Entry]]-TABLE1[[#This Row],[SL Price]]))</f>
        <v>0.49999999999999778</v>
      </c>
      <c r="AW54" s="4">
        <f>(IF(TABLE1[[#This Row],[Buy/Sell]]="BUY",(TABLE1[[#This Row],[Entry Price]]-TABLE1[[#This Row],[SL Price]])/(TABLE1[[#This Row],[Intended Entry]]-TABLE1[[#This Row],[SL Price]]),(TABLE1[[#This Row],[SL Price]]-TABLE1[[#This Row],[Entry Price]])/(TABLE1[[#This Row],[SL Price]]-TABLE1[[#This Row],[Intended Entry]])))-1</f>
        <v>4.9999999999998934E-2</v>
      </c>
      <c r="AX54" s="19">
        <f>TABLE1[[#This Row],[Missed RRR on Entry]]</f>
        <v>4.9999999999998934E-2</v>
      </c>
      <c r="AY54" s="19">
        <f>ROUND((TABLE1[[#This Row],[Potential Price]]-TABLE1[[#This Row],[Entry Price]])/(TABLE1[[#This Row],[Intended Entry]]-TABLE1[[#This Row],[SL Price]]),4)</f>
        <v>0.45</v>
      </c>
      <c r="AZ54" s="19">
        <f>ROUND((TABLE1[[#This Row],[Potential Price]]-TABLE1[[#This Row],[Intended Entry]])/(TABLE1[[#This Row],[Intended Entry]]-TABLE1[[#This Row],[SL Price]]),4)</f>
        <v>0.5</v>
      </c>
      <c r="BA54" s="19">
        <f>TABLE1[[#This Row],[RRR Potential]]-TABLE1[[#This Row],[RRR Realized]]</f>
        <v>1.4749999999999999</v>
      </c>
      <c r="BB54" s="25">
        <f>ROUND((TABLE1[[#This Row],[Exit Price]]-TABLE1[[#This Row],[Entry Price]])/(TABLE1[[#This Row],[Intended Entry]]-TABLE1[[#This Row],[SL Price]]),4)</f>
        <v>-1.0249999999999999</v>
      </c>
      <c r="BC54" s="4">
        <f>IF(AND((TABLE1[[#This Row],[Back to BE]])=TRUE,(TABLE1[[#This Row],[Price Behaviour]])="Fast Reversal"), 0-(TABLE1[[#This Row],[Missed RRR on Entry]]),ROUND((TABLE1[[#This Row],[Exit Price]]-TABLE1[[#This Row],[Entry Price]])/(TABLE1[[#This Row],[Intended Entry]]-TABLE1[[#This Row],[SL Price]]),4))</f>
        <v>-1.0249999999999999</v>
      </c>
      <c r="BD54" s="4">
        <f>IF(AND((TABLE1[[#This Row],[Hard RRR Potential]])&gt;=1,(TABLE1[[#This Row],[Back to BE]])="True",(TABLE1[[#This Row],[Price Behaviour]])="Fast Reversal"), 1-(TABLE1[[#This Row],[Missed RRR on Entry]]),ROUND((TABLE1[[#This Row],[Exit Price]]-TABLE1[[#This Row],[Entry Price]])/(TABLE1[[#This Row],[Intended Entry]]-TABLE1[[#This Row],[SL Price]]),4))</f>
        <v>-1.0249999999999999</v>
      </c>
      <c r="BE54" s="4">
        <f>IF(AND((TABLE1[[#This Row],[Hard RRR Potential]])&gt;=1.5,(TABLE1[[#This Row],[Back to BE]])="True",(TABLE1[[#This Row],[Price Behaviour]])="Fast Reversal"), 1.5-(TABLE1[[#This Row],[Missed RRR on Entry]]),ROUND((TABLE1[[#This Row],[Exit Price]]-TABLE1[[#This Row],[Entry Price]])/(TABLE1[[#This Row],[Intended Entry]]-TABLE1[[#This Row],[SL Price]]),4))</f>
        <v>-1.0249999999999999</v>
      </c>
      <c r="BF54" s="4">
        <f>IF(AND((TABLE1[[#This Row],[Hard RRR Potential]])&gt;=2,(TABLE1[[#This Row],[Back to BE]])="True",(TABLE1[[#This Row],[Price Behaviour]])="Fast Reversal"), 2-(TABLE1[[#This Row],[Missed RRR on Entry]]),ROUND((TABLE1[[#This Row],[Exit Price]]-TABLE1[[#This Row],[Entry Price]])/(TABLE1[[#This Row],[Intended Entry]]-TABLE1[[#This Row],[SL Price]]),4))</f>
        <v>-1.0249999999999999</v>
      </c>
      <c r="BG54" s="48">
        <f>IF((TABLE1[[#This Row],[Pattern SL]])&lt;&gt;FALSE,((TABLE1[[#This Row],[Pattern SL]])-(TABLE1[[#This Row],[Entry Price]]))/((TABLE1[[#This Row],[Intended Entry]])-(TABLE1[[#This Row],[SL Price]])),ROUND((TABLE1[[#This Row],[Exit Price]]-TABLE1[[#This Row],[Entry Price]])/(TABLE1[[#This Row],[Intended Entry]]-TABLE1[[#This Row],[SL Price]]),4))</f>
        <v>-1.0249999999999999</v>
      </c>
      <c r="BH5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-1.0249999999999999</v>
      </c>
      <c r="BI54"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-1.0249999999999999</v>
      </c>
      <c r="BJ54" s="21">
        <f>IF( TABLE1[[#This Row],[Wick Exit]]&lt;&gt; FALSE,TABLE1[[#This Row],[RRR Wick Exit]],IF(TABLE1[[#This Row],[Volume Exit]]&lt;&gt; FALSE,TABLE1[[#This Row],[RRR Volume Exit]],TABLE1[[#This Row],[RRR Realized]]))</f>
        <v>-1.0249999999999999</v>
      </c>
      <c r="BK5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-1.0249999999999999</v>
      </c>
      <c r="BL54" s="4">
        <f>IF(OR(AND(TABLE1[[#This Row],[Hard RRR Potential]]&gt;=2.5,TABLE1[[#This Row],[Volume Exit]]=FALSE,TABLE1[[#This Row],[Wick Exit]]=FALSE),AND(TABLE1[[#This Row],[Hard RRR Potential]]&gt;=2.5,TABLE1[[#This Row],[Volume Exit RRR Reach]]&gt;=2.5,TABLE1[[#This Row],[Wick Exit]]=FALSE)), 2.5-TABLE1[[#This Row],[Missed RRR on Entry]],TABLE1[[#This Row],[RRR Realized]])</f>
        <v>-1.0249999999999999</v>
      </c>
      <c r="BM54" s="4">
        <f>IF(OR(AND(TABLE1[[#This Row],[Hard RRR Potential]]&gt;=3,TABLE1[[#This Row],[Volume Exit]]=FALSE,TABLE1[[#This Row],[Wick Exit]]=FALSE),AND(TABLE1[[#This Row],[Hard RRR Potential]]&gt;=3,TABLE1[[#This Row],[Volume Exit RRR Reach]]&gt;=3,TABLE1[[#This Row],[Wick Exit]]=FALSE)), 3-TABLE1[[#This Row],[Missed RRR on Entry]],TABLE1[[#This Row],[RRR Realized]])</f>
        <v>-1.0249999999999999</v>
      </c>
    </row>
    <row r="55" spans="1:65" x14ac:dyDescent="0.45">
      <c r="A55" t="s">
        <v>270</v>
      </c>
      <c r="B55">
        <v>54</v>
      </c>
      <c r="C55" s="2">
        <v>43602</v>
      </c>
      <c r="D55" s="1">
        <v>0.45416666666666666</v>
      </c>
      <c r="E55" s="1">
        <v>0.47361111111111115</v>
      </c>
      <c r="F55" s="4">
        <f>7.14+7.38</f>
        <v>14.52</v>
      </c>
      <c r="G55" s="4">
        <f>-211.45+14.52</f>
        <v>-196.92999999999998</v>
      </c>
      <c r="H55" s="15">
        <v>1428</v>
      </c>
      <c r="I55" t="s">
        <v>18</v>
      </c>
      <c r="J55" t="s">
        <v>21</v>
      </c>
      <c r="K55">
        <v>2.4500000000000002</v>
      </c>
      <c r="L55">
        <v>2.4489999999999998</v>
      </c>
      <c r="M55">
        <v>2.31</v>
      </c>
      <c r="N55">
        <v>2.3119999999999998</v>
      </c>
      <c r="O55">
        <v>2.5499999999999998</v>
      </c>
      <c r="P55">
        <v>2.3119999999999998</v>
      </c>
      <c r="Q55">
        <v>2.5499999999999998</v>
      </c>
      <c r="R55">
        <v>2.5499999999999998</v>
      </c>
      <c r="S55" t="b">
        <v>0</v>
      </c>
      <c r="T55" t="b">
        <v>0</v>
      </c>
      <c r="U55" t="b">
        <v>0</v>
      </c>
      <c r="V55" t="b">
        <v>0</v>
      </c>
      <c r="W55" t="b">
        <v>0</v>
      </c>
      <c r="Z55">
        <v>2.4300000000000002</v>
      </c>
      <c r="AA55" t="b">
        <v>0</v>
      </c>
      <c r="AB55" t="s">
        <v>24</v>
      </c>
      <c r="AC55" t="s">
        <v>30</v>
      </c>
      <c r="AD55" t="s">
        <v>33</v>
      </c>
      <c r="AE55">
        <v>118</v>
      </c>
      <c r="AG55">
        <v>1</v>
      </c>
      <c r="AH55" t="b">
        <v>0</v>
      </c>
      <c r="AI55">
        <v>2.23</v>
      </c>
      <c r="AJ55" t="s">
        <v>137</v>
      </c>
      <c r="AK55" t="s">
        <v>181</v>
      </c>
      <c r="AL55">
        <v>14.4</v>
      </c>
      <c r="AM55">
        <v>0.85</v>
      </c>
      <c r="AN55">
        <v>0.3</v>
      </c>
      <c r="AO55" s="22" t="s">
        <v>274</v>
      </c>
      <c r="AP55" s="4">
        <f>IF(TABLE1[[#This Row],[Buy/Sell]]="BUY",(TABLE1[[#This Row],[Highest Price]]-TABLE1[[#This Row],[Entry Price]])/(TABLE1[[#This Row],[Intended Entry]]-TABLE1[[#This Row],[SL Price]]),(TABLE1[[#This Row],[Entry Price]]-TABLE1[[#This Row],[Lowest Price]])/(TABLE1[[#This Row],[SL Price]]-TABLE1[[#This Row],[Intended Entry]]))</f>
        <v>0.72142857142857064</v>
      </c>
      <c r="AQ55" s="19">
        <f>IF(TABLE1[[#This Row],[Buy/Sell]]="BUY",(TABLE1[[#This Row],[Entry Price]]-TABLE1[[#This Row],[Lowest Price]])/(TABLE1[[#This Row],[SL Price]]-TABLE1[[#This Row],[Intended Entry]]),(TABLE1[[#This Row],[Entry Price]]-TABLE1[[#This Row],[Highest Price]])/(TABLE1[[#This Row],[SL Price]]-TABLE1[[#This Row],[Intended Entry]]))</f>
        <v>-0.97857142857142776</v>
      </c>
      <c r="AR55" s="4" t="str">
        <f>IF(AND(TABLE1[[#This Row],[RRR Realized]]&lt;0.5,TABLE1[[#This Row],[RRR Realized]]&gt;-0.6),"BE",IF(TABLE1[[#This Row],[Gain/Loss]]&lt;0, "LOSER", "WINNER"))</f>
        <v>LOSER</v>
      </c>
      <c r="AS55" s="4">
        <f>TABLE1[[#This Row],[Gain/Loss]]-TABLE1[[#This Row],[Comissions]]</f>
        <v>-211.45</v>
      </c>
      <c r="AT55" s="3">
        <f>TABLE1[[#This Row],[Exit Time]]-TABLE1[[#This Row],[Entry Time]]</f>
        <v>1.9444444444444486E-2</v>
      </c>
      <c r="AU55" s="4">
        <f>TABLE1[[#This Row],[Net Gain/Loss]]+AU54</f>
        <v>2020.4588999999994</v>
      </c>
      <c r="AV55" s="4">
        <f>IF(TABLE1[[#This Row],[Potential Price Before BE]]=FALSE,"FALSE",( TABLE1[[#This Row],[Potential Price Before BE]]-TABLE1[[#This Row],[Intended Entry]])/(TABLE1[[#This Row],[Intended Entry]]-TABLE1[[#This Row],[SL Price]]))</f>
        <v>0.71428571428571108</v>
      </c>
      <c r="AW55" s="4">
        <f>(IF(TABLE1[[#This Row],[Buy/Sell]]="BUY",(TABLE1[[#This Row],[Entry Price]]-TABLE1[[#This Row],[SL Price]])/(TABLE1[[#This Row],[Intended Entry]]-TABLE1[[#This Row],[SL Price]]),(TABLE1[[#This Row],[SL Price]]-TABLE1[[#This Row],[Entry Price]])/(TABLE1[[#This Row],[SL Price]]-TABLE1[[#This Row],[Intended Entry]])))-1</f>
        <v>-7.14285714285956E-3</v>
      </c>
      <c r="AX55" s="19">
        <f>TABLE1[[#This Row],[Missed RRR on Entry]]</f>
        <v>-7.14285714285956E-3</v>
      </c>
      <c r="AY55" s="19">
        <f>ROUND((TABLE1[[#This Row],[Potential Price]]-TABLE1[[#This Row],[Entry Price]])/(TABLE1[[#This Row],[Intended Entry]]-TABLE1[[#This Row],[SL Price]]),4)</f>
        <v>0.72140000000000004</v>
      </c>
      <c r="AZ55" s="19">
        <f>ROUND((TABLE1[[#This Row],[Potential Price]]-TABLE1[[#This Row],[Intended Entry]])/(TABLE1[[#This Row],[Intended Entry]]-TABLE1[[#This Row],[SL Price]]),4)</f>
        <v>0.71430000000000005</v>
      </c>
      <c r="BA55" s="19">
        <f>TABLE1[[#This Row],[RRR Potential]]-TABLE1[[#This Row],[RRR Realized]]</f>
        <v>1.7000000000000002</v>
      </c>
      <c r="BB55" s="25">
        <f>ROUND((TABLE1[[#This Row],[Exit Price]]-TABLE1[[#This Row],[Entry Price]])/(TABLE1[[#This Row],[Intended Entry]]-TABLE1[[#This Row],[SL Price]]),4)</f>
        <v>-0.97860000000000003</v>
      </c>
      <c r="BC55" s="4">
        <f>IF(AND((TABLE1[[#This Row],[Back to BE]])=TRUE,(TABLE1[[#This Row],[Price Behaviour]])="Fast Reversal"), 0-(TABLE1[[#This Row],[Missed RRR on Entry]]),ROUND((TABLE1[[#This Row],[Exit Price]]-TABLE1[[#This Row],[Entry Price]])/(TABLE1[[#This Row],[Intended Entry]]-TABLE1[[#This Row],[SL Price]]),4))</f>
        <v>-0.97860000000000003</v>
      </c>
      <c r="BD55" s="4">
        <f>IF(AND((TABLE1[[#This Row],[Hard RRR Potential]])&gt;=1,(TABLE1[[#This Row],[Back to BE]])="True",(TABLE1[[#This Row],[Price Behaviour]])="Fast Reversal"), 1-(TABLE1[[#This Row],[Missed RRR on Entry]]),ROUND((TABLE1[[#This Row],[Exit Price]]-TABLE1[[#This Row],[Entry Price]])/(TABLE1[[#This Row],[Intended Entry]]-TABLE1[[#This Row],[SL Price]]),4))</f>
        <v>-0.97860000000000003</v>
      </c>
      <c r="BE55" s="4">
        <f>IF(AND((TABLE1[[#This Row],[Hard RRR Potential]])&gt;=1.5,(TABLE1[[#This Row],[Back to BE]])="True",(TABLE1[[#This Row],[Price Behaviour]])="Fast Reversal"), 1.5-(TABLE1[[#This Row],[Missed RRR on Entry]]),ROUND((TABLE1[[#This Row],[Exit Price]]-TABLE1[[#This Row],[Entry Price]])/(TABLE1[[#This Row],[Intended Entry]]-TABLE1[[#This Row],[SL Price]]),4))</f>
        <v>-0.97860000000000003</v>
      </c>
      <c r="BF55" s="4">
        <f>IF(AND((TABLE1[[#This Row],[Hard RRR Potential]])&gt;=2,(TABLE1[[#This Row],[Back to BE]])="True",(TABLE1[[#This Row],[Price Behaviour]])="Fast Reversal"), 2-(TABLE1[[#This Row],[Missed RRR on Entry]]),ROUND((TABLE1[[#This Row],[Exit Price]]-TABLE1[[#This Row],[Entry Price]])/(TABLE1[[#This Row],[Intended Entry]]-TABLE1[[#This Row],[SL Price]]),4))</f>
        <v>-0.97860000000000003</v>
      </c>
      <c r="BG55" s="48">
        <f>IF((TABLE1[[#This Row],[Pattern SL]])&lt;&gt;FALSE,((TABLE1[[#This Row],[Pattern SL]])-(TABLE1[[#This Row],[Entry Price]]))/((TABLE1[[#This Row],[Intended Entry]])-(TABLE1[[#This Row],[SL Price]])),ROUND((TABLE1[[#This Row],[Exit Price]]-TABLE1[[#This Row],[Entry Price]])/(TABLE1[[#This Row],[Intended Entry]]-TABLE1[[#This Row],[SL Price]]),4))</f>
        <v>-0.97860000000000003</v>
      </c>
      <c r="BH5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-0.97860000000000003</v>
      </c>
      <c r="BI55"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-0.97860000000000003</v>
      </c>
      <c r="BJ55" s="21">
        <f>IF( TABLE1[[#This Row],[Wick Exit]]&lt;&gt; FALSE,TABLE1[[#This Row],[RRR Wick Exit]],IF(TABLE1[[#This Row],[Volume Exit]]&lt;&gt; FALSE,TABLE1[[#This Row],[RRR Volume Exit]],TABLE1[[#This Row],[RRR Realized]]))</f>
        <v>-0.97860000000000003</v>
      </c>
      <c r="BK5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-0.13571428571428334</v>
      </c>
      <c r="BL55" s="4">
        <f>IF(OR(AND(TABLE1[[#This Row],[Hard RRR Potential]]&gt;=2.5,TABLE1[[#This Row],[Volume Exit]]=FALSE,TABLE1[[#This Row],[Wick Exit]]=FALSE),AND(TABLE1[[#This Row],[Hard RRR Potential]]&gt;=2.5,TABLE1[[#This Row],[Volume Exit RRR Reach]]&gt;=2.5,TABLE1[[#This Row],[Wick Exit]]=FALSE)), 2.5-TABLE1[[#This Row],[Missed RRR on Entry]],TABLE1[[#This Row],[RRR Realized]])</f>
        <v>-0.97860000000000003</v>
      </c>
      <c r="BM55" s="4">
        <f>IF(OR(AND(TABLE1[[#This Row],[Hard RRR Potential]]&gt;=3,TABLE1[[#This Row],[Volume Exit]]=FALSE,TABLE1[[#This Row],[Wick Exit]]=FALSE),AND(TABLE1[[#This Row],[Hard RRR Potential]]&gt;=3,TABLE1[[#This Row],[Volume Exit RRR Reach]]&gt;=3,TABLE1[[#This Row],[Wick Exit]]=FALSE)), 3-TABLE1[[#This Row],[Missed RRR on Entry]],TABLE1[[#This Row],[RRR Realized]])</f>
        <v>-0.97860000000000003</v>
      </c>
    </row>
    <row r="56" spans="1:65" x14ac:dyDescent="0.45">
      <c r="A56" t="s">
        <v>279</v>
      </c>
      <c r="B56">
        <v>56</v>
      </c>
      <c r="C56" s="2">
        <v>43605</v>
      </c>
      <c r="D56" s="1">
        <v>0.40625</v>
      </c>
      <c r="E56" s="1">
        <v>0.40972222222222227</v>
      </c>
      <c r="F56" s="4">
        <v>3.13</v>
      </c>
      <c r="G56" s="4">
        <f>-330.13+3.13</f>
        <v>-327</v>
      </c>
      <c r="H56" s="15">
        <v>500</v>
      </c>
      <c r="I56" t="s">
        <v>18</v>
      </c>
      <c r="J56" t="s">
        <v>21</v>
      </c>
      <c r="K56">
        <v>7.75</v>
      </c>
      <c r="L56">
        <v>7.78</v>
      </c>
      <c r="M56">
        <v>7.15</v>
      </c>
      <c r="N56">
        <v>7.13</v>
      </c>
      <c r="O56">
        <v>7.88</v>
      </c>
      <c r="P56">
        <v>7.13</v>
      </c>
      <c r="Q56">
        <v>7.88</v>
      </c>
      <c r="R56">
        <v>7.88</v>
      </c>
      <c r="S56" t="b">
        <v>0</v>
      </c>
      <c r="T56" t="b">
        <v>0</v>
      </c>
      <c r="U56" t="b">
        <v>0</v>
      </c>
      <c r="V56" t="b">
        <v>0</v>
      </c>
      <c r="W56" t="b">
        <v>0</v>
      </c>
      <c r="Z56" t="b">
        <v>0</v>
      </c>
      <c r="AA56" t="b">
        <v>0</v>
      </c>
      <c r="AB56" t="s">
        <v>24</v>
      </c>
      <c r="AC56" t="s">
        <v>31</v>
      </c>
      <c r="AD56" t="s">
        <v>33</v>
      </c>
      <c r="AE56">
        <v>270</v>
      </c>
      <c r="AG56">
        <v>1</v>
      </c>
      <c r="AH56" t="b">
        <v>0</v>
      </c>
      <c r="AI56">
        <v>7.55</v>
      </c>
      <c r="AJ56" t="s">
        <v>135</v>
      </c>
      <c r="AK56" t="s">
        <v>181</v>
      </c>
      <c r="AL56">
        <v>1.38</v>
      </c>
      <c r="AM56">
        <v>0.23</v>
      </c>
      <c r="AN56">
        <v>2</v>
      </c>
      <c r="AO56" s="22" t="s">
        <v>287</v>
      </c>
      <c r="AP56" s="4">
        <f>IF(TABLE1[[#This Row],[Buy/Sell]]="BUY",(TABLE1[[#This Row],[Highest Price]]-TABLE1[[#This Row],[Entry Price]])/(TABLE1[[#This Row],[Intended Entry]]-TABLE1[[#This Row],[SL Price]]),(TABLE1[[#This Row],[Entry Price]]-TABLE1[[#This Row],[Lowest Price]])/(TABLE1[[#This Row],[SL Price]]-TABLE1[[#This Row],[Intended Entry]]))</f>
        <v>0.16666666666666619</v>
      </c>
      <c r="AQ56" s="19">
        <f>IF(TABLE1[[#This Row],[Buy/Sell]]="BUY",(TABLE1[[#This Row],[Entry Price]]-TABLE1[[#This Row],[Lowest Price]])/(TABLE1[[#This Row],[SL Price]]-TABLE1[[#This Row],[Intended Entry]]),(TABLE1[[#This Row],[Entry Price]]-TABLE1[[#This Row],[Highest Price]])/(TABLE1[[#This Row],[SL Price]]-TABLE1[[#This Row],[Intended Entry]]))</f>
        <v>-1.0833333333333346</v>
      </c>
      <c r="AR56" s="4" t="str">
        <f>IF(AND(TABLE1[[#This Row],[RRR Realized]]&lt;0.5,TABLE1[[#This Row],[RRR Realized]]&gt;-0.6),"BE",IF(TABLE1[[#This Row],[Gain/Loss]]&lt;0, "LOSER", "WINNER"))</f>
        <v>LOSER</v>
      </c>
      <c r="AS56" s="4">
        <f>TABLE1[[#This Row],[Gain/Loss]]-TABLE1[[#This Row],[Comissions]]</f>
        <v>-330.13</v>
      </c>
      <c r="AT56" s="3">
        <f>TABLE1[[#This Row],[Exit Time]]-TABLE1[[#This Row],[Entry Time]]</f>
        <v>3.4722222222222654E-3</v>
      </c>
      <c r="AU56" s="4">
        <f>TABLE1[[#This Row],[Net Gain/Loss]]+AU55</f>
        <v>1690.3288999999995</v>
      </c>
      <c r="AV56" s="4">
        <f>IF(TABLE1[[#This Row],[Potential Price Before BE]]=FALSE,"FALSE",( TABLE1[[#This Row],[Potential Price Before BE]]-TABLE1[[#This Row],[Intended Entry]])/(TABLE1[[#This Row],[Intended Entry]]-TABLE1[[#This Row],[SL Price]]))</f>
        <v>0.21666666666666662</v>
      </c>
      <c r="AW56" s="4">
        <f>(IF(TABLE1[[#This Row],[Buy/Sell]]="BUY",(TABLE1[[#This Row],[Entry Price]]-TABLE1[[#This Row],[SL Price]])/(TABLE1[[#This Row],[Intended Entry]]-TABLE1[[#This Row],[SL Price]]),(TABLE1[[#This Row],[SL Price]]-TABLE1[[#This Row],[Entry Price]])/(TABLE1[[#This Row],[SL Price]]-TABLE1[[#This Row],[Intended Entry]])))-1</f>
        <v>5.0000000000000488E-2</v>
      </c>
      <c r="AX56" s="19">
        <f>TABLE1[[#This Row],[Missed RRR on Entry]]</f>
        <v>5.0000000000000488E-2</v>
      </c>
      <c r="AY56" s="19">
        <f>ROUND((TABLE1[[#This Row],[Potential Price]]-TABLE1[[#This Row],[Entry Price]])/(TABLE1[[#This Row],[Intended Entry]]-TABLE1[[#This Row],[SL Price]]),4)</f>
        <v>0.16669999999999999</v>
      </c>
      <c r="AZ56" s="19">
        <f>ROUND((TABLE1[[#This Row],[Potential Price]]-TABLE1[[#This Row],[Intended Entry]])/(TABLE1[[#This Row],[Intended Entry]]-TABLE1[[#This Row],[SL Price]]),4)</f>
        <v>0.2167</v>
      </c>
      <c r="BA56" s="19">
        <f>TABLE1[[#This Row],[RRR Potential]]-TABLE1[[#This Row],[RRR Realized]]</f>
        <v>1.25</v>
      </c>
      <c r="BB56" s="25">
        <f>ROUND((TABLE1[[#This Row],[Exit Price]]-TABLE1[[#This Row],[Entry Price]])/(TABLE1[[#This Row],[Intended Entry]]-TABLE1[[#This Row],[SL Price]]),4)</f>
        <v>-1.0832999999999999</v>
      </c>
      <c r="BC56" s="4">
        <f>IF(AND((TABLE1[[#This Row],[Back to BE]])=TRUE,(TABLE1[[#This Row],[Price Behaviour]])="Fast Reversal"), 0-(TABLE1[[#This Row],[Missed RRR on Entry]]),ROUND((TABLE1[[#This Row],[Exit Price]]-TABLE1[[#This Row],[Entry Price]])/(TABLE1[[#This Row],[Intended Entry]]-TABLE1[[#This Row],[SL Price]]),4))</f>
        <v>-1.0832999999999999</v>
      </c>
      <c r="BD56" s="4">
        <f>IF(AND((TABLE1[[#This Row],[Hard RRR Potential]])&gt;=1,(TABLE1[[#This Row],[Back to BE]])="True",(TABLE1[[#This Row],[Price Behaviour]])="Fast Reversal"), 1-(TABLE1[[#This Row],[Missed RRR on Entry]]),ROUND((TABLE1[[#This Row],[Exit Price]]-TABLE1[[#This Row],[Entry Price]])/(TABLE1[[#This Row],[Intended Entry]]-TABLE1[[#This Row],[SL Price]]),4))</f>
        <v>-1.0832999999999999</v>
      </c>
      <c r="BE56" s="4">
        <f>IF(AND((TABLE1[[#This Row],[Hard RRR Potential]])&gt;=1.5,(TABLE1[[#This Row],[Back to BE]])="True",(TABLE1[[#This Row],[Price Behaviour]])="Fast Reversal"), 1.5-(TABLE1[[#This Row],[Missed RRR on Entry]]),ROUND((TABLE1[[#This Row],[Exit Price]]-TABLE1[[#This Row],[Entry Price]])/(TABLE1[[#This Row],[Intended Entry]]-TABLE1[[#This Row],[SL Price]]),4))</f>
        <v>-1.0832999999999999</v>
      </c>
      <c r="BF56" s="4">
        <f>IF(AND((TABLE1[[#This Row],[Hard RRR Potential]])&gt;=2,(TABLE1[[#This Row],[Back to BE]])="True",(TABLE1[[#This Row],[Price Behaviour]])="Fast Reversal"), 2-(TABLE1[[#This Row],[Missed RRR on Entry]]),ROUND((TABLE1[[#This Row],[Exit Price]]-TABLE1[[#This Row],[Entry Price]])/(TABLE1[[#This Row],[Intended Entry]]-TABLE1[[#This Row],[SL Price]]),4))</f>
        <v>-1.0832999999999999</v>
      </c>
      <c r="BG56" s="48">
        <f>IF((TABLE1[[#This Row],[Pattern SL]])&lt;&gt;FALSE,((TABLE1[[#This Row],[Pattern SL]])-(TABLE1[[#This Row],[Entry Price]]))/((TABLE1[[#This Row],[Intended Entry]])-(TABLE1[[#This Row],[SL Price]])),ROUND((TABLE1[[#This Row],[Exit Price]]-TABLE1[[#This Row],[Entry Price]])/(TABLE1[[#This Row],[Intended Entry]]-TABLE1[[#This Row],[SL Price]]),4))</f>
        <v>-1.0832999999999999</v>
      </c>
      <c r="BH5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-1.0832999999999999</v>
      </c>
      <c r="BI56"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-1.0832999999999999</v>
      </c>
      <c r="BJ56" s="21">
        <f>IF( TABLE1[[#This Row],[Wick Exit]]&lt;&gt; FALSE,TABLE1[[#This Row],[RRR Wick Exit]],IF(TABLE1[[#This Row],[Volume Exit]]&lt;&gt; FALSE,TABLE1[[#This Row],[RRR Volume Exit]],TABLE1[[#This Row],[RRR Realized]]))</f>
        <v>-1.0832999999999999</v>
      </c>
      <c r="BK56"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-1.0832999999999999</v>
      </c>
      <c r="BL56" s="4">
        <f>IF(OR(AND(TABLE1[[#This Row],[Hard RRR Potential]]&gt;=2.5,TABLE1[[#This Row],[Volume Exit]]=FALSE,TABLE1[[#This Row],[Wick Exit]]=FALSE),AND(TABLE1[[#This Row],[Hard RRR Potential]]&gt;=2.5,TABLE1[[#This Row],[Volume Exit RRR Reach]]&gt;=2.5,TABLE1[[#This Row],[Wick Exit]]=FALSE)), 2.5-TABLE1[[#This Row],[Missed RRR on Entry]],TABLE1[[#This Row],[RRR Realized]])</f>
        <v>-1.0832999999999999</v>
      </c>
      <c r="BM56" s="4">
        <f>IF(OR(AND(TABLE1[[#This Row],[Hard RRR Potential]]&gt;=3,TABLE1[[#This Row],[Volume Exit]]=FALSE,TABLE1[[#This Row],[Wick Exit]]=FALSE),AND(TABLE1[[#This Row],[Hard RRR Potential]]&gt;=3,TABLE1[[#This Row],[Volume Exit RRR Reach]]&gt;=3,TABLE1[[#This Row],[Wick Exit]]=FALSE)), 3-TABLE1[[#This Row],[Missed RRR on Entry]],TABLE1[[#This Row],[RRR Realized]])</f>
        <v>-1.0832999999999999</v>
      </c>
    </row>
    <row r="57" spans="1:65" x14ac:dyDescent="0.45">
      <c r="A57" t="s">
        <v>279</v>
      </c>
      <c r="B57">
        <v>57</v>
      </c>
      <c r="C57" s="2">
        <v>43605</v>
      </c>
      <c r="D57" s="1">
        <v>0.4145833333333333</v>
      </c>
      <c r="E57" s="1">
        <v>0.41736111111111113</v>
      </c>
      <c r="F57" s="4">
        <v>3.13</v>
      </c>
      <c r="G57" s="4">
        <f>-334.53+3.13</f>
        <v>-331.4</v>
      </c>
      <c r="H57" s="15">
        <v>500</v>
      </c>
      <c r="I57" t="s">
        <v>18</v>
      </c>
      <c r="J57" t="s">
        <v>21</v>
      </c>
      <c r="K57">
        <v>7.7</v>
      </c>
      <c r="L57">
        <v>7.79</v>
      </c>
      <c r="M57">
        <v>7.17</v>
      </c>
      <c r="N57">
        <v>7.1319999999999997</v>
      </c>
      <c r="O57">
        <v>8.15</v>
      </c>
      <c r="P57">
        <v>7.1319999999999997</v>
      </c>
      <c r="Q57">
        <v>8.15</v>
      </c>
      <c r="R57">
        <v>8.15</v>
      </c>
      <c r="S57" t="b">
        <v>0</v>
      </c>
      <c r="T57" t="b">
        <v>0</v>
      </c>
      <c r="U57" t="b">
        <v>0</v>
      </c>
      <c r="V57" t="b">
        <v>0</v>
      </c>
      <c r="W57" t="b">
        <v>0</v>
      </c>
      <c r="Z57" t="b">
        <v>0</v>
      </c>
      <c r="AA57" t="b">
        <v>0</v>
      </c>
      <c r="AB57" t="s">
        <v>24</v>
      </c>
      <c r="AC57" t="s">
        <v>31</v>
      </c>
      <c r="AD57" t="s">
        <v>33</v>
      </c>
      <c r="AE57">
        <v>270</v>
      </c>
      <c r="AG57">
        <v>1</v>
      </c>
      <c r="AH57" t="s">
        <v>18</v>
      </c>
      <c r="AI57">
        <v>7.55</v>
      </c>
      <c r="AJ57" t="s">
        <v>135</v>
      </c>
      <c r="AK57" t="s">
        <v>167</v>
      </c>
      <c r="AL57">
        <v>1.38</v>
      </c>
      <c r="AM57">
        <v>0.23</v>
      </c>
      <c r="AN57">
        <v>2</v>
      </c>
      <c r="AO57" s="22" t="s">
        <v>287</v>
      </c>
      <c r="AP57" s="4">
        <f>IF(TABLE1[[#This Row],[Buy/Sell]]="BUY",(TABLE1[[#This Row],[Highest Price]]-TABLE1[[#This Row],[Entry Price]])/(TABLE1[[#This Row],[Intended Entry]]-TABLE1[[#This Row],[SL Price]]),(TABLE1[[#This Row],[Entry Price]]-TABLE1[[#This Row],[Lowest Price]])/(TABLE1[[#This Row],[SL Price]]-TABLE1[[#This Row],[Intended Entry]]))</f>
        <v>0.67924528301886822</v>
      </c>
      <c r="AQ57" s="19">
        <f>IF(TABLE1[[#This Row],[Buy/Sell]]="BUY",(TABLE1[[#This Row],[Entry Price]]-TABLE1[[#This Row],[Lowest Price]])/(TABLE1[[#This Row],[SL Price]]-TABLE1[[#This Row],[Intended Entry]]),(TABLE1[[#This Row],[Entry Price]]-TABLE1[[#This Row],[Highest Price]])/(TABLE1[[#This Row],[SL Price]]-TABLE1[[#This Row],[Intended Entry]]))</f>
        <v>-1.2415094339622643</v>
      </c>
      <c r="AR57" s="4" t="str">
        <f>IF(AND(TABLE1[[#This Row],[RRR Realized]]&lt;0.5,TABLE1[[#This Row],[RRR Realized]]&gt;-0.6),"BE",IF(TABLE1[[#This Row],[Gain/Loss]]&lt;0, "LOSER", "WINNER"))</f>
        <v>LOSER</v>
      </c>
      <c r="AS57" s="4">
        <f>TABLE1[[#This Row],[Gain/Loss]]-TABLE1[[#This Row],[Comissions]]</f>
        <v>-334.53</v>
      </c>
      <c r="AT57" s="3">
        <f>TABLE1[[#This Row],[Exit Time]]-TABLE1[[#This Row],[Entry Time]]</f>
        <v>2.7777777777778234E-3</v>
      </c>
      <c r="AU57" s="4">
        <f>TABLE1[[#This Row],[Net Gain/Loss]]+AU56</f>
        <v>1355.7988999999995</v>
      </c>
      <c r="AV57" s="4">
        <f>IF(TABLE1[[#This Row],[Potential Price Before BE]]=FALSE,"FALSE",( TABLE1[[#This Row],[Potential Price Before BE]]-TABLE1[[#This Row],[Intended Entry]])/(TABLE1[[#This Row],[Intended Entry]]-TABLE1[[#This Row],[SL Price]]))</f>
        <v>0.84905660377358483</v>
      </c>
      <c r="AW57" s="4">
        <f>(IF(TABLE1[[#This Row],[Buy/Sell]]="BUY",(TABLE1[[#This Row],[Entry Price]]-TABLE1[[#This Row],[SL Price]])/(TABLE1[[#This Row],[Intended Entry]]-TABLE1[[#This Row],[SL Price]]),(TABLE1[[#This Row],[SL Price]]-TABLE1[[#This Row],[Entry Price]])/(TABLE1[[#This Row],[SL Price]]-TABLE1[[#This Row],[Intended Entry]])))-1</f>
        <v>0.16981132075471672</v>
      </c>
      <c r="AX57" s="19">
        <f>TABLE1[[#This Row],[Missed RRR on Entry]]</f>
        <v>0.16981132075471672</v>
      </c>
      <c r="AY57" s="19">
        <f>ROUND((TABLE1[[#This Row],[Potential Price]]-TABLE1[[#This Row],[Entry Price]])/(TABLE1[[#This Row],[Intended Entry]]-TABLE1[[#This Row],[SL Price]]),4)</f>
        <v>0.67920000000000003</v>
      </c>
      <c r="AZ57" s="19">
        <f>ROUND((TABLE1[[#This Row],[Potential Price]]-TABLE1[[#This Row],[Intended Entry]])/(TABLE1[[#This Row],[Intended Entry]]-TABLE1[[#This Row],[SL Price]]),4)</f>
        <v>0.84909999999999997</v>
      </c>
      <c r="BA57" s="19">
        <f>TABLE1[[#This Row],[RRR Potential]]-TABLE1[[#This Row],[RRR Realized]]</f>
        <v>1.9207000000000001</v>
      </c>
      <c r="BB57" s="25">
        <f>ROUND((TABLE1[[#This Row],[Exit Price]]-TABLE1[[#This Row],[Entry Price]])/(TABLE1[[#This Row],[Intended Entry]]-TABLE1[[#This Row],[SL Price]]),4)</f>
        <v>-1.2415</v>
      </c>
      <c r="BC57" s="4">
        <f>IF(AND((TABLE1[[#This Row],[Back to BE]])=TRUE,(TABLE1[[#This Row],[Price Behaviour]])="Fast Reversal"), 0-(TABLE1[[#This Row],[Missed RRR on Entry]]),ROUND((TABLE1[[#This Row],[Exit Price]]-TABLE1[[#This Row],[Entry Price]])/(TABLE1[[#This Row],[Intended Entry]]-TABLE1[[#This Row],[SL Price]]),4))</f>
        <v>-1.2415</v>
      </c>
      <c r="BD57" s="4">
        <f>IF(AND((TABLE1[[#This Row],[Hard RRR Potential]])&gt;=1,(TABLE1[[#This Row],[Back to BE]])="True",(TABLE1[[#This Row],[Price Behaviour]])="Fast Reversal"), 1-(TABLE1[[#This Row],[Missed RRR on Entry]]),ROUND((TABLE1[[#This Row],[Exit Price]]-TABLE1[[#This Row],[Entry Price]])/(TABLE1[[#This Row],[Intended Entry]]-TABLE1[[#This Row],[SL Price]]),4))</f>
        <v>-1.2415</v>
      </c>
      <c r="BE57" s="4">
        <f>IF(AND((TABLE1[[#This Row],[Hard RRR Potential]])&gt;=1.5,(TABLE1[[#This Row],[Back to BE]])="True",(TABLE1[[#This Row],[Price Behaviour]])="Fast Reversal"), 1.5-(TABLE1[[#This Row],[Missed RRR on Entry]]),ROUND((TABLE1[[#This Row],[Exit Price]]-TABLE1[[#This Row],[Entry Price]])/(TABLE1[[#This Row],[Intended Entry]]-TABLE1[[#This Row],[SL Price]]),4))</f>
        <v>-1.2415</v>
      </c>
      <c r="BF57" s="4">
        <f>IF(AND((TABLE1[[#This Row],[Hard RRR Potential]])&gt;=2,(TABLE1[[#This Row],[Back to BE]])="True",(TABLE1[[#This Row],[Price Behaviour]])="Fast Reversal"), 2-(TABLE1[[#This Row],[Missed RRR on Entry]]),ROUND((TABLE1[[#This Row],[Exit Price]]-TABLE1[[#This Row],[Entry Price]])/(TABLE1[[#This Row],[Intended Entry]]-TABLE1[[#This Row],[SL Price]]),4))</f>
        <v>-1.2415</v>
      </c>
      <c r="BG57" s="48">
        <f>IF((TABLE1[[#This Row],[Pattern SL]])&lt;&gt;FALSE,((TABLE1[[#This Row],[Pattern SL]])-(TABLE1[[#This Row],[Entry Price]]))/((TABLE1[[#This Row],[Intended Entry]])-(TABLE1[[#This Row],[SL Price]])),ROUND((TABLE1[[#This Row],[Exit Price]]-TABLE1[[#This Row],[Entry Price]])/(TABLE1[[#This Row],[Intended Entry]]-TABLE1[[#This Row],[SL Price]]),4))</f>
        <v>-1.2415</v>
      </c>
      <c r="BH5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-1.2415</v>
      </c>
      <c r="BI57"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-1.2415</v>
      </c>
      <c r="BJ57" s="21">
        <f>IF( TABLE1[[#This Row],[Wick Exit]]&lt;&gt; FALSE,TABLE1[[#This Row],[RRR Wick Exit]],IF(TABLE1[[#This Row],[Volume Exit]]&lt;&gt; FALSE,TABLE1[[#This Row],[RRR Volume Exit]],TABLE1[[#This Row],[RRR Realized]]))</f>
        <v>-1.2415</v>
      </c>
      <c r="BK57"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-1.2415</v>
      </c>
      <c r="BL57" s="4">
        <f>IF(OR(AND(TABLE1[[#This Row],[Hard RRR Potential]]&gt;=2.5,TABLE1[[#This Row],[Volume Exit]]=FALSE,TABLE1[[#This Row],[Wick Exit]]=FALSE),AND(TABLE1[[#This Row],[Hard RRR Potential]]&gt;=2.5,TABLE1[[#This Row],[Volume Exit RRR Reach]]&gt;=2.5,TABLE1[[#This Row],[Wick Exit]]=FALSE)), 2.5-TABLE1[[#This Row],[Missed RRR on Entry]],TABLE1[[#This Row],[RRR Realized]])</f>
        <v>-1.2415</v>
      </c>
      <c r="BM57" s="4">
        <f>IF(OR(AND(TABLE1[[#This Row],[Hard RRR Potential]]&gt;=3,TABLE1[[#This Row],[Volume Exit]]=FALSE,TABLE1[[#This Row],[Wick Exit]]=FALSE),AND(TABLE1[[#This Row],[Hard RRR Potential]]&gt;=3,TABLE1[[#This Row],[Volume Exit RRR Reach]]&gt;=3,TABLE1[[#This Row],[Wick Exit]]=FALSE)), 3-TABLE1[[#This Row],[Missed RRR on Entry]],TABLE1[[#This Row],[RRR Realized]])</f>
        <v>-1.2415</v>
      </c>
    </row>
    <row r="58" spans="1:65" x14ac:dyDescent="0.45">
      <c r="A58" t="s">
        <v>280</v>
      </c>
      <c r="B58">
        <v>58</v>
      </c>
      <c r="C58" s="2">
        <v>43605</v>
      </c>
      <c r="D58" s="1">
        <v>0.41597222222222219</v>
      </c>
      <c r="E58" s="1">
        <v>0.43541666666666662</v>
      </c>
      <c r="F58" s="4">
        <v>76</v>
      </c>
      <c r="G58" s="4">
        <f>-300</f>
        <v>-300</v>
      </c>
      <c r="H58" s="15">
        <v>7500</v>
      </c>
      <c r="I58" t="s">
        <v>18</v>
      </c>
      <c r="J58" t="s">
        <v>21</v>
      </c>
      <c r="K58">
        <v>1.21</v>
      </c>
      <c r="L58">
        <v>1.21</v>
      </c>
      <c r="M58">
        <v>1.17</v>
      </c>
      <c r="N58">
        <v>1.17</v>
      </c>
      <c r="O58">
        <v>1.29</v>
      </c>
      <c r="P58">
        <v>1.17</v>
      </c>
      <c r="Q58">
        <v>1.29</v>
      </c>
      <c r="R58">
        <v>1.29</v>
      </c>
      <c r="S58">
        <v>1.23</v>
      </c>
      <c r="T58" t="b">
        <v>0</v>
      </c>
      <c r="U58" t="b">
        <v>0</v>
      </c>
      <c r="W58" t="b">
        <v>0</v>
      </c>
      <c r="Z58" t="b">
        <v>0</v>
      </c>
      <c r="AA58" t="b">
        <v>0</v>
      </c>
      <c r="AB58" t="s">
        <v>27</v>
      </c>
      <c r="AC58" t="s">
        <v>28</v>
      </c>
      <c r="AD58" t="s">
        <v>33</v>
      </c>
      <c r="AE58">
        <v>45</v>
      </c>
      <c r="AG58">
        <v>1</v>
      </c>
      <c r="AH58" t="b">
        <v>0</v>
      </c>
      <c r="AI58">
        <v>1.1399999999999999</v>
      </c>
      <c r="AJ58" t="s">
        <v>135</v>
      </c>
      <c r="AK58" t="s">
        <v>257</v>
      </c>
      <c r="AL58">
        <v>18.66</v>
      </c>
      <c r="AM58">
        <v>0.23</v>
      </c>
      <c r="AN58">
        <v>4.4000000000000004</v>
      </c>
      <c r="AO58" s="22" t="s">
        <v>281</v>
      </c>
      <c r="AP58" s="4">
        <f>IF(TABLE1[[#This Row],[Buy/Sell]]="BUY",(TABLE1[[#This Row],[Highest Price]]-TABLE1[[#This Row],[Entry Price]])/(TABLE1[[#This Row],[Intended Entry]]-TABLE1[[#This Row],[SL Price]]),(TABLE1[[#This Row],[Entry Price]]-TABLE1[[#This Row],[Lowest Price]])/(TABLE1[[#This Row],[SL Price]]-TABLE1[[#This Row],[Intended Entry]]))</f>
        <v>2</v>
      </c>
      <c r="AQ58" s="19">
        <f>IF(TABLE1[[#This Row],[Buy/Sell]]="BUY",(TABLE1[[#This Row],[Entry Price]]-TABLE1[[#This Row],[Lowest Price]])/(TABLE1[[#This Row],[SL Price]]-TABLE1[[#This Row],[Intended Entry]]),(TABLE1[[#This Row],[Entry Price]]-TABLE1[[#This Row],[Highest Price]])/(TABLE1[[#This Row],[SL Price]]-TABLE1[[#This Row],[Intended Entry]]))</f>
        <v>-1</v>
      </c>
      <c r="AR58" s="4" t="str">
        <f>IF(AND(TABLE1[[#This Row],[RRR Realized]]&lt;0.5,TABLE1[[#This Row],[RRR Realized]]&gt;-0.6),"BE",IF(TABLE1[[#This Row],[Gain/Loss]]&lt;0, "LOSER", "WINNER"))</f>
        <v>LOSER</v>
      </c>
      <c r="AS58" s="4">
        <f>TABLE1[[#This Row],[Gain/Loss]]-TABLE1[[#This Row],[Comissions]]</f>
        <v>-376</v>
      </c>
      <c r="AT58" s="3">
        <f>TABLE1[[#This Row],[Exit Time]]-TABLE1[[#This Row],[Entry Time]]</f>
        <v>1.9444444444444431E-2</v>
      </c>
      <c r="AU58" s="4">
        <f>TABLE1[[#This Row],[Net Gain/Loss]]+AU57</f>
        <v>979.79889999999955</v>
      </c>
      <c r="AV58" s="4">
        <f>IF(TABLE1[[#This Row],[Potential Price Before BE]]=FALSE,"FALSE",( TABLE1[[#This Row],[Potential Price Before BE]]-TABLE1[[#This Row],[Intended Entry]])/(TABLE1[[#This Row],[Intended Entry]]-TABLE1[[#This Row],[SL Price]]))</f>
        <v>2</v>
      </c>
      <c r="AW58" s="4">
        <f>(IF(TABLE1[[#This Row],[Buy/Sell]]="BUY",(TABLE1[[#This Row],[Entry Price]]-TABLE1[[#This Row],[SL Price]])/(TABLE1[[#This Row],[Intended Entry]]-TABLE1[[#This Row],[SL Price]]),(TABLE1[[#This Row],[SL Price]]-TABLE1[[#This Row],[Entry Price]])/(TABLE1[[#This Row],[SL Price]]-TABLE1[[#This Row],[Intended Entry]])))-1</f>
        <v>0</v>
      </c>
      <c r="AX58" s="19">
        <f>TABLE1[[#This Row],[Missed RRR on Entry]]</f>
        <v>0</v>
      </c>
      <c r="AY58" s="19">
        <f>ROUND((TABLE1[[#This Row],[Potential Price]]-TABLE1[[#This Row],[Entry Price]])/(TABLE1[[#This Row],[Intended Entry]]-TABLE1[[#This Row],[SL Price]]),4)</f>
        <v>2</v>
      </c>
      <c r="AZ58" s="19">
        <f>ROUND((TABLE1[[#This Row],[Potential Price]]-TABLE1[[#This Row],[Intended Entry]])/(TABLE1[[#This Row],[Intended Entry]]-TABLE1[[#This Row],[SL Price]]),4)</f>
        <v>2</v>
      </c>
      <c r="BA58" s="19">
        <f>TABLE1[[#This Row],[RRR Potential]]-TABLE1[[#This Row],[RRR Realized]]</f>
        <v>3</v>
      </c>
      <c r="BB58" s="25">
        <f>ROUND((TABLE1[[#This Row],[Exit Price]]-TABLE1[[#This Row],[Entry Price]])/(TABLE1[[#This Row],[Intended Entry]]-TABLE1[[#This Row],[SL Price]]),4)</f>
        <v>-1</v>
      </c>
      <c r="BC58" s="4">
        <f>IF(AND((TABLE1[[#This Row],[Back to BE]])=TRUE,(TABLE1[[#This Row],[Price Behaviour]])="Fast Reversal"), 0-(TABLE1[[#This Row],[Missed RRR on Entry]]),ROUND((TABLE1[[#This Row],[Exit Price]]-TABLE1[[#This Row],[Entry Price]])/(TABLE1[[#This Row],[Intended Entry]]-TABLE1[[#This Row],[SL Price]]),4))</f>
        <v>-1</v>
      </c>
      <c r="BD58" s="4">
        <f>IF(AND((TABLE1[[#This Row],[Hard RRR Potential]])&gt;=1,(TABLE1[[#This Row],[Back to BE]])="True",(TABLE1[[#This Row],[Price Behaviour]])="Fast Reversal"), 1-(TABLE1[[#This Row],[Missed RRR on Entry]]),ROUND((TABLE1[[#This Row],[Exit Price]]-TABLE1[[#This Row],[Entry Price]])/(TABLE1[[#This Row],[Intended Entry]]-TABLE1[[#This Row],[SL Price]]),4))</f>
        <v>-1</v>
      </c>
      <c r="BE58" s="4">
        <f>IF(AND((TABLE1[[#This Row],[Hard RRR Potential]])&gt;=1.5,(TABLE1[[#This Row],[Back to BE]])="True",(TABLE1[[#This Row],[Price Behaviour]])="Fast Reversal"), 1.5-(TABLE1[[#This Row],[Missed RRR on Entry]]),ROUND((TABLE1[[#This Row],[Exit Price]]-TABLE1[[#This Row],[Entry Price]])/(TABLE1[[#This Row],[Intended Entry]]-TABLE1[[#This Row],[SL Price]]),4))</f>
        <v>-1</v>
      </c>
      <c r="BF58" s="4">
        <f>IF(AND((TABLE1[[#This Row],[Hard RRR Potential]])&gt;=2,(TABLE1[[#This Row],[Back to BE]])="True",(TABLE1[[#This Row],[Price Behaviour]])="Fast Reversal"), 2-(TABLE1[[#This Row],[Missed RRR on Entry]]),ROUND((TABLE1[[#This Row],[Exit Price]]-TABLE1[[#This Row],[Entry Price]])/(TABLE1[[#This Row],[Intended Entry]]-TABLE1[[#This Row],[SL Price]]),4))</f>
        <v>-1</v>
      </c>
      <c r="BG58" s="48">
        <f>IF((TABLE1[[#This Row],[Pattern SL]])&lt;&gt;FALSE,((TABLE1[[#This Row],[Pattern SL]])-(TABLE1[[#This Row],[Entry Price]]))/((TABLE1[[#This Row],[Intended Entry]])-(TABLE1[[#This Row],[SL Price]])),ROUND((TABLE1[[#This Row],[Exit Price]]-TABLE1[[#This Row],[Entry Price]])/(TABLE1[[#This Row],[Intended Entry]]-TABLE1[[#This Row],[SL Price]]),4))</f>
        <v>0.5</v>
      </c>
      <c r="BH5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I58"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J58" s="21">
        <f>IF( TABLE1[[#This Row],[Wick Exit]]&lt;&gt; FALSE,TABLE1[[#This Row],[RRR Wick Exit]],IF(TABLE1[[#This Row],[Volume Exit]]&lt;&gt; FALSE,TABLE1[[#This Row],[RRR Volume Exit]],TABLE1[[#This Row],[RRR Realized]]))</f>
        <v>-1</v>
      </c>
      <c r="BK58"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L58"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M58" s="4">
        <f>IF(OR(AND(TABLE1[[#This Row],[Hard RRR Potential]]&gt;=3,TABLE1[[#This Row],[Volume Exit]]=FALSE,TABLE1[[#This Row],[Wick Exit]]=FALSE),AND(TABLE1[[#This Row],[Hard RRR Potential]]&gt;=3,TABLE1[[#This Row],[Volume Exit RRR Reach]]&gt;=3,TABLE1[[#This Row],[Wick Exit]]=FALSE)), 3-TABLE1[[#This Row],[Missed RRR on Entry]],TABLE1[[#This Row],[RRR Realized]])</f>
        <v>-1</v>
      </c>
    </row>
    <row r="59" spans="1:65" x14ac:dyDescent="0.45">
      <c r="A59" t="s">
        <v>291</v>
      </c>
      <c r="B59">
        <v>59</v>
      </c>
      <c r="C59" s="2">
        <v>43608</v>
      </c>
      <c r="D59" s="1">
        <v>0.42291666666666666</v>
      </c>
      <c r="E59" s="1">
        <v>0.4284722222222222</v>
      </c>
      <c r="F59" s="4">
        <v>50.6</v>
      </c>
      <c r="G59" s="4">
        <f>-197</f>
        <v>-197</v>
      </c>
      <c r="H59" s="15">
        <v>5000</v>
      </c>
      <c r="I59" t="s">
        <v>18</v>
      </c>
      <c r="J59" t="s">
        <v>21</v>
      </c>
      <c r="K59">
        <v>0.80600000000000005</v>
      </c>
      <c r="L59">
        <v>0.80769999999999997</v>
      </c>
      <c r="M59">
        <v>0.76600000000000001</v>
      </c>
      <c r="N59">
        <v>0.76819999999999999</v>
      </c>
      <c r="O59">
        <v>0.81</v>
      </c>
      <c r="P59">
        <v>0.76600000000000001</v>
      </c>
      <c r="Q59">
        <v>0.81</v>
      </c>
      <c r="R59">
        <v>0.81</v>
      </c>
      <c r="S59" t="b">
        <v>0</v>
      </c>
      <c r="T59" t="b">
        <v>0</v>
      </c>
      <c r="U59" t="b">
        <v>0</v>
      </c>
      <c r="V59" t="b">
        <v>0</v>
      </c>
      <c r="W59" t="b">
        <v>0</v>
      </c>
      <c r="Z59" t="b">
        <v>0</v>
      </c>
      <c r="AA59">
        <v>0.80500000000000005</v>
      </c>
      <c r="AB59" t="s">
        <v>24</v>
      </c>
      <c r="AC59" t="s">
        <v>29</v>
      </c>
      <c r="AD59" t="s">
        <v>33</v>
      </c>
      <c r="AE59">
        <v>88</v>
      </c>
      <c r="AG59">
        <v>2</v>
      </c>
      <c r="AH59" t="b">
        <v>0</v>
      </c>
      <c r="AI59">
        <v>0.75900000000000001</v>
      </c>
      <c r="AJ59" t="s">
        <v>135</v>
      </c>
      <c r="AK59" t="s">
        <v>167</v>
      </c>
      <c r="AL59">
        <v>37.99</v>
      </c>
      <c r="AM59">
        <v>-0.67</v>
      </c>
      <c r="AN59">
        <v>2.1</v>
      </c>
      <c r="AO59" s="22" t="s">
        <v>292</v>
      </c>
      <c r="AP59" s="4">
        <f>IF(TABLE1[[#This Row],[Buy/Sell]]="BUY",(TABLE1[[#This Row],[Highest Price]]-TABLE1[[#This Row],[Entry Price]])/(TABLE1[[#This Row],[Intended Entry]]-TABLE1[[#This Row],[SL Price]]),(TABLE1[[#This Row],[Entry Price]]-TABLE1[[#This Row],[Lowest Price]])/(TABLE1[[#This Row],[SL Price]]-TABLE1[[#This Row],[Intended Entry]]))</f>
        <v>5.7500000000001945E-2</v>
      </c>
      <c r="AQ59" s="19">
        <f>IF(TABLE1[[#This Row],[Buy/Sell]]="BUY",(TABLE1[[#This Row],[Entry Price]]-TABLE1[[#This Row],[Lowest Price]])/(TABLE1[[#This Row],[SL Price]]-TABLE1[[#This Row],[Intended Entry]]),(TABLE1[[#This Row],[Entry Price]]-TABLE1[[#This Row],[Highest Price]])/(TABLE1[[#This Row],[SL Price]]-TABLE1[[#This Row],[Intended Entry]]))</f>
        <v>-1.042499999999998</v>
      </c>
      <c r="AR59" s="4" t="str">
        <f>IF(AND(TABLE1[[#This Row],[RRR Realized]]&lt;0.5,TABLE1[[#This Row],[RRR Realized]]&gt;-0.6),"BE",IF(TABLE1[[#This Row],[Gain/Loss]]&lt;0, "LOSER", "WINNER"))</f>
        <v>LOSER</v>
      </c>
      <c r="AS59" s="4">
        <f>TABLE1[[#This Row],[Gain/Loss]]-TABLE1[[#This Row],[Comissions]]</f>
        <v>-247.6</v>
      </c>
      <c r="AT59" s="3">
        <f>TABLE1[[#This Row],[Exit Time]]-TABLE1[[#This Row],[Entry Time]]</f>
        <v>5.5555555555555358E-3</v>
      </c>
      <c r="AU59" s="4">
        <f>TABLE1[[#This Row],[Net Gain/Loss]]+AU58</f>
        <v>732.19889999999953</v>
      </c>
      <c r="AV59" s="4">
        <f>IF(TABLE1[[#This Row],[Potential Price Before BE]]=FALSE,"FALSE",( TABLE1[[#This Row],[Potential Price Before BE]]-TABLE1[[#This Row],[Intended Entry]])/(TABLE1[[#This Row],[Intended Entry]]-TABLE1[[#This Row],[SL Price]]))</f>
        <v>0.1</v>
      </c>
      <c r="AW59" s="4">
        <f>(IF(TABLE1[[#This Row],[Buy/Sell]]="BUY",(TABLE1[[#This Row],[Entry Price]]-TABLE1[[#This Row],[SL Price]])/(TABLE1[[#This Row],[Intended Entry]]-TABLE1[[#This Row],[SL Price]]),(TABLE1[[#This Row],[SL Price]]-TABLE1[[#This Row],[Entry Price]])/(TABLE1[[#This Row],[SL Price]]-TABLE1[[#This Row],[Intended Entry]])))-1</f>
        <v>4.2499999999997984E-2</v>
      </c>
      <c r="AX59" s="19">
        <f>TABLE1[[#This Row],[Missed RRR on Entry]]</f>
        <v>4.2499999999997984E-2</v>
      </c>
      <c r="AY59" s="19">
        <f>ROUND((TABLE1[[#This Row],[Potential Price]]-TABLE1[[#This Row],[Entry Price]])/(TABLE1[[#This Row],[Intended Entry]]-TABLE1[[#This Row],[SL Price]]),4)</f>
        <v>5.7500000000000002E-2</v>
      </c>
      <c r="AZ59" s="19">
        <f>ROUND((TABLE1[[#This Row],[Potential Price]]-TABLE1[[#This Row],[Intended Entry]])/(TABLE1[[#This Row],[Intended Entry]]-TABLE1[[#This Row],[SL Price]]),4)</f>
        <v>0.1</v>
      </c>
      <c r="BA59" s="19">
        <f>TABLE1[[#This Row],[RRR Potential]]-TABLE1[[#This Row],[RRR Realized]]</f>
        <v>1.0450000000000002</v>
      </c>
      <c r="BB59" s="25">
        <f>ROUND((TABLE1[[#This Row],[Exit Price]]-TABLE1[[#This Row],[Entry Price]])/(TABLE1[[#This Row],[Intended Entry]]-TABLE1[[#This Row],[SL Price]]),4)</f>
        <v>-0.98750000000000004</v>
      </c>
      <c r="BC59" s="4">
        <f>IF(AND((TABLE1[[#This Row],[Back to BE]])=TRUE,(TABLE1[[#This Row],[Price Behaviour]])="Fast Reversal"), 0-(TABLE1[[#This Row],[Missed RRR on Entry]]),ROUND((TABLE1[[#This Row],[Exit Price]]-TABLE1[[#This Row],[Entry Price]])/(TABLE1[[#This Row],[Intended Entry]]-TABLE1[[#This Row],[SL Price]]),4))</f>
        <v>-0.98750000000000004</v>
      </c>
      <c r="BD59" s="4">
        <f>IF(AND((TABLE1[[#This Row],[Hard RRR Potential]])&gt;=1,(TABLE1[[#This Row],[Back to BE]])="True",(TABLE1[[#This Row],[Price Behaviour]])="Fast Reversal"), 1-(TABLE1[[#This Row],[Missed RRR on Entry]]),ROUND((TABLE1[[#This Row],[Exit Price]]-TABLE1[[#This Row],[Entry Price]])/(TABLE1[[#This Row],[Intended Entry]]-TABLE1[[#This Row],[SL Price]]),4))</f>
        <v>-0.98750000000000004</v>
      </c>
      <c r="BE59" s="4">
        <f>IF(AND((TABLE1[[#This Row],[Hard RRR Potential]])&gt;=1.5,(TABLE1[[#This Row],[Back to BE]])="True",(TABLE1[[#This Row],[Price Behaviour]])="Fast Reversal"), 1.5-(TABLE1[[#This Row],[Missed RRR on Entry]]),ROUND((TABLE1[[#This Row],[Exit Price]]-TABLE1[[#This Row],[Entry Price]])/(TABLE1[[#This Row],[Intended Entry]]-TABLE1[[#This Row],[SL Price]]),4))</f>
        <v>-0.98750000000000004</v>
      </c>
      <c r="BF59" s="4">
        <f>IF(AND((TABLE1[[#This Row],[Hard RRR Potential]])&gt;=2,(TABLE1[[#This Row],[Back to BE]])="True",(TABLE1[[#This Row],[Price Behaviour]])="Fast Reversal"), 2-(TABLE1[[#This Row],[Missed RRR on Entry]]),ROUND((TABLE1[[#This Row],[Exit Price]]-TABLE1[[#This Row],[Entry Price]])/(TABLE1[[#This Row],[Intended Entry]]-TABLE1[[#This Row],[SL Price]]),4))</f>
        <v>-0.98750000000000004</v>
      </c>
      <c r="BG59" s="48">
        <f>IF((TABLE1[[#This Row],[Pattern SL]])&lt;&gt;FALSE,((TABLE1[[#This Row],[Pattern SL]])-(TABLE1[[#This Row],[Entry Price]]))/((TABLE1[[#This Row],[Intended Entry]])-(TABLE1[[#This Row],[SL Price]])),ROUND((TABLE1[[#This Row],[Exit Price]]-TABLE1[[#This Row],[Entry Price]])/(TABLE1[[#This Row],[Intended Entry]]-TABLE1[[#This Row],[SL Price]]),4))</f>
        <v>-0.98750000000000004</v>
      </c>
      <c r="BH5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-0.98750000000000004</v>
      </c>
      <c r="BI59"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-6.7499999999998062E-2</v>
      </c>
      <c r="BJ59" s="21">
        <f>IF( TABLE1[[#This Row],[Wick Exit]]&lt;&gt; FALSE,TABLE1[[#This Row],[RRR Wick Exit]],IF(TABLE1[[#This Row],[Volume Exit]]&lt;&gt; FALSE,TABLE1[[#This Row],[RRR Volume Exit]],TABLE1[[#This Row],[RRR Realized]]))</f>
        <v>-6.7499999999998062E-2</v>
      </c>
      <c r="BK59"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-0.98750000000000004</v>
      </c>
      <c r="BL59" s="4">
        <f>IF(OR(AND(TABLE1[[#This Row],[Hard RRR Potential]]&gt;=2.5,TABLE1[[#This Row],[Volume Exit]]=FALSE,TABLE1[[#This Row],[Wick Exit]]=FALSE),AND(TABLE1[[#This Row],[Hard RRR Potential]]&gt;=2.5,TABLE1[[#This Row],[Volume Exit RRR Reach]]&gt;=2.5,TABLE1[[#This Row],[Wick Exit]]=FALSE)), 2.5-TABLE1[[#This Row],[Missed RRR on Entry]],TABLE1[[#This Row],[RRR Realized]])</f>
        <v>-0.98750000000000004</v>
      </c>
      <c r="BM59" s="4">
        <f>IF(OR(AND(TABLE1[[#This Row],[Hard RRR Potential]]&gt;=3,TABLE1[[#This Row],[Volume Exit]]=FALSE,TABLE1[[#This Row],[Wick Exit]]=FALSE),AND(TABLE1[[#This Row],[Hard RRR Potential]]&gt;=3,TABLE1[[#This Row],[Volume Exit RRR Reach]]&gt;=3,TABLE1[[#This Row],[Wick Exit]]=FALSE)), 3-TABLE1[[#This Row],[Missed RRR on Entry]],TABLE1[[#This Row],[RRR Realized]])</f>
        <v>-0.98750000000000004</v>
      </c>
    </row>
    <row r="60" spans="1:65" x14ac:dyDescent="0.45">
      <c r="A60" t="s">
        <v>297</v>
      </c>
      <c r="B60">
        <v>60</v>
      </c>
      <c r="C60" s="2">
        <v>43609</v>
      </c>
      <c r="D60" s="1">
        <v>0.39930555555555558</v>
      </c>
      <c r="E60" s="1">
        <v>0.40208333333333335</v>
      </c>
      <c r="F60" s="4">
        <f>33.33+34.26</f>
        <v>67.59</v>
      </c>
      <c r="G60" s="4">
        <f>593.68+67.59</f>
        <v>661.27</v>
      </c>
      <c r="H60" s="15">
        <v>6666</v>
      </c>
      <c r="I60" t="s">
        <v>18</v>
      </c>
      <c r="J60" t="s">
        <v>21</v>
      </c>
      <c r="K60">
        <v>0.88500000000000001</v>
      </c>
      <c r="L60">
        <v>0.89500000000000002</v>
      </c>
      <c r="M60">
        <v>0.85499999999999998</v>
      </c>
      <c r="N60">
        <v>0.99399999999999999</v>
      </c>
      <c r="O60">
        <v>0.99399999999999999</v>
      </c>
      <c r="P60">
        <v>0.88900000000000001</v>
      </c>
      <c r="Q60">
        <v>1.02</v>
      </c>
      <c r="R60">
        <v>1.02</v>
      </c>
      <c r="S60" t="b">
        <v>0</v>
      </c>
      <c r="T60" t="b">
        <v>0</v>
      </c>
      <c r="U60" t="b">
        <v>1</v>
      </c>
      <c r="W60" t="b">
        <v>0</v>
      </c>
      <c r="Z60" t="b">
        <v>0</v>
      </c>
      <c r="AA60" t="b">
        <v>0</v>
      </c>
      <c r="AB60" t="s">
        <v>25</v>
      </c>
      <c r="AC60" t="s">
        <v>28</v>
      </c>
      <c r="AD60" t="s">
        <v>33</v>
      </c>
      <c r="AE60">
        <v>76</v>
      </c>
      <c r="AG60">
        <v>1</v>
      </c>
      <c r="AH60" t="b">
        <v>0</v>
      </c>
      <c r="AI60">
        <v>0.83499999999999996</v>
      </c>
      <c r="AJ60" t="s">
        <v>137</v>
      </c>
      <c r="AK60" t="s">
        <v>187</v>
      </c>
      <c r="AL60">
        <v>14.8</v>
      </c>
      <c r="AM60">
        <v>-0.35</v>
      </c>
      <c r="AN60">
        <v>0.7</v>
      </c>
      <c r="AO60" s="22" t="s">
        <v>299</v>
      </c>
      <c r="AP60" s="4">
        <f>IF(TABLE1[[#This Row],[Buy/Sell]]="BUY",(TABLE1[[#This Row],[Highest Price]]-TABLE1[[#This Row],[Entry Price]])/(TABLE1[[#This Row],[Intended Entry]]-TABLE1[[#This Row],[SL Price]]),(TABLE1[[#This Row],[Entry Price]]-TABLE1[[#This Row],[Lowest Price]])/(TABLE1[[#This Row],[SL Price]]-TABLE1[[#This Row],[Intended Entry]]))</f>
        <v>3.2999999999999963</v>
      </c>
      <c r="AQ60" s="19">
        <f>IF(TABLE1[[#This Row],[Buy/Sell]]="BUY",(TABLE1[[#This Row],[Entry Price]]-TABLE1[[#This Row],[Lowest Price]])/(TABLE1[[#This Row],[SL Price]]-TABLE1[[#This Row],[Intended Entry]]),(TABLE1[[#This Row],[Entry Price]]-TABLE1[[#This Row],[Highest Price]])/(TABLE1[[#This Row],[SL Price]]-TABLE1[[#This Row],[Intended Entry]]))</f>
        <v>-0.2</v>
      </c>
      <c r="AR60" s="4" t="str">
        <f>IF(AND(TABLE1[[#This Row],[RRR Realized]]&lt;0.5,TABLE1[[#This Row],[RRR Realized]]&gt;-0.6),"BE",IF(TABLE1[[#This Row],[Gain/Loss]]&lt;0, "LOSER", "WINNER"))</f>
        <v>WINNER</v>
      </c>
      <c r="AS60" s="4">
        <f>TABLE1[[#This Row],[Gain/Loss]]-TABLE1[[#This Row],[Comissions]]</f>
        <v>593.67999999999995</v>
      </c>
      <c r="AT60" s="3">
        <f>TABLE1[[#This Row],[Exit Time]]-TABLE1[[#This Row],[Entry Time]]</f>
        <v>2.7777777777777679E-3</v>
      </c>
      <c r="AU60" s="4">
        <f>TABLE1[[#This Row],[Net Gain/Loss]]+AU59</f>
        <v>1325.8788999999995</v>
      </c>
      <c r="AV60" s="4">
        <f>IF(TABLE1[[#This Row],[Potential Price Before BE]]=FALSE,"FALSE",( TABLE1[[#This Row],[Potential Price Before BE]]-TABLE1[[#This Row],[Intended Entry]])/(TABLE1[[#This Row],[Intended Entry]]-TABLE1[[#This Row],[SL Price]]))</f>
        <v>4.4999999999999964</v>
      </c>
      <c r="AW60" s="4">
        <f>(IF(TABLE1[[#This Row],[Buy/Sell]]="BUY",(TABLE1[[#This Row],[Entry Price]]-TABLE1[[#This Row],[SL Price]])/(TABLE1[[#This Row],[Intended Entry]]-TABLE1[[#This Row],[SL Price]]),(TABLE1[[#This Row],[SL Price]]-TABLE1[[#This Row],[Entry Price]])/(TABLE1[[#This Row],[SL Price]]-TABLE1[[#This Row],[Intended Entry]])))-1</f>
        <v>0.33333333333333326</v>
      </c>
      <c r="AX60" s="19">
        <f>TABLE1[[#This Row],[Missed RRR on Entry]]</f>
        <v>0.33333333333333326</v>
      </c>
      <c r="AY60" s="19">
        <f>ROUND((TABLE1[[#This Row],[Potential Price]]-TABLE1[[#This Row],[Entry Price]])/(TABLE1[[#This Row],[Intended Entry]]-TABLE1[[#This Row],[SL Price]]),4)</f>
        <v>4.1666999999999996</v>
      </c>
      <c r="AZ60" s="19">
        <f>ROUND((TABLE1[[#This Row],[Potential Price]]-TABLE1[[#This Row],[Intended Entry]])/(TABLE1[[#This Row],[Intended Entry]]-TABLE1[[#This Row],[SL Price]]),4)</f>
        <v>4.5</v>
      </c>
      <c r="BA60" s="19">
        <f>TABLE1[[#This Row],[RRR Potential]]-TABLE1[[#This Row],[RRR Realized]]</f>
        <v>0.8666999999999998</v>
      </c>
      <c r="BB60" s="25">
        <f>ROUND((TABLE1[[#This Row],[Exit Price]]-TABLE1[[#This Row],[Entry Price]])/(TABLE1[[#This Row],[Intended Entry]]-TABLE1[[#This Row],[SL Price]]),4)</f>
        <v>3.3</v>
      </c>
      <c r="BC60" s="4">
        <f>IF(AND((TABLE1[[#This Row],[Back to BE]])=TRUE,(TABLE1[[#This Row],[Price Behaviour]])="Fast Reversal"), 0-(TABLE1[[#This Row],[Missed RRR on Entry]]),ROUND((TABLE1[[#This Row],[Exit Price]]-TABLE1[[#This Row],[Entry Price]])/(TABLE1[[#This Row],[Intended Entry]]-TABLE1[[#This Row],[SL Price]]),4))</f>
        <v>3.3</v>
      </c>
      <c r="BD60" s="4">
        <f>IF(AND((TABLE1[[#This Row],[Hard RRR Potential]])&gt;=1,(TABLE1[[#This Row],[Back to BE]])="True",(TABLE1[[#This Row],[Price Behaviour]])="Fast Reversal"), 1-(TABLE1[[#This Row],[Missed RRR on Entry]]),ROUND((TABLE1[[#This Row],[Exit Price]]-TABLE1[[#This Row],[Entry Price]])/(TABLE1[[#This Row],[Intended Entry]]-TABLE1[[#This Row],[SL Price]]),4))</f>
        <v>3.3</v>
      </c>
      <c r="BE60" s="4">
        <f>IF(AND((TABLE1[[#This Row],[Hard RRR Potential]])&gt;=1.5,(TABLE1[[#This Row],[Back to BE]])="True",(TABLE1[[#This Row],[Price Behaviour]])="Fast Reversal"), 1.5-(TABLE1[[#This Row],[Missed RRR on Entry]]),ROUND((TABLE1[[#This Row],[Exit Price]]-TABLE1[[#This Row],[Entry Price]])/(TABLE1[[#This Row],[Intended Entry]]-TABLE1[[#This Row],[SL Price]]),4))</f>
        <v>3.3</v>
      </c>
      <c r="BF60" s="4">
        <f>IF(AND((TABLE1[[#This Row],[Hard RRR Potential]])&gt;=2,(TABLE1[[#This Row],[Back to BE]])="True",(TABLE1[[#This Row],[Price Behaviour]])="Fast Reversal"), 2-(TABLE1[[#This Row],[Missed RRR on Entry]]),ROUND((TABLE1[[#This Row],[Exit Price]]-TABLE1[[#This Row],[Entry Price]])/(TABLE1[[#This Row],[Intended Entry]]-TABLE1[[#This Row],[SL Price]]),4))</f>
        <v>3.3</v>
      </c>
      <c r="BG60" s="48">
        <f>IF((TABLE1[[#This Row],[Pattern SL]])&lt;&gt;FALSE,((TABLE1[[#This Row],[Pattern SL]])-(TABLE1[[#This Row],[Entry Price]]))/((TABLE1[[#This Row],[Intended Entry]])-(TABLE1[[#This Row],[SL Price]])),ROUND((TABLE1[[#This Row],[Exit Price]]-TABLE1[[#This Row],[Entry Price]])/(TABLE1[[#This Row],[Intended Entry]]-TABLE1[[#This Row],[SL Price]]),4))</f>
        <v>3.3</v>
      </c>
      <c r="BH6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3.3</v>
      </c>
      <c r="BI60"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3.3</v>
      </c>
      <c r="BJ60" s="21">
        <f>IF( TABLE1[[#This Row],[Wick Exit]]&lt;&gt; FALSE,TABLE1[[#This Row],[RRR Wick Exit]],IF(TABLE1[[#This Row],[Volume Exit]]&lt;&gt; FALSE,TABLE1[[#This Row],[RRR Volume Exit]],TABLE1[[#This Row],[RRR Realized]]))</f>
        <v>3.3</v>
      </c>
      <c r="BK60"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3.3</v>
      </c>
      <c r="BL60" s="4">
        <f>IF(OR(AND(TABLE1[[#This Row],[Hard RRR Potential]]&gt;=2.5,TABLE1[[#This Row],[Volume Exit]]=FALSE,TABLE1[[#This Row],[Wick Exit]]=FALSE),AND(TABLE1[[#This Row],[Hard RRR Potential]]&gt;=2.5,TABLE1[[#This Row],[Volume Exit RRR Reach]]&gt;=2.5,TABLE1[[#This Row],[Wick Exit]]=FALSE)), 2.5-TABLE1[[#This Row],[Missed RRR on Entry]],TABLE1[[#This Row],[RRR Realized]])</f>
        <v>2.166666666666667</v>
      </c>
      <c r="BM60" s="4">
        <f>IF(OR(AND(TABLE1[[#This Row],[Hard RRR Potential]]&gt;=3,TABLE1[[#This Row],[Volume Exit]]=FALSE,TABLE1[[#This Row],[Wick Exit]]=FALSE),AND(TABLE1[[#This Row],[Hard RRR Potential]]&gt;=3,TABLE1[[#This Row],[Volume Exit RRR Reach]]&gt;=3,TABLE1[[#This Row],[Wick Exit]]=FALSE)), 3-TABLE1[[#This Row],[Missed RRR on Entry]],TABLE1[[#This Row],[RRR Realized]])</f>
        <v>2.666666666666667</v>
      </c>
    </row>
    <row r="61" spans="1:65" x14ac:dyDescent="0.45">
      <c r="A61" t="s">
        <v>297</v>
      </c>
      <c r="B61">
        <v>61</v>
      </c>
      <c r="C61" s="2">
        <v>43609</v>
      </c>
      <c r="D61" s="1">
        <v>0.40972222222222227</v>
      </c>
      <c r="E61" s="1">
        <v>0.41041666666666665</v>
      </c>
      <c r="F61" s="4">
        <f>16.66+17.13</f>
        <v>33.79</v>
      </c>
      <c r="G61" s="4">
        <f>-292.54+33.79</f>
        <v>-258.75</v>
      </c>
      <c r="H61" s="15">
        <v>3333</v>
      </c>
      <c r="I61" t="s">
        <v>18</v>
      </c>
      <c r="J61" t="s">
        <v>21</v>
      </c>
      <c r="K61">
        <v>0.99050000000000005</v>
      </c>
      <c r="L61">
        <v>0.99760000000000004</v>
      </c>
      <c r="M61">
        <v>0.91800000000000004</v>
      </c>
      <c r="N61">
        <v>0.92</v>
      </c>
      <c r="O61">
        <v>1</v>
      </c>
      <c r="P61">
        <v>0.91800000000000004</v>
      </c>
      <c r="Q61">
        <v>1</v>
      </c>
      <c r="R61">
        <v>1</v>
      </c>
      <c r="S61" t="b">
        <v>0</v>
      </c>
      <c r="T61" t="b">
        <v>0</v>
      </c>
      <c r="U61" t="b">
        <v>0</v>
      </c>
      <c r="V61" t="b">
        <v>0</v>
      </c>
      <c r="W61" t="b">
        <v>0</v>
      </c>
      <c r="Z61" t="b">
        <v>0</v>
      </c>
      <c r="AA61" t="b">
        <v>0</v>
      </c>
      <c r="AB61" t="s">
        <v>24</v>
      </c>
      <c r="AC61" t="s">
        <v>28</v>
      </c>
      <c r="AD61" t="s">
        <v>33</v>
      </c>
      <c r="AE61">
        <v>76</v>
      </c>
      <c r="AG61">
        <v>2</v>
      </c>
      <c r="AH61" t="b">
        <v>0</v>
      </c>
      <c r="AI61">
        <v>0.90500000000000003</v>
      </c>
      <c r="AJ61" t="s">
        <v>137</v>
      </c>
      <c r="AK61" t="s">
        <v>167</v>
      </c>
      <c r="AL61">
        <v>14.8</v>
      </c>
      <c r="AM61">
        <v>-0.35</v>
      </c>
      <c r="AN61">
        <v>0.7</v>
      </c>
      <c r="AO61" s="22" t="s">
        <v>299</v>
      </c>
      <c r="AP61" s="4">
        <f>IF(TABLE1[[#This Row],[Buy/Sell]]="BUY",(TABLE1[[#This Row],[Highest Price]]-TABLE1[[#This Row],[Entry Price]])/(TABLE1[[#This Row],[Intended Entry]]-TABLE1[[#This Row],[SL Price]]),(TABLE1[[#This Row],[Entry Price]]-TABLE1[[#This Row],[Lowest Price]])/(TABLE1[[#This Row],[SL Price]]-TABLE1[[#This Row],[Intended Entry]]))</f>
        <v>3.310344827586148E-2</v>
      </c>
      <c r="AQ61" s="19">
        <f>IF(TABLE1[[#This Row],[Buy/Sell]]="BUY",(TABLE1[[#This Row],[Entry Price]]-TABLE1[[#This Row],[Lowest Price]])/(TABLE1[[#This Row],[SL Price]]-TABLE1[[#This Row],[Intended Entry]]),(TABLE1[[#This Row],[Entry Price]]-TABLE1[[#This Row],[Highest Price]])/(TABLE1[[#This Row],[SL Price]]-TABLE1[[#This Row],[Intended Entry]]))</f>
        <v>-1.0979310344827586</v>
      </c>
      <c r="AR61" s="4" t="str">
        <f>IF(AND(TABLE1[[#This Row],[RRR Realized]]&lt;0.5,TABLE1[[#This Row],[RRR Realized]]&gt;-0.6),"BE",IF(TABLE1[[#This Row],[Gain/Loss]]&lt;0, "LOSER", "WINNER"))</f>
        <v>LOSER</v>
      </c>
      <c r="AS61" s="4">
        <f>TABLE1[[#This Row],[Gain/Loss]]-TABLE1[[#This Row],[Comissions]]</f>
        <v>-292.54000000000002</v>
      </c>
      <c r="AT61" s="3">
        <f>TABLE1[[#This Row],[Exit Time]]-TABLE1[[#This Row],[Entry Time]]</f>
        <v>6.9444444444438647E-4</v>
      </c>
      <c r="AU61" s="4">
        <f>TABLE1[[#This Row],[Net Gain/Loss]]+AU60</f>
        <v>1033.3388999999995</v>
      </c>
      <c r="AV61" s="4">
        <f>IF(TABLE1[[#This Row],[Potential Price Before BE]]=FALSE,"FALSE",( TABLE1[[#This Row],[Potential Price Before BE]]-TABLE1[[#This Row],[Intended Entry]])/(TABLE1[[#This Row],[Intended Entry]]-TABLE1[[#This Row],[SL Price]]))</f>
        <v>0.13103448275862004</v>
      </c>
      <c r="AW61" s="4">
        <f>(IF(TABLE1[[#This Row],[Buy/Sell]]="BUY",(TABLE1[[#This Row],[Entry Price]]-TABLE1[[#This Row],[SL Price]])/(TABLE1[[#This Row],[Intended Entry]]-TABLE1[[#This Row],[SL Price]]),(TABLE1[[#This Row],[SL Price]]-TABLE1[[#This Row],[Entry Price]])/(TABLE1[[#This Row],[SL Price]]-TABLE1[[#This Row],[Intended Entry]])))-1</f>
        <v>9.7931034482758639E-2</v>
      </c>
      <c r="AX61" s="19">
        <f>TABLE1[[#This Row],[Missed RRR on Entry]]</f>
        <v>9.7931034482758639E-2</v>
      </c>
      <c r="AY61" s="19">
        <f>ROUND((TABLE1[[#This Row],[Potential Price]]-TABLE1[[#This Row],[Entry Price]])/(TABLE1[[#This Row],[Intended Entry]]-TABLE1[[#This Row],[SL Price]]),4)</f>
        <v>3.3099999999999997E-2</v>
      </c>
      <c r="AZ61" s="19">
        <f>ROUND((TABLE1[[#This Row],[Potential Price]]-TABLE1[[#This Row],[Intended Entry]])/(TABLE1[[#This Row],[Intended Entry]]-TABLE1[[#This Row],[SL Price]]),4)</f>
        <v>0.13100000000000001</v>
      </c>
      <c r="BA61" s="19">
        <f>TABLE1[[#This Row],[RRR Potential]]-TABLE1[[#This Row],[RRR Realized]]</f>
        <v>1.1033999999999999</v>
      </c>
      <c r="BB61" s="25">
        <f>ROUND((TABLE1[[#This Row],[Exit Price]]-TABLE1[[#This Row],[Entry Price]])/(TABLE1[[#This Row],[Intended Entry]]-TABLE1[[#This Row],[SL Price]]),4)</f>
        <v>-1.0703</v>
      </c>
      <c r="BC61" s="4">
        <f>IF(AND((TABLE1[[#This Row],[Back to BE]])=TRUE,(TABLE1[[#This Row],[Price Behaviour]])="Fast Reversal"), 0-(TABLE1[[#This Row],[Missed RRR on Entry]]),ROUND((TABLE1[[#This Row],[Exit Price]]-TABLE1[[#This Row],[Entry Price]])/(TABLE1[[#This Row],[Intended Entry]]-TABLE1[[#This Row],[SL Price]]),4))</f>
        <v>-1.0703</v>
      </c>
      <c r="BD61" s="4">
        <f>IF(AND((TABLE1[[#This Row],[Hard RRR Potential]])&gt;=1,(TABLE1[[#This Row],[Back to BE]])="True",(TABLE1[[#This Row],[Price Behaviour]])="Fast Reversal"), 1-(TABLE1[[#This Row],[Missed RRR on Entry]]),ROUND((TABLE1[[#This Row],[Exit Price]]-TABLE1[[#This Row],[Entry Price]])/(TABLE1[[#This Row],[Intended Entry]]-TABLE1[[#This Row],[SL Price]]),4))</f>
        <v>-1.0703</v>
      </c>
      <c r="BE61" s="4">
        <f>IF(AND((TABLE1[[#This Row],[Hard RRR Potential]])&gt;=1.5,(TABLE1[[#This Row],[Back to BE]])="True",(TABLE1[[#This Row],[Price Behaviour]])="Fast Reversal"), 1.5-(TABLE1[[#This Row],[Missed RRR on Entry]]),ROUND((TABLE1[[#This Row],[Exit Price]]-TABLE1[[#This Row],[Entry Price]])/(TABLE1[[#This Row],[Intended Entry]]-TABLE1[[#This Row],[SL Price]]),4))</f>
        <v>-1.0703</v>
      </c>
      <c r="BF61" s="4">
        <f>IF(AND((TABLE1[[#This Row],[Hard RRR Potential]])&gt;=2,(TABLE1[[#This Row],[Back to BE]])="True",(TABLE1[[#This Row],[Price Behaviour]])="Fast Reversal"), 2-(TABLE1[[#This Row],[Missed RRR on Entry]]),ROUND((TABLE1[[#This Row],[Exit Price]]-TABLE1[[#This Row],[Entry Price]])/(TABLE1[[#This Row],[Intended Entry]]-TABLE1[[#This Row],[SL Price]]),4))</f>
        <v>-1.0703</v>
      </c>
      <c r="BG61" s="48">
        <f>IF((TABLE1[[#This Row],[Pattern SL]])&lt;&gt;FALSE,((TABLE1[[#This Row],[Pattern SL]])-(TABLE1[[#This Row],[Entry Price]]))/((TABLE1[[#This Row],[Intended Entry]])-(TABLE1[[#This Row],[SL Price]])),ROUND((TABLE1[[#This Row],[Exit Price]]-TABLE1[[#This Row],[Entry Price]])/(TABLE1[[#This Row],[Intended Entry]]-TABLE1[[#This Row],[SL Price]]),4))</f>
        <v>-1.0703</v>
      </c>
      <c r="BH6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-1.0703</v>
      </c>
      <c r="BI61"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-1.0703</v>
      </c>
      <c r="BJ61" s="21">
        <f>IF( TABLE1[[#This Row],[Wick Exit]]&lt;&gt; FALSE,TABLE1[[#This Row],[RRR Wick Exit]],IF(TABLE1[[#This Row],[Volume Exit]]&lt;&gt; FALSE,TABLE1[[#This Row],[RRR Volume Exit]],TABLE1[[#This Row],[RRR Realized]]))</f>
        <v>-1.0703</v>
      </c>
      <c r="BK61"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-1.0703</v>
      </c>
      <c r="BL61" s="4">
        <f>IF(OR(AND(TABLE1[[#This Row],[Hard RRR Potential]]&gt;=2.5,TABLE1[[#This Row],[Volume Exit]]=FALSE,TABLE1[[#This Row],[Wick Exit]]=FALSE),AND(TABLE1[[#This Row],[Hard RRR Potential]]&gt;=2.5,TABLE1[[#This Row],[Volume Exit RRR Reach]]&gt;=2.5,TABLE1[[#This Row],[Wick Exit]]=FALSE)), 2.5-TABLE1[[#This Row],[Missed RRR on Entry]],TABLE1[[#This Row],[RRR Realized]])</f>
        <v>-1.0703</v>
      </c>
      <c r="BM61" s="4">
        <f>IF(OR(AND(TABLE1[[#This Row],[Hard RRR Potential]]&gt;=3,TABLE1[[#This Row],[Volume Exit]]=FALSE,TABLE1[[#This Row],[Wick Exit]]=FALSE),AND(TABLE1[[#This Row],[Hard RRR Potential]]&gt;=3,TABLE1[[#This Row],[Volume Exit RRR Reach]]&gt;=3,TABLE1[[#This Row],[Wick Exit]]=FALSE)), 3-TABLE1[[#This Row],[Missed RRR on Entry]],TABLE1[[#This Row],[RRR Realized]])</f>
        <v>-1.0703</v>
      </c>
    </row>
    <row r="62" spans="1:65" x14ac:dyDescent="0.45">
      <c r="A62" t="s">
        <v>298</v>
      </c>
      <c r="B62">
        <v>62</v>
      </c>
      <c r="C62" s="2">
        <v>43609</v>
      </c>
      <c r="D62" s="1">
        <v>0.4236111111111111</v>
      </c>
      <c r="E62" s="1">
        <v>0.42986111111111108</v>
      </c>
      <c r="F62" s="4">
        <f>16.66+13.55</f>
        <v>30.21</v>
      </c>
      <c r="G62" s="4">
        <f>-248.12+30.21</f>
        <v>-217.91</v>
      </c>
      <c r="H62" s="15">
        <v>3333</v>
      </c>
      <c r="I62" t="s">
        <v>18</v>
      </c>
      <c r="J62" t="s">
        <v>21</v>
      </c>
      <c r="K62">
        <v>0.45350000000000001</v>
      </c>
      <c r="L62">
        <v>0.45900000000000002</v>
      </c>
      <c r="M62">
        <v>0.39300000000000002</v>
      </c>
      <c r="N62">
        <v>0.39300000000000002</v>
      </c>
      <c r="O62">
        <v>0.45900000000000002</v>
      </c>
      <c r="P62">
        <v>0.39300000000000002</v>
      </c>
      <c r="Q62">
        <v>0.45900000000000002</v>
      </c>
      <c r="R62">
        <v>0.45900000000000002</v>
      </c>
      <c r="S62" t="b">
        <v>0</v>
      </c>
      <c r="T62" t="b">
        <v>0</v>
      </c>
      <c r="U62" t="b">
        <v>0</v>
      </c>
      <c r="V62" t="b">
        <v>0</v>
      </c>
      <c r="W62" t="b">
        <v>0</v>
      </c>
      <c r="Z62" t="b">
        <v>1</v>
      </c>
      <c r="AA62" t="b">
        <v>0</v>
      </c>
      <c r="AB62" t="s">
        <v>24</v>
      </c>
      <c r="AC62" t="s">
        <v>28</v>
      </c>
      <c r="AD62" t="s">
        <v>34</v>
      </c>
      <c r="AE62">
        <v>92</v>
      </c>
      <c r="AG62">
        <v>1</v>
      </c>
      <c r="AH62" t="b">
        <v>0</v>
      </c>
      <c r="AI62">
        <v>0.36</v>
      </c>
      <c r="AJ62" t="s">
        <v>135</v>
      </c>
      <c r="AK62" t="s">
        <v>181</v>
      </c>
      <c r="AL62">
        <v>11.5</v>
      </c>
      <c r="AM62">
        <v>-0.35</v>
      </c>
      <c r="AN62">
        <v>10.6</v>
      </c>
      <c r="AO62" s="22" t="s">
        <v>300</v>
      </c>
      <c r="AP62" s="4">
        <f>IF(TABLE1[[#This Row],[Buy/Sell]]="BUY",(TABLE1[[#This Row],[Highest Price]]-TABLE1[[#This Row],[Entry Price]])/(TABLE1[[#This Row],[Intended Entry]]-TABLE1[[#This Row],[SL Price]]),(TABLE1[[#This Row],[Entry Price]]-TABLE1[[#This Row],[Lowest Price]])/(TABLE1[[#This Row],[SL Price]]-TABLE1[[#This Row],[Intended Entry]]))</f>
        <v>0</v>
      </c>
      <c r="AQ62" s="19">
        <f>IF(TABLE1[[#This Row],[Buy/Sell]]="BUY",(TABLE1[[#This Row],[Entry Price]]-TABLE1[[#This Row],[Lowest Price]])/(TABLE1[[#This Row],[SL Price]]-TABLE1[[#This Row],[Intended Entry]]),(TABLE1[[#This Row],[Entry Price]]-TABLE1[[#This Row],[Highest Price]])/(TABLE1[[#This Row],[SL Price]]-TABLE1[[#This Row],[Intended Entry]]))</f>
        <v>-1.0909090909090911</v>
      </c>
      <c r="AR62" s="4" t="str">
        <f>IF(AND(TABLE1[[#This Row],[RRR Realized]]&lt;0.5,TABLE1[[#This Row],[RRR Realized]]&gt;-0.6),"BE",IF(TABLE1[[#This Row],[Gain/Loss]]&lt;0, "LOSER", "WINNER"))</f>
        <v>LOSER</v>
      </c>
      <c r="AS62" s="4">
        <f>TABLE1[[#This Row],[Gain/Loss]]-TABLE1[[#This Row],[Comissions]]</f>
        <v>-248.12</v>
      </c>
      <c r="AT62" s="3">
        <f>TABLE1[[#This Row],[Exit Time]]-TABLE1[[#This Row],[Entry Time]]</f>
        <v>6.2499999999999778E-3</v>
      </c>
      <c r="AU62" s="4">
        <f>TABLE1[[#This Row],[Net Gain/Loss]]+AU61</f>
        <v>785.21889999999951</v>
      </c>
      <c r="AV62" s="4">
        <f>IF(TABLE1[[#This Row],[Potential Price Before BE]]=FALSE,"FALSE",( TABLE1[[#This Row],[Potential Price Before BE]]-TABLE1[[#This Row],[Intended Entry]])/(TABLE1[[#This Row],[Intended Entry]]-TABLE1[[#This Row],[SL Price]]))</f>
        <v>9.0909090909090995E-2</v>
      </c>
      <c r="AW62" s="4">
        <f>(IF(TABLE1[[#This Row],[Buy/Sell]]="BUY",(TABLE1[[#This Row],[Entry Price]]-TABLE1[[#This Row],[SL Price]])/(TABLE1[[#This Row],[Intended Entry]]-TABLE1[[#This Row],[SL Price]]),(TABLE1[[#This Row],[SL Price]]-TABLE1[[#This Row],[Entry Price]])/(TABLE1[[#This Row],[SL Price]]-TABLE1[[#This Row],[Intended Entry]])))-1</f>
        <v>9.090909090909105E-2</v>
      </c>
      <c r="AX62" s="19">
        <f>TABLE1[[#This Row],[Missed RRR on Entry]]</f>
        <v>9.090909090909105E-2</v>
      </c>
      <c r="AY62" s="19">
        <f>ROUND((TABLE1[[#This Row],[Potential Price]]-TABLE1[[#This Row],[Entry Price]])/(TABLE1[[#This Row],[Intended Entry]]-TABLE1[[#This Row],[SL Price]]),4)</f>
        <v>0</v>
      </c>
      <c r="AZ62" s="19">
        <f>ROUND((TABLE1[[#This Row],[Potential Price]]-TABLE1[[#This Row],[Intended Entry]])/(TABLE1[[#This Row],[Intended Entry]]-TABLE1[[#This Row],[SL Price]]),4)</f>
        <v>9.0899999999999995E-2</v>
      </c>
      <c r="BA62" s="19">
        <f>TABLE1[[#This Row],[RRR Potential]]-TABLE1[[#This Row],[RRR Realized]]</f>
        <v>1.0909</v>
      </c>
      <c r="BB62" s="25">
        <f>ROUND((TABLE1[[#This Row],[Exit Price]]-TABLE1[[#This Row],[Entry Price]])/(TABLE1[[#This Row],[Intended Entry]]-TABLE1[[#This Row],[SL Price]]),4)</f>
        <v>-1.0909</v>
      </c>
      <c r="BC62" s="4">
        <f>IF(AND((TABLE1[[#This Row],[Back to BE]])=TRUE,(TABLE1[[#This Row],[Price Behaviour]])="Fast Reversal"), 0-(TABLE1[[#This Row],[Missed RRR on Entry]]),ROUND((TABLE1[[#This Row],[Exit Price]]-TABLE1[[#This Row],[Entry Price]])/(TABLE1[[#This Row],[Intended Entry]]-TABLE1[[#This Row],[SL Price]]),4))</f>
        <v>-1.0909</v>
      </c>
      <c r="BD62" s="4">
        <f>IF(AND((TABLE1[[#This Row],[Hard RRR Potential]])&gt;=1,(TABLE1[[#This Row],[Back to BE]])="True",(TABLE1[[#This Row],[Price Behaviour]])="Fast Reversal"), 1-(TABLE1[[#This Row],[Missed RRR on Entry]]),ROUND((TABLE1[[#This Row],[Exit Price]]-TABLE1[[#This Row],[Entry Price]])/(TABLE1[[#This Row],[Intended Entry]]-TABLE1[[#This Row],[SL Price]]),4))</f>
        <v>-1.0909</v>
      </c>
      <c r="BE62" s="4">
        <f>IF(AND((TABLE1[[#This Row],[Hard RRR Potential]])&gt;=1.5,(TABLE1[[#This Row],[Back to BE]])="True",(TABLE1[[#This Row],[Price Behaviour]])="Fast Reversal"), 1.5-(TABLE1[[#This Row],[Missed RRR on Entry]]),ROUND((TABLE1[[#This Row],[Exit Price]]-TABLE1[[#This Row],[Entry Price]])/(TABLE1[[#This Row],[Intended Entry]]-TABLE1[[#This Row],[SL Price]]),4))</f>
        <v>-1.0909</v>
      </c>
      <c r="BF62" s="4">
        <f>IF(AND((TABLE1[[#This Row],[Hard RRR Potential]])&gt;=2,(TABLE1[[#This Row],[Back to BE]])="True",(TABLE1[[#This Row],[Price Behaviour]])="Fast Reversal"), 2-(TABLE1[[#This Row],[Missed RRR on Entry]]),ROUND((TABLE1[[#This Row],[Exit Price]]-TABLE1[[#This Row],[Entry Price]])/(TABLE1[[#This Row],[Intended Entry]]-TABLE1[[#This Row],[SL Price]]),4))</f>
        <v>-1.0909</v>
      </c>
      <c r="BG62" s="48">
        <f>IF((TABLE1[[#This Row],[Pattern SL]])&lt;&gt;FALSE,((TABLE1[[#This Row],[Pattern SL]])-(TABLE1[[#This Row],[Entry Price]]))/((TABLE1[[#This Row],[Intended Entry]])-(TABLE1[[#This Row],[SL Price]])),ROUND((TABLE1[[#This Row],[Exit Price]]-TABLE1[[#This Row],[Entry Price]])/(TABLE1[[#This Row],[Intended Entry]]-TABLE1[[#This Row],[SL Price]]),4))</f>
        <v>-1.0909</v>
      </c>
      <c r="BH6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-1.0909</v>
      </c>
      <c r="BI62"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-1.0909</v>
      </c>
      <c r="BJ62" s="21">
        <f>IF( TABLE1[[#This Row],[Wick Exit]]&lt;&gt; FALSE,TABLE1[[#This Row],[RRR Wick Exit]],IF(TABLE1[[#This Row],[Volume Exit]]&lt;&gt; FALSE,TABLE1[[#This Row],[RRR Volume Exit]],TABLE1[[#This Row],[RRR Realized]]))</f>
        <v>-1.0909</v>
      </c>
      <c r="BK6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8.9421487603305767</v>
      </c>
      <c r="BL62" s="4">
        <f>IF(OR(AND(TABLE1[[#This Row],[Hard RRR Potential]]&gt;=2.5,TABLE1[[#This Row],[Volume Exit]]=FALSE,TABLE1[[#This Row],[Wick Exit]]=FALSE),AND(TABLE1[[#This Row],[Hard RRR Potential]]&gt;=2.5,TABLE1[[#This Row],[Volume Exit RRR Reach]]&gt;=2.5,TABLE1[[#This Row],[Wick Exit]]=FALSE)), 2.5-TABLE1[[#This Row],[Missed RRR on Entry]],TABLE1[[#This Row],[RRR Realized]])</f>
        <v>-1.0909</v>
      </c>
      <c r="BM62" s="4">
        <f>IF(OR(AND(TABLE1[[#This Row],[Hard RRR Potential]]&gt;=3,TABLE1[[#This Row],[Volume Exit]]=FALSE,TABLE1[[#This Row],[Wick Exit]]=FALSE),AND(TABLE1[[#This Row],[Hard RRR Potential]]&gt;=3,TABLE1[[#This Row],[Volume Exit RRR Reach]]&gt;=3,TABLE1[[#This Row],[Wick Exit]]=FALSE)), 3-TABLE1[[#This Row],[Missed RRR on Entry]],TABLE1[[#This Row],[RRR Realized]])</f>
        <v>-1.0909</v>
      </c>
    </row>
    <row r="63" spans="1:65" x14ac:dyDescent="0.45">
      <c r="A63" t="s">
        <v>298</v>
      </c>
      <c r="B63">
        <v>63</v>
      </c>
      <c r="C63" s="2">
        <v>43609</v>
      </c>
      <c r="D63" s="1">
        <v>0.44305555555555554</v>
      </c>
      <c r="E63" s="1">
        <v>0.44861111111111113</v>
      </c>
      <c r="F63" s="4">
        <f>16.66+17.09</f>
        <v>33.75</v>
      </c>
      <c r="G63" s="4">
        <f>-128.78+33.75</f>
        <v>-95.03</v>
      </c>
      <c r="H63" s="15">
        <v>3333</v>
      </c>
      <c r="I63" t="s">
        <v>18</v>
      </c>
      <c r="J63" t="s">
        <v>21</v>
      </c>
      <c r="K63">
        <v>0.443</v>
      </c>
      <c r="L63">
        <v>0.44890000000000002</v>
      </c>
      <c r="M63">
        <f>0.443-0.06</f>
        <v>0.38300000000000001</v>
      </c>
      <c r="N63">
        <v>0.42</v>
      </c>
      <c r="O63">
        <v>0.48899999999999999</v>
      </c>
      <c r="P63">
        <v>0.41799999999999998</v>
      </c>
      <c r="Q63">
        <v>0.48899999999999999</v>
      </c>
      <c r="R63">
        <v>0.48899999999999999</v>
      </c>
      <c r="S63" t="b">
        <v>0</v>
      </c>
      <c r="T63" t="b">
        <v>0</v>
      </c>
      <c r="U63" t="b">
        <v>0</v>
      </c>
      <c r="V63" t="b">
        <v>0</v>
      </c>
      <c r="W63" t="b">
        <v>0</v>
      </c>
      <c r="Z63" t="b">
        <v>0</v>
      </c>
      <c r="AA63" t="b">
        <v>0</v>
      </c>
      <c r="AB63" t="s">
        <v>24</v>
      </c>
      <c r="AC63" t="s">
        <v>28</v>
      </c>
      <c r="AD63" t="s">
        <v>34</v>
      </c>
      <c r="AE63">
        <v>92</v>
      </c>
      <c r="AG63">
        <v>1</v>
      </c>
      <c r="AH63" t="s">
        <v>319</v>
      </c>
      <c r="AI63">
        <v>0.38</v>
      </c>
      <c r="AJ63" t="s">
        <v>135</v>
      </c>
      <c r="AK63" t="s">
        <v>167</v>
      </c>
      <c r="AL63">
        <v>11.5</v>
      </c>
      <c r="AM63">
        <v>-0.35</v>
      </c>
      <c r="AN63">
        <v>10.6</v>
      </c>
      <c r="AO63" s="22" t="s">
        <v>300</v>
      </c>
      <c r="AP63" s="4">
        <f>IF(TABLE1[[#This Row],[Buy/Sell]]="BUY",(TABLE1[[#This Row],[Highest Price]]-TABLE1[[#This Row],[Entry Price]])/(TABLE1[[#This Row],[Intended Entry]]-TABLE1[[#This Row],[SL Price]]),(TABLE1[[#This Row],[Entry Price]]-TABLE1[[#This Row],[Lowest Price]])/(TABLE1[[#This Row],[SL Price]]-TABLE1[[#This Row],[Intended Entry]]))</f>
        <v>0.66833333333333289</v>
      </c>
      <c r="AQ63" s="19">
        <f>IF(TABLE1[[#This Row],[Buy/Sell]]="BUY",(TABLE1[[#This Row],[Entry Price]]-TABLE1[[#This Row],[Lowest Price]])/(TABLE1[[#This Row],[SL Price]]-TABLE1[[#This Row],[Intended Entry]]),(TABLE1[[#This Row],[Entry Price]]-TABLE1[[#This Row],[Highest Price]])/(TABLE1[[#This Row],[SL Price]]-TABLE1[[#This Row],[Intended Entry]]))</f>
        <v>-0.51500000000000068</v>
      </c>
      <c r="AR63" s="4" t="str">
        <f>IF(AND(TABLE1[[#This Row],[RRR Realized]]&lt;0.5,TABLE1[[#This Row],[RRR Realized]]&gt;-0.6),"BE",IF(TABLE1[[#This Row],[Gain/Loss]]&lt;0, "LOSER", "WINNER"))</f>
        <v>BE</v>
      </c>
      <c r="AS63" s="4">
        <f>TABLE1[[#This Row],[Gain/Loss]]-TABLE1[[#This Row],[Comissions]]</f>
        <v>-128.78</v>
      </c>
      <c r="AT63" s="3">
        <f>TABLE1[[#This Row],[Exit Time]]-TABLE1[[#This Row],[Entry Time]]</f>
        <v>5.5555555555555913E-3</v>
      </c>
      <c r="AU63" s="4">
        <f>TABLE1[[#This Row],[Net Gain/Loss]]+AU62</f>
        <v>656.43889999999953</v>
      </c>
      <c r="AV63" s="4">
        <f>IF(TABLE1[[#This Row],[Potential Price Before BE]]=FALSE,"FALSE",( TABLE1[[#This Row],[Potential Price Before BE]]-TABLE1[[#This Row],[Intended Entry]])/(TABLE1[[#This Row],[Intended Entry]]-TABLE1[[#This Row],[SL Price]]))</f>
        <v>0.7666666666666665</v>
      </c>
      <c r="AW63" s="4">
        <f>(IF(TABLE1[[#This Row],[Buy/Sell]]="BUY",(TABLE1[[#This Row],[Entry Price]]-TABLE1[[#This Row],[SL Price]])/(TABLE1[[#This Row],[Intended Entry]]-TABLE1[[#This Row],[SL Price]]),(TABLE1[[#This Row],[SL Price]]-TABLE1[[#This Row],[Entry Price]])/(TABLE1[[#This Row],[SL Price]]-TABLE1[[#This Row],[Intended Entry]])))-1</f>
        <v>9.8333333333333606E-2</v>
      </c>
      <c r="AX63" s="19">
        <f>TABLE1[[#This Row],[Missed RRR on Entry]]</f>
        <v>9.8333333333333606E-2</v>
      </c>
      <c r="AY63" s="19">
        <f>ROUND((TABLE1[[#This Row],[Potential Price]]-TABLE1[[#This Row],[Entry Price]])/(TABLE1[[#This Row],[Intended Entry]]-TABLE1[[#This Row],[SL Price]]),4)</f>
        <v>0.66830000000000001</v>
      </c>
      <c r="AZ63" s="19">
        <f>ROUND((TABLE1[[#This Row],[Potential Price]]-TABLE1[[#This Row],[Intended Entry]])/(TABLE1[[#This Row],[Intended Entry]]-TABLE1[[#This Row],[SL Price]]),4)</f>
        <v>0.76670000000000005</v>
      </c>
      <c r="BA63" s="19">
        <f>TABLE1[[#This Row],[RRR Potential]]-TABLE1[[#This Row],[RRR Realized]]</f>
        <v>1.1499999999999999</v>
      </c>
      <c r="BB63" s="25">
        <f>ROUND((TABLE1[[#This Row],[Exit Price]]-TABLE1[[#This Row],[Entry Price]])/(TABLE1[[#This Row],[Intended Entry]]-TABLE1[[#This Row],[SL Price]]),4)</f>
        <v>-0.48170000000000002</v>
      </c>
      <c r="BC63" s="4">
        <f>IF(AND((TABLE1[[#This Row],[Back to BE]])=TRUE,(TABLE1[[#This Row],[Price Behaviour]])="Fast Reversal"), 0-(TABLE1[[#This Row],[Missed RRR on Entry]]),ROUND((TABLE1[[#This Row],[Exit Price]]-TABLE1[[#This Row],[Entry Price]])/(TABLE1[[#This Row],[Intended Entry]]-TABLE1[[#This Row],[SL Price]]),4))</f>
        <v>-0.48170000000000002</v>
      </c>
      <c r="BD63" s="4">
        <f>IF(AND((TABLE1[[#This Row],[Hard RRR Potential]])&gt;=1,(TABLE1[[#This Row],[Back to BE]])="True",(TABLE1[[#This Row],[Price Behaviour]])="Fast Reversal"), 1-(TABLE1[[#This Row],[Missed RRR on Entry]]),ROUND((TABLE1[[#This Row],[Exit Price]]-TABLE1[[#This Row],[Entry Price]])/(TABLE1[[#This Row],[Intended Entry]]-TABLE1[[#This Row],[SL Price]]),4))</f>
        <v>-0.48170000000000002</v>
      </c>
      <c r="BE63" s="4">
        <f>IF(AND((TABLE1[[#This Row],[Hard RRR Potential]])&gt;=1.5,(TABLE1[[#This Row],[Back to BE]])="True",(TABLE1[[#This Row],[Price Behaviour]])="Fast Reversal"), 1.5-(TABLE1[[#This Row],[Missed RRR on Entry]]),ROUND((TABLE1[[#This Row],[Exit Price]]-TABLE1[[#This Row],[Entry Price]])/(TABLE1[[#This Row],[Intended Entry]]-TABLE1[[#This Row],[SL Price]]),4))</f>
        <v>-0.48170000000000002</v>
      </c>
      <c r="BF63" s="4">
        <f>IF(AND((TABLE1[[#This Row],[Hard RRR Potential]])&gt;=2,(TABLE1[[#This Row],[Back to BE]])="True",(TABLE1[[#This Row],[Price Behaviour]])="Fast Reversal"), 2-(TABLE1[[#This Row],[Missed RRR on Entry]]),ROUND((TABLE1[[#This Row],[Exit Price]]-TABLE1[[#This Row],[Entry Price]])/(TABLE1[[#This Row],[Intended Entry]]-TABLE1[[#This Row],[SL Price]]),4))</f>
        <v>-0.48170000000000002</v>
      </c>
      <c r="BG63" s="48">
        <f>IF((TABLE1[[#This Row],[Pattern SL]])&lt;&gt;FALSE,((TABLE1[[#This Row],[Pattern SL]])-(TABLE1[[#This Row],[Entry Price]]))/((TABLE1[[#This Row],[Intended Entry]])-(TABLE1[[#This Row],[SL Price]])),ROUND((TABLE1[[#This Row],[Exit Price]]-TABLE1[[#This Row],[Entry Price]])/(TABLE1[[#This Row],[Intended Entry]]-TABLE1[[#This Row],[SL Price]]),4))</f>
        <v>-0.48170000000000002</v>
      </c>
      <c r="BH6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-0.48170000000000002</v>
      </c>
      <c r="BI63"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-0.48170000000000002</v>
      </c>
      <c r="BJ63" s="21">
        <f>IF( TABLE1[[#This Row],[Wick Exit]]&lt;&gt; FALSE,TABLE1[[#This Row],[RRR Wick Exit]],IF(TABLE1[[#This Row],[Volume Exit]]&lt;&gt; FALSE,TABLE1[[#This Row],[RRR Volume Exit]],TABLE1[[#This Row],[RRR Realized]]))</f>
        <v>-0.48170000000000002</v>
      </c>
      <c r="BK6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-0.48170000000000002</v>
      </c>
      <c r="BL63" s="4">
        <f>IF(OR(AND(TABLE1[[#This Row],[Hard RRR Potential]]&gt;=2.5,TABLE1[[#This Row],[Volume Exit]]=FALSE,TABLE1[[#This Row],[Wick Exit]]=FALSE),AND(TABLE1[[#This Row],[Hard RRR Potential]]&gt;=2.5,TABLE1[[#This Row],[Volume Exit RRR Reach]]&gt;=2.5,TABLE1[[#This Row],[Wick Exit]]=FALSE)), 2.5-TABLE1[[#This Row],[Missed RRR on Entry]],TABLE1[[#This Row],[RRR Realized]])</f>
        <v>-0.48170000000000002</v>
      </c>
      <c r="BM63" s="4">
        <f>IF(OR(AND(TABLE1[[#This Row],[Hard RRR Potential]]&gt;=3,TABLE1[[#This Row],[Volume Exit]]=FALSE,TABLE1[[#This Row],[Wick Exit]]=FALSE),AND(TABLE1[[#This Row],[Hard RRR Potential]]&gt;=3,TABLE1[[#This Row],[Volume Exit RRR Reach]]&gt;=3,TABLE1[[#This Row],[Wick Exit]]=FALSE)), 3-TABLE1[[#This Row],[Missed RRR on Entry]],TABLE1[[#This Row],[RRR Realized]])</f>
        <v>-0.48170000000000002</v>
      </c>
    </row>
    <row r="64" spans="1:65" x14ac:dyDescent="0.45">
      <c r="A64" t="s">
        <v>307</v>
      </c>
      <c r="B64">
        <v>64</v>
      </c>
      <c r="C64" s="2">
        <v>43610</v>
      </c>
      <c r="D64" s="1">
        <v>0.43055555555555558</v>
      </c>
      <c r="E64" s="1">
        <v>0.43472222222222223</v>
      </c>
      <c r="F64" s="4">
        <v>3.43</v>
      </c>
      <c r="G64" s="4">
        <f>-372/2</f>
        <v>-186</v>
      </c>
      <c r="H64" s="15">
        <v>333</v>
      </c>
      <c r="I64" t="s">
        <v>18</v>
      </c>
      <c r="J64" t="s">
        <v>21</v>
      </c>
      <c r="K64">
        <v>9.17</v>
      </c>
      <c r="L64">
        <v>9.1649999999999991</v>
      </c>
      <c r="M64">
        <v>8.57</v>
      </c>
      <c r="N64">
        <v>8.64</v>
      </c>
      <c r="O64">
        <v>9.5</v>
      </c>
      <c r="P64">
        <v>8.57</v>
      </c>
      <c r="Q64">
        <v>9.5</v>
      </c>
      <c r="R64">
        <v>9.5</v>
      </c>
      <c r="S64" t="b">
        <v>0</v>
      </c>
      <c r="T64" t="b">
        <v>0</v>
      </c>
      <c r="U64" t="b">
        <v>0</v>
      </c>
      <c r="V64" t="b">
        <v>1</v>
      </c>
      <c r="W64" t="b">
        <v>0</v>
      </c>
      <c r="Z64" t="b">
        <v>0</v>
      </c>
      <c r="AA64" t="b">
        <v>0</v>
      </c>
      <c r="AB64" t="s">
        <v>24</v>
      </c>
      <c r="AC64" t="s">
        <v>31</v>
      </c>
      <c r="AD64" t="s">
        <v>33</v>
      </c>
      <c r="AE64">
        <v>108</v>
      </c>
      <c r="AG64">
        <v>1</v>
      </c>
      <c r="AH64" t="b">
        <v>0</v>
      </c>
      <c r="AI64">
        <v>8.5</v>
      </c>
      <c r="AJ64" t="s">
        <v>135</v>
      </c>
      <c r="AK64" t="s">
        <v>181</v>
      </c>
      <c r="AL64">
        <v>5.27</v>
      </c>
      <c r="AM64">
        <v>-0.02</v>
      </c>
      <c r="AN64">
        <v>5.17</v>
      </c>
      <c r="AO64" s="22" t="s">
        <v>308</v>
      </c>
      <c r="AP64" s="4">
        <f>IF(TABLE1[[#This Row],[Buy/Sell]]="BUY",(TABLE1[[#This Row],[Highest Price]]-TABLE1[[#This Row],[Entry Price]])/(TABLE1[[#This Row],[Intended Entry]]-TABLE1[[#This Row],[SL Price]]),(TABLE1[[#This Row],[Entry Price]]-TABLE1[[#This Row],[Lowest Price]])/(TABLE1[[#This Row],[SL Price]]-TABLE1[[#This Row],[Intended Entry]]))</f>
        <v>0.55833333333333512</v>
      </c>
      <c r="AQ64" s="19">
        <f>IF(TABLE1[[#This Row],[Buy/Sell]]="BUY",(TABLE1[[#This Row],[Entry Price]]-TABLE1[[#This Row],[Lowest Price]])/(TABLE1[[#This Row],[SL Price]]-TABLE1[[#This Row],[Intended Entry]]),(TABLE1[[#This Row],[Entry Price]]-TABLE1[[#This Row],[Highest Price]])/(TABLE1[[#This Row],[SL Price]]-TABLE1[[#This Row],[Intended Entry]]))</f>
        <v>-0.99166666666666536</v>
      </c>
      <c r="AR64" s="4" t="str">
        <f>IF(AND(TABLE1[[#This Row],[RRR Realized]]&lt;0.5,TABLE1[[#This Row],[RRR Realized]]&gt;-0.6),"BE",IF(TABLE1[[#This Row],[Gain/Loss]]&lt;0, "LOSER", "WINNER"))</f>
        <v>LOSER</v>
      </c>
      <c r="AS64" s="4">
        <f>TABLE1[[#This Row],[Gain/Loss]]-TABLE1[[#This Row],[Comissions]]</f>
        <v>-189.43</v>
      </c>
      <c r="AT64" s="3">
        <f>TABLE1[[#This Row],[Exit Time]]-TABLE1[[#This Row],[Entry Time]]</f>
        <v>4.1666666666666519E-3</v>
      </c>
      <c r="AU64" s="4">
        <f>TABLE1[[#This Row],[Net Gain/Loss]]+AU63</f>
        <v>467.00889999999953</v>
      </c>
      <c r="AV64" s="4">
        <f>IF(TABLE1[[#This Row],[Potential Price Before BE]]=FALSE,"FALSE",( TABLE1[[#This Row],[Potential Price Before BE]]-TABLE1[[#This Row],[Intended Entry]])/(TABLE1[[#This Row],[Intended Entry]]-TABLE1[[#This Row],[SL Price]]))</f>
        <v>0.55000000000000049</v>
      </c>
      <c r="AW64" s="4">
        <f>(IF(TABLE1[[#This Row],[Buy/Sell]]="BUY",(TABLE1[[#This Row],[Entry Price]]-TABLE1[[#This Row],[SL Price]])/(TABLE1[[#This Row],[Intended Entry]]-TABLE1[[#This Row],[SL Price]]),(TABLE1[[#This Row],[SL Price]]-TABLE1[[#This Row],[Entry Price]])/(TABLE1[[#This Row],[SL Price]]-TABLE1[[#This Row],[Intended Entry]])))-1</f>
        <v>-8.333333333334636E-3</v>
      </c>
      <c r="AX64" s="19">
        <f>TABLE1[[#This Row],[Missed RRR on Entry]]</f>
        <v>-8.333333333334636E-3</v>
      </c>
      <c r="AY64" s="19">
        <f>ROUND((TABLE1[[#This Row],[Potential Price]]-TABLE1[[#This Row],[Entry Price]])/(TABLE1[[#This Row],[Intended Entry]]-TABLE1[[#This Row],[SL Price]]),4)</f>
        <v>0.55830000000000002</v>
      </c>
      <c r="AZ64" s="19">
        <f>ROUND((TABLE1[[#This Row],[Potential Price]]-TABLE1[[#This Row],[Intended Entry]])/(TABLE1[[#This Row],[Intended Entry]]-TABLE1[[#This Row],[SL Price]]),4)</f>
        <v>0.55000000000000004</v>
      </c>
      <c r="BA64" s="19">
        <f>TABLE1[[#This Row],[RRR Potential]]-TABLE1[[#This Row],[RRR Realized]]</f>
        <v>1.4333</v>
      </c>
      <c r="BB64" s="25">
        <f>ROUND((TABLE1[[#This Row],[Exit Price]]-TABLE1[[#This Row],[Entry Price]])/(TABLE1[[#This Row],[Intended Entry]]-TABLE1[[#This Row],[SL Price]]),4)</f>
        <v>-0.875</v>
      </c>
      <c r="BC64" s="4">
        <f>IF(AND((TABLE1[[#This Row],[Back to BE]])=TRUE,(TABLE1[[#This Row],[Price Behaviour]])="Fast Reversal"), 0-(TABLE1[[#This Row],[Missed RRR on Entry]]),ROUND((TABLE1[[#This Row],[Exit Price]]-TABLE1[[#This Row],[Entry Price]])/(TABLE1[[#This Row],[Intended Entry]]-TABLE1[[#This Row],[SL Price]]),4))</f>
        <v>8.333333333334636E-3</v>
      </c>
      <c r="BD64" s="4">
        <f>IF(AND((TABLE1[[#This Row],[Hard RRR Potential]])&gt;=1,(TABLE1[[#This Row],[Back to BE]])="True",(TABLE1[[#This Row],[Price Behaviour]])="Fast Reversal"), 1-(TABLE1[[#This Row],[Missed RRR on Entry]]),ROUND((TABLE1[[#This Row],[Exit Price]]-TABLE1[[#This Row],[Entry Price]])/(TABLE1[[#This Row],[Intended Entry]]-TABLE1[[#This Row],[SL Price]]),4))</f>
        <v>-0.875</v>
      </c>
      <c r="BE64" s="4">
        <f>IF(AND((TABLE1[[#This Row],[Hard RRR Potential]])&gt;=1.5,(TABLE1[[#This Row],[Back to BE]])="True",(TABLE1[[#This Row],[Price Behaviour]])="Fast Reversal"), 1.5-(TABLE1[[#This Row],[Missed RRR on Entry]]),ROUND((TABLE1[[#This Row],[Exit Price]]-TABLE1[[#This Row],[Entry Price]])/(TABLE1[[#This Row],[Intended Entry]]-TABLE1[[#This Row],[SL Price]]),4))</f>
        <v>-0.875</v>
      </c>
      <c r="BF64" s="4">
        <f>IF(AND((TABLE1[[#This Row],[Hard RRR Potential]])&gt;=2,(TABLE1[[#This Row],[Back to BE]])="True",(TABLE1[[#This Row],[Price Behaviour]])="Fast Reversal"), 2-(TABLE1[[#This Row],[Missed RRR on Entry]]),ROUND((TABLE1[[#This Row],[Exit Price]]-TABLE1[[#This Row],[Entry Price]])/(TABLE1[[#This Row],[Intended Entry]]-TABLE1[[#This Row],[SL Price]]),4))</f>
        <v>-0.875</v>
      </c>
      <c r="BG64" s="48">
        <f>IF((TABLE1[[#This Row],[Pattern SL]])&lt;&gt;FALSE,((TABLE1[[#This Row],[Pattern SL]])-(TABLE1[[#This Row],[Entry Price]]))/((TABLE1[[#This Row],[Intended Entry]])-(TABLE1[[#This Row],[SL Price]])),ROUND((TABLE1[[#This Row],[Exit Price]]-TABLE1[[#This Row],[Entry Price]])/(TABLE1[[#This Row],[Intended Entry]]-TABLE1[[#This Row],[SL Price]]),4))</f>
        <v>-0.875</v>
      </c>
      <c r="BH6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-0.875</v>
      </c>
      <c r="BI64"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-0.875</v>
      </c>
      <c r="BJ64" s="21">
        <f>IF( TABLE1[[#This Row],[Wick Exit]]&lt;&gt; FALSE,TABLE1[[#This Row],[RRR Wick Exit]],IF(TABLE1[[#This Row],[Volume Exit]]&lt;&gt; FALSE,TABLE1[[#This Row],[RRR Volume Exit]],TABLE1[[#This Row],[RRR Realized]]))</f>
        <v>-0.875</v>
      </c>
      <c r="BK6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-0.875</v>
      </c>
      <c r="BL64" s="4">
        <f>IF(OR(AND(TABLE1[[#This Row],[Hard RRR Potential]]&gt;=2.5,TABLE1[[#This Row],[Volume Exit]]=FALSE,TABLE1[[#This Row],[Wick Exit]]=FALSE),AND(TABLE1[[#This Row],[Hard RRR Potential]]&gt;=2.5,TABLE1[[#This Row],[Volume Exit RRR Reach]]&gt;=2.5,TABLE1[[#This Row],[Wick Exit]]=FALSE)), 2.5-TABLE1[[#This Row],[Missed RRR on Entry]],TABLE1[[#This Row],[RRR Realized]])</f>
        <v>-0.875</v>
      </c>
      <c r="BM64" s="4">
        <f>IF(OR(AND(TABLE1[[#This Row],[Hard RRR Potential]]&gt;=3,TABLE1[[#This Row],[Volume Exit]]=FALSE,TABLE1[[#This Row],[Wick Exit]]=FALSE),AND(TABLE1[[#This Row],[Hard RRR Potential]]&gt;=3,TABLE1[[#This Row],[Volume Exit RRR Reach]]&gt;=3,TABLE1[[#This Row],[Wick Exit]]=FALSE)), 3-TABLE1[[#This Row],[Missed RRR on Entry]],TABLE1[[#This Row],[RRR Realized]])</f>
        <v>-0.875</v>
      </c>
    </row>
    <row r="65" spans="1:65" x14ac:dyDescent="0.45">
      <c r="A65" t="s">
        <v>307</v>
      </c>
      <c r="B65">
        <v>65</v>
      </c>
      <c r="C65" s="2">
        <v>43610</v>
      </c>
      <c r="D65" s="1">
        <v>0.43333333333333335</v>
      </c>
      <c r="E65" s="1">
        <v>0.43472222222222223</v>
      </c>
      <c r="F65" s="4">
        <v>3.43</v>
      </c>
      <c r="G65" s="4">
        <f>-372/2</f>
        <v>-186</v>
      </c>
      <c r="H65" s="15">
        <v>333</v>
      </c>
      <c r="I65" t="s">
        <v>18</v>
      </c>
      <c r="J65" t="s">
        <v>21</v>
      </c>
      <c r="K65">
        <v>9.18</v>
      </c>
      <c r="L65">
        <v>9.18</v>
      </c>
      <c r="M65">
        <v>8.58</v>
      </c>
      <c r="N65">
        <v>8.5860000000000003</v>
      </c>
      <c r="O65">
        <v>9.5</v>
      </c>
      <c r="P65">
        <v>8.58</v>
      </c>
      <c r="Q65">
        <v>9.5</v>
      </c>
      <c r="R65">
        <v>9.5</v>
      </c>
      <c r="S65" t="b">
        <v>0</v>
      </c>
      <c r="T65" t="b">
        <v>0</v>
      </c>
      <c r="U65" t="b">
        <v>0</v>
      </c>
      <c r="V65" t="b">
        <v>0</v>
      </c>
      <c r="W65" t="b">
        <v>0</v>
      </c>
      <c r="Z65" t="b">
        <v>0</v>
      </c>
      <c r="AA65" t="b">
        <v>0</v>
      </c>
      <c r="AB65" t="s">
        <v>24</v>
      </c>
      <c r="AC65" t="s">
        <v>31</v>
      </c>
      <c r="AD65" t="s">
        <v>33</v>
      </c>
      <c r="AE65">
        <v>108</v>
      </c>
      <c r="AG65">
        <v>1</v>
      </c>
      <c r="AH65" t="b">
        <v>1</v>
      </c>
      <c r="AI65">
        <v>8.5</v>
      </c>
      <c r="AJ65" t="s">
        <v>135</v>
      </c>
      <c r="AK65" t="s">
        <v>167</v>
      </c>
      <c r="AL65">
        <v>5.27</v>
      </c>
      <c r="AM65">
        <v>-0.02</v>
      </c>
      <c r="AN65">
        <v>5.17</v>
      </c>
      <c r="AO65" s="22" t="s">
        <v>308</v>
      </c>
      <c r="AP65" s="4">
        <f>IF(TABLE1[[#This Row],[Buy/Sell]]="BUY",(TABLE1[[#This Row],[Highest Price]]-TABLE1[[#This Row],[Entry Price]])/(TABLE1[[#This Row],[Intended Entry]]-TABLE1[[#This Row],[SL Price]]),(TABLE1[[#This Row],[Entry Price]]-TABLE1[[#This Row],[Lowest Price]])/(TABLE1[[#This Row],[SL Price]]-TABLE1[[#This Row],[Intended Entry]]))</f>
        <v>0.5333333333333341</v>
      </c>
      <c r="AQ65" s="19">
        <f>IF(TABLE1[[#This Row],[Buy/Sell]]="BUY",(TABLE1[[#This Row],[Entry Price]]-TABLE1[[#This Row],[Lowest Price]])/(TABLE1[[#This Row],[SL Price]]-TABLE1[[#This Row],[Intended Entry]]),(TABLE1[[#This Row],[Entry Price]]-TABLE1[[#This Row],[Highest Price]])/(TABLE1[[#This Row],[SL Price]]-TABLE1[[#This Row],[Intended Entry]]))</f>
        <v>-1</v>
      </c>
      <c r="AR65" s="4" t="str">
        <f>IF(AND(TABLE1[[#This Row],[RRR Realized]]&lt;0.5,TABLE1[[#This Row],[RRR Realized]]&gt;-0.6),"BE",IF(TABLE1[[#This Row],[Gain/Loss]]&lt;0, "LOSER", "WINNER"))</f>
        <v>LOSER</v>
      </c>
      <c r="AS65" s="4">
        <f>TABLE1[[#This Row],[Gain/Loss]]-TABLE1[[#This Row],[Comissions]]</f>
        <v>-189.43</v>
      </c>
      <c r="AT65" s="3">
        <f>TABLE1[[#This Row],[Exit Time]]-TABLE1[[#This Row],[Entry Time]]</f>
        <v>1.388888888888884E-3</v>
      </c>
      <c r="AU65" s="4">
        <f>TABLE1[[#This Row],[Net Gain/Loss]]+AU64</f>
        <v>277.57889999999952</v>
      </c>
      <c r="AV65" s="4">
        <f>IF(TABLE1[[#This Row],[Potential Price Before BE]]=FALSE,"FALSE",( TABLE1[[#This Row],[Potential Price Before BE]]-TABLE1[[#This Row],[Intended Entry]])/(TABLE1[[#This Row],[Intended Entry]]-TABLE1[[#This Row],[SL Price]]))</f>
        <v>0.5333333333333341</v>
      </c>
      <c r="AW65" s="4">
        <f>(IF(TABLE1[[#This Row],[Buy/Sell]]="BUY",(TABLE1[[#This Row],[Entry Price]]-TABLE1[[#This Row],[SL Price]])/(TABLE1[[#This Row],[Intended Entry]]-TABLE1[[#This Row],[SL Price]]),(TABLE1[[#This Row],[SL Price]]-TABLE1[[#This Row],[Entry Price]])/(TABLE1[[#This Row],[SL Price]]-TABLE1[[#This Row],[Intended Entry]])))-1</f>
        <v>0</v>
      </c>
      <c r="AX65" s="19">
        <f>TABLE1[[#This Row],[Missed RRR on Entry]]</f>
        <v>0</v>
      </c>
      <c r="AY65" s="19">
        <f>ROUND((TABLE1[[#This Row],[Potential Price]]-TABLE1[[#This Row],[Entry Price]])/(TABLE1[[#This Row],[Intended Entry]]-TABLE1[[#This Row],[SL Price]]),4)</f>
        <v>0.5333</v>
      </c>
      <c r="AZ65" s="19">
        <f>ROUND((TABLE1[[#This Row],[Potential Price]]-TABLE1[[#This Row],[Intended Entry]])/(TABLE1[[#This Row],[Intended Entry]]-TABLE1[[#This Row],[SL Price]]),4)</f>
        <v>0.5333</v>
      </c>
      <c r="BA65" s="19">
        <f>TABLE1[[#This Row],[RRR Potential]]-TABLE1[[#This Row],[RRR Realized]]</f>
        <v>1.5232999999999999</v>
      </c>
      <c r="BB65" s="25">
        <f>ROUND((TABLE1[[#This Row],[Exit Price]]-TABLE1[[#This Row],[Entry Price]])/(TABLE1[[#This Row],[Intended Entry]]-TABLE1[[#This Row],[SL Price]]),4)</f>
        <v>-0.99</v>
      </c>
      <c r="BC65" s="4">
        <f>IF(AND((TABLE1[[#This Row],[Back to BE]])=TRUE,(TABLE1[[#This Row],[Price Behaviour]])="Fast Reversal"), 0-(TABLE1[[#This Row],[Missed RRR on Entry]]),ROUND((TABLE1[[#This Row],[Exit Price]]-TABLE1[[#This Row],[Entry Price]])/(TABLE1[[#This Row],[Intended Entry]]-TABLE1[[#This Row],[SL Price]]),4))</f>
        <v>-0.99</v>
      </c>
      <c r="BD65" s="4">
        <f>IF(AND((TABLE1[[#This Row],[Hard RRR Potential]])&gt;=1,(TABLE1[[#This Row],[Back to BE]])="True",(TABLE1[[#This Row],[Price Behaviour]])="Fast Reversal"), 1-(TABLE1[[#This Row],[Missed RRR on Entry]]),ROUND((TABLE1[[#This Row],[Exit Price]]-TABLE1[[#This Row],[Entry Price]])/(TABLE1[[#This Row],[Intended Entry]]-TABLE1[[#This Row],[SL Price]]),4))</f>
        <v>-0.99</v>
      </c>
      <c r="BE65" s="4">
        <f>IF(AND((TABLE1[[#This Row],[Hard RRR Potential]])&gt;=1.5,(TABLE1[[#This Row],[Back to BE]])="True",(TABLE1[[#This Row],[Price Behaviour]])="Fast Reversal"), 1.5-(TABLE1[[#This Row],[Missed RRR on Entry]]),ROUND((TABLE1[[#This Row],[Exit Price]]-TABLE1[[#This Row],[Entry Price]])/(TABLE1[[#This Row],[Intended Entry]]-TABLE1[[#This Row],[SL Price]]),4))</f>
        <v>-0.99</v>
      </c>
      <c r="BF65" s="4">
        <f>IF(AND((TABLE1[[#This Row],[Hard RRR Potential]])&gt;=2,(TABLE1[[#This Row],[Back to BE]])="True",(TABLE1[[#This Row],[Price Behaviour]])="Fast Reversal"), 2-(TABLE1[[#This Row],[Missed RRR on Entry]]),ROUND((TABLE1[[#This Row],[Exit Price]]-TABLE1[[#This Row],[Entry Price]])/(TABLE1[[#This Row],[Intended Entry]]-TABLE1[[#This Row],[SL Price]]),4))</f>
        <v>-0.99</v>
      </c>
      <c r="BG65" s="48">
        <f>IF((TABLE1[[#This Row],[Pattern SL]])&lt;&gt;FALSE,((TABLE1[[#This Row],[Pattern SL]])-(TABLE1[[#This Row],[Entry Price]]))/((TABLE1[[#This Row],[Intended Entry]])-(TABLE1[[#This Row],[SL Price]])),ROUND((TABLE1[[#This Row],[Exit Price]]-TABLE1[[#This Row],[Entry Price]])/(TABLE1[[#This Row],[Intended Entry]]-TABLE1[[#This Row],[SL Price]]),4))</f>
        <v>-0.99</v>
      </c>
      <c r="BH6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-0.99</v>
      </c>
      <c r="BI65"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-0.99</v>
      </c>
      <c r="BJ65" s="21">
        <f>IF( TABLE1[[#This Row],[Wick Exit]]&lt;&gt; FALSE,TABLE1[[#This Row],[RRR Wick Exit]],IF(TABLE1[[#This Row],[Volume Exit]]&lt;&gt; FALSE,TABLE1[[#This Row],[RRR Volume Exit]],TABLE1[[#This Row],[RRR Realized]]))</f>
        <v>-0.99</v>
      </c>
      <c r="BK6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-0.99</v>
      </c>
      <c r="BL65" s="4">
        <f>IF(OR(AND(TABLE1[[#This Row],[Hard RRR Potential]]&gt;=2.5,TABLE1[[#This Row],[Volume Exit]]=FALSE,TABLE1[[#This Row],[Wick Exit]]=FALSE),AND(TABLE1[[#This Row],[Hard RRR Potential]]&gt;=2.5,TABLE1[[#This Row],[Volume Exit RRR Reach]]&gt;=2.5,TABLE1[[#This Row],[Wick Exit]]=FALSE)), 2.5-TABLE1[[#This Row],[Missed RRR on Entry]],TABLE1[[#This Row],[RRR Realized]])</f>
        <v>-0.99</v>
      </c>
      <c r="BM65" s="4">
        <f>IF(OR(AND(TABLE1[[#This Row],[Hard RRR Potential]]&gt;=3,TABLE1[[#This Row],[Volume Exit]]=FALSE,TABLE1[[#This Row],[Wick Exit]]=FALSE),AND(TABLE1[[#This Row],[Hard RRR Potential]]&gt;=3,TABLE1[[#This Row],[Volume Exit RRR Reach]]&gt;=3,TABLE1[[#This Row],[Wick Exit]]=FALSE)), 3-TABLE1[[#This Row],[Missed RRR on Entry]],TABLE1[[#This Row],[RRR Realized]])</f>
        <v>-0.99</v>
      </c>
    </row>
    <row r="66" spans="1:65" x14ac:dyDescent="0.45">
      <c r="C66"/>
      <c r="D66"/>
      <c r="E66"/>
      <c r="F66"/>
      <c r="AP66"/>
      <c r="AQ66"/>
      <c r="AV66"/>
      <c r="AW66"/>
    </row>
    <row r="67" spans="1:65" x14ac:dyDescent="0.45">
      <c r="C67"/>
      <c r="D67"/>
      <c r="E67"/>
      <c r="F67"/>
      <c r="AP67"/>
      <c r="AQ67"/>
      <c r="AV67"/>
      <c r="AW67"/>
    </row>
    <row r="68" spans="1:65" x14ac:dyDescent="0.45">
      <c r="C68"/>
      <c r="D68"/>
      <c r="E68"/>
      <c r="F68"/>
      <c r="AP68"/>
      <c r="AQ68"/>
      <c r="AV68"/>
      <c r="AW68"/>
    </row>
    <row r="69" spans="1:65" x14ac:dyDescent="0.45">
      <c r="C69"/>
      <c r="D69"/>
      <c r="E69"/>
      <c r="F69"/>
      <c r="AP69"/>
      <c r="AQ69"/>
      <c r="AV69"/>
      <c r="AW69"/>
    </row>
    <row r="70" spans="1:65" x14ac:dyDescent="0.45">
      <c r="C70"/>
      <c r="D70"/>
      <c r="E70"/>
      <c r="F70"/>
      <c r="AP70"/>
      <c r="AQ70"/>
      <c r="AV70"/>
      <c r="AW70"/>
    </row>
    <row r="71" spans="1:65" x14ac:dyDescent="0.45">
      <c r="C71"/>
      <c r="D71"/>
      <c r="E71"/>
      <c r="F71"/>
      <c r="AP71"/>
      <c r="AQ71"/>
      <c r="AV71"/>
      <c r="AW71"/>
    </row>
    <row r="72" spans="1:65" x14ac:dyDescent="0.45">
      <c r="C72"/>
      <c r="D72"/>
      <c r="E72"/>
      <c r="F72"/>
      <c r="AP72"/>
      <c r="AQ72"/>
      <c r="AV72"/>
      <c r="AW72"/>
    </row>
    <row r="73" spans="1:65" x14ac:dyDescent="0.45">
      <c r="C73"/>
      <c r="D73"/>
      <c r="E73"/>
      <c r="F73"/>
      <c r="AP73"/>
      <c r="AQ73"/>
      <c r="AV73"/>
      <c r="AW73"/>
    </row>
    <row r="74" spans="1:65" x14ac:dyDescent="0.45">
      <c r="C74"/>
      <c r="D74"/>
      <c r="E74"/>
      <c r="F74"/>
      <c r="AP74"/>
      <c r="AQ74"/>
      <c r="AV74"/>
      <c r="AW74"/>
    </row>
    <row r="75" spans="1:65" x14ac:dyDescent="0.45">
      <c r="C75"/>
      <c r="D75"/>
      <c r="E75"/>
      <c r="F75"/>
      <c r="AP75"/>
      <c r="AQ75"/>
      <c r="AV75"/>
      <c r="AW75"/>
    </row>
    <row r="76" spans="1:65" x14ac:dyDescent="0.45">
      <c r="C76"/>
      <c r="D76"/>
      <c r="E76"/>
      <c r="F76"/>
      <c r="AP76"/>
      <c r="AQ76"/>
      <c r="AV76"/>
      <c r="AW76"/>
    </row>
    <row r="77" spans="1:65" x14ac:dyDescent="0.45">
      <c r="C77"/>
      <c r="D77"/>
      <c r="E77"/>
      <c r="F77"/>
      <c r="AP77"/>
      <c r="AQ77"/>
      <c r="AV77"/>
      <c r="AW77"/>
    </row>
    <row r="78" spans="1:65" x14ac:dyDescent="0.45">
      <c r="C78"/>
      <c r="D78"/>
      <c r="E78"/>
      <c r="F78"/>
      <c r="AP78"/>
      <c r="AQ78"/>
      <c r="AV78"/>
      <c r="AW78"/>
    </row>
    <row r="79" spans="1:65" x14ac:dyDescent="0.45">
      <c r="C79"/>
      <c r="D79"/>
      <c r="E79"/>
      <c r="F79"/>
      <c r="AP79"/>
      <c r="AQ79"/>
      <c r="AV79"/>
      <c r="AW79"/>
    </row>
    <row r="80" spans="1:65" x14ac:dyDescent="0.45">
      <c r="C80"/>
      <c r="D80"/>
      <c r="E80"/>
      <c r="F80"/>
      <c r="AP80"/>
      <c r="AQ80"/>
      <c r="AV80"/>
      <c r="AW80"/>
    </row>
    <row r="81" customFormat="1" x14ac:dyDescent="0.45"/>
    <row r="82" customFormat="1" x14ac:dyDescent="0.45"/>
    <row r="83" customFormat="1" x14ac:dyDescent="0.45"/>
    <row r="84" customFormat="1" x14ac:dyDescent="0.45"/>
    <row r="85" customFormat="1" x14ac:dyDescent="0.45"/>
    <row r="86" customFormat="1" x14ac:dyDescent="0.45"/>
    <row r="87" customFormat="1" x14ac:dyDescent="0.45"/>
    <row r="88" customFormat="1" x14ac:dyDescent="0.45"/>
    <row r="89" customFormat="1" x14ac:dyDescent="0.45"/>
    <row r="90" customFormat="1" x14ac:dyDescent="0.45"/>
    <row r="91" customFormat="1" x14ac:dyDescent="0.45"/>
    <row r="92" customFormat="1" x14ac:dyDescent="0.45"/>
    <row r="93" customFormat="1" x14ac:dyDescent="0.45"/>
    <row r="94" customFormat="1" x14ac:dyDescent="0.45"/>
    <row r="95" customFormat="1" x14ac:dyDescent="0.45"/>
    <row r="96" customFormat="1" x14ac:dyDescent="0.45"/>
    <row r="97" customFormat="1" x14ac:dyDescent="0.45"/>
    <row r="98" customFormat="1" x14ac:dyDescent="0.45"/>
    <row r="99" customFormat="1" x14ac:dyDescent="0.45"/>
    <row r="100" customFormat="1" x14ac:dyDescent="0.45"/>
    <row r="101" customFormat="1" x14ac:dyDescent="0.45"/>
    <row r="102" customFormat="1" x14ac:dyDescent="0.45"/>
    <row r="103" customFormat="1" x14ac:dyDescent="0.45"/>
    <row r="104" customFormat="1" x14ac:dyDescent="0.45"/>
    <row r="105" customFormat="1" x14ac:dyDescent="0.45"/>
    <row r="106" customFormat="1" x14ac:dyDescent="0.45"/>
  </sheetData>
  <dataConsolidate/>
  <dataValidations count="2">
    <dataValidation type="textLength" allowBlank="1" showInputMessage="1" showErrorMessage="1" sqref="A1:A1048576" xr:uid="{2842DA43-2E88-4ED2-BAC1-BDCF4999E216}">
      <formula1>2</formula1>
      <formula2>4</formula2>
    </dataValidation>
    <dataValidation type="time" allowBlank="1" showInputMessage="1" showErrorMessage="1" sqref="D1:E1048576" xr:uid="{98CE12DE-7510-467B-9549-9E137E6C9963}">
      <formula1>0.395138888888889</formula1>
      <formula2>0.667361111111111</formula2>
    </dataValidation>
  </dataValidations>
  <hyperlinks>
    <hyperlink ref="AO8" r:id="rId1" xr:uid="{120F2978-0F6A-44C3-8F55-9F142EE36121}"/>
    <hyperlink ref="AO9" r:id="rId2" xr:uid="{CF4122EA-B950-43D3-B4AE-02487CF806B9}"/>
    <hyperlink ref="AO10" r:id="rId3" xr:uid="{BB091140-D558-42C6-A501-A354C0C4CBD1}"/>
    <hyperlink ref="AO11" r:id="rId4" xr:uid="{19E16A5C-E3B1-46F6-9FA5-20FADCB94A70}"/>
    <hyperlink ref="AO2" r:id="rId5" xr:uid="{5FD0076F-7EA9-4286-9658-A018A0A5EB7E}"/>
    <hyperlink ref="AO3" r:id="rId6" xr:uid="{6212EC1A-631C-4D33-A182-C355E67E1C06}"/>
    <hyperlink ref="AO4" r:id="rId7" xr:uid="{7FDA2BC3-9B11-4174-AB26-E03FA3DBD590}"/>
    <hyperlink ref="AO5" r:id="rId8" xr:uid="{183B24AD-72E5-4E7B-A69E-5CA04A3CD07F}"/>
    <hyperlink ref="AO6" r:id="rId9" xr:uid="{29F30B94-A7C7-4781-89DF-9D85E50F428C}"/>
    <hyperlink ref="AO7" r:id="rId10" xr:uid="{25ABD906-A575-4F1E-8658-9AB44D9CD782}"/>
    <hyperlink ref="AO12" r:id="rId11" xr:uid="{CDCD8C24-FBF2-4FB5-890F-DC06EF9B1778}"/>
    <hyperlink ref="AO13" r:id="rId12" xr:uid="{8CA12C2D-B5C6-4F48-A1A4-EC074164BF77}"/>
    <hyperlink ref="AO14" r:id="rId13" xr:uid="{6EABD54A-0EE6-4B89-9644-3F658E7907A5}"/>
    <hyperlink ref="AO15" r:id="rId14" xr:uid="{4E8A8A02-C33E-4DA8-9AA9-ACAC0D783FA4}"/>
    <hyperlink ref="AO16" r:id="rId15" xr:uid="{50E9FA5F-80C1-470E-B493-764AC5B4E1D3}"/>
    <hyperlink ref="AO17" r:id="rId16" xr:uid="{DC0BF5B4-2586-4EC2-A199-55B1770108D7}"/>
    <hyperlink ref="AO18" r:id="rId17" xr:uid="{9431BB6C-C3DC-462B-986A-F4C6AAFBE649}"/>
    <hyperlink ref="AO19" r:id="rId18" xr:uid="{013C537D-A885-4C84-B093-F849649AD13C}"/>
    <hyperlink ref="AO20" r:id="rId19" xr:uid="{86302164-1818-460B-A35E-FDD3B500AE1B}"/>
    <hyperlink ref="AO21" r:id="rId20" xr:uid="{B7363AB2-C15F-449E-A381-EC3B8449AB45}"/>
    <hyperlink ref="AO22" r:id="rId21" xr:uid="{0E1C68A3-2021-4D58-B5CD-3F702FAA40BC}"/>
    <hyperlink ref="AO23" r:id="rId22" xr:uid="{FF0B4C6F-CC7D-4AC1-9226-C29AB5BB4F96}"/>
    <hyperlink ref="AO24" r:id="rId23" xr:uid="{65E1ED2D-CD84-4D2E-BCF7-5D9042DB1FBD}"/>
    <hyperlink ref="AO25" r:id="rId24" xr:uid="{E725BB5C-63E3-41A5-8642-33D11BB11B28}"/>
    <hyperlink ref="AO26" r:id="rId25" xr:uid="{E49B0FFD-0A26-4B7B-8EF0-E5903C4C1454}"/>
    <hyperlink ref="AO27" r:id="rId26" xr:uid="{E045CC5C-07DA-419F-8BA6-EE224F9E8C75}"/>
    <hyperlink ref="AO28" r:id="rId27" xr:uid="{871BC343-EA69-4CC9-A2E1-6FE10476299F}"/>
    <hyperlink ref="AO29" r:id="rId28" xr:uid="{10A014E1-137A-4ECC-90B6-82FC9BBA94D6}"/>
    <hyperlink ref="AO30" r:id="rId29" xr:uid="{63D9CEF4-C05A-4DDC-A1F8-8B264FF07B0B}"/>
    <hyperlink ref="AO33" r:id="rId30" xr:uid="{92A10B33-0FAE-4B66-BD86-DE8D87519EBA}"/>
    <hyperlink ref="AO31" r:id="rId31" xr:uid="{1C93EFF9-FD24-4078-A018-290D1A486D5D}"/>
    <hyperlink ref="AO32" r:id="rId32" xr:uid="{9CD772D4-0921-412E-9792-FF727B990C29}"/>
    <hyperlink ref="AO34" r:id="rId33" xr:uid="{415588DE-6947-48CB-BA83-87D9AF9DABC6}"/>
    <hyperlink ref="AO35" r:id="rId34" xr:uid="{CACEFED7-6091-4F61-9732-10EAA950285C}"/>
    <hyperlink ref="AO36" r:id="rId35" xr:uid="{44F08E71-B652-4B3F-83B4-48A38B8E1AE8}"/>
    <hyperlink ref="AO37" r:id="rId36" xr:uid="{404E21F5-96C9-46D2-B7CA-B3F91FE2403C}"/>
    <hyperlink ref="AO38" r:id="rId37" xr:uid="{B9E2E58F-A6B0-4B24-A1FE-B61235020C56}"/>
    <hyperlink ref="AO39" r:id="rId38" xr:uid="{A050586B-9428-43E4-9D56-8E708733EC08}"/>
    <hyperlink ref="AO40" r:id="rId39" xr:uid="{A6C79FB1-80E3-4E59-9686-92D94881ACE1}"/>
    <hyperlink ref="AO41" r:id="rId40" xr:uid="{9E570168-A86C-4981-B178-B191D4609B19}"/>
    <hyperlink ref="AO42" r:id="rId41" xr:uid="{EAF959E9-3228-426D-ADCD-FFE195ADBC04}"/>
    <hyperlink ref="AO43" r:id="rId42" xr:uid="{B3FA0727-CA86-4ED5-B0EE-BB9033CB0D4E}"/>
    <hyperlink ref="AO44" r:id="rId43" xr:uid="{240107D6-1020-4839-98D0-1D0CC60D7EA6}"/>
    <hyperlink ref="AO48" r:id="rId44" xr:uid="{1B1CA4AA-F1B2-4DFD-851D-20F3B1C1AF58}"/>
    <hyperlink ref="AO47" r:id="rId45" xr:uid="{699BFF15-55A4-46C6-969A-C91C1D087B4F}"/>
    <hyperlink ref="AO45" r:id="rId46" xr:uid="{4A2CCDCC-0254-433B-923B-B333F5765D5F}"/>
    <hyperlink ref="AO49" r:id="rId47" xr:uid="{87DA067B-898A-492E-AF4B-E6279B0A6C84}"/>
    <hyperlink ref="AO46" r:id="rId48" xr:uid="{E2167F11-32DD-4559-82F1-021698E48D71}"/>
    <hyperlink ref="AO50" r:id="rId49" xr:uid="{A8EE91B0-03D1-4DD8-B732-C594FDA0419C}"/>
    <hyperlink ref="AO52" r:id="rId50" xr:uid="{2D8A366D-D422-4A96-A21D-E7C60345F744}"/>
    <hyperlink ref="AO51" r:id="rId51" xr:uid="{1AFF4C30-700F-467F-93C7-1EE7F1423185}"/>
    <hyperlink ref="AO54" r:id="rId52" xr:uid="{A3369BAF-9671-412C-B4A3-1C9F85B6B09A}"/>
    <hyperlink ref="AO55" r:id="rId53" xr:uid="{475E4B3E-3501-4744-8F8A-B8293AF2F03B}"/>
    <hyperlink ref="AO53" r:id="rId54" xr:uid="{7C1E4346-D27D-4B41-99EF-2640AC16BF46}"/>
    <hyperlink ref="AO58" r:id="rId55" xr:uid="{D73295E4-AD90-4692-9F41-7F739AE2CC16}"/>
    <hyperlink ref="AO56" r:id="rId56" xr:uid="{186029E0-AEF1-4E8F-9578-934E339D2D2B}"/>
    <hyperlink ref="AO57" r:id="rId57" xr:uid="{DD3AE06E-E6D2-4A34-AF4B-6B122A8E9E6B}"/>
    <hyperlink ref="AO59" r:id="rId58" xr:uid="{36FA505A-C578-431B-B09F-CFE90512EC81}"/>
    <hyperlink ref="AO60" r:id="rId59" xr:uid="{2F77018C-3E36-4960-87EA-7B7A8E9B9FF6}"/>
    <hyperlink ref="AO61" r:id="rId60" xr:uid="{629E1112-CB8F-4F74-A88F-27E578E43FB4}"/>
    <hyperlink ref="AO62" r:id="rId61" xr:uid="{1288E1FF-4355-4102-AD4B-362A67D418D3}"/>
    <hyperlink ref="AO63" r:id="rId62" xr:uid="{83EF1175-A8A6-4ABD-90C5-3F6A8F83404A}"/>
    <hyperlink ref="AO64" r:id="rId63" xr:uid="{7D8735C6-2880-4FD7-9AAE-995A19B3AF03}"/>
    <hyperlink ref="AO65" r:id="rId64" xr:uid="{244DDA5C-000A-41B1-8719-4699A6FF56D4}"/>
  </hyperlinks>
  <pageMargins left="0.7" right="0.7" top="0.75" bottom="0.75" header="0.3" footer="0.3"/>
  <pageSetup paperSize="9" orientation="portrait" r:id="rId65"/>
  <ignoredErrors>
    <ignoredError sqref="D1:E1 U1 A1 A101:A1048576 J1 D101:E1048576 AE101:AE1048576" listDataValidation="1"/>
  </ignoredErrors>
  <tableParts count="1">
    <tablePart r:id="rId66"/>
  </tableParts>
  <extLst>
    <ext xmlns:x14="http://schemas.microsoft.com/office/spreadsheetml/2009/9/main" uri="{CCE6A557-97BC-4b89-ADB6-D9C93CAAB3DF}">
      <x14:dataValidations xmlns:xm="http://schemas.microsoft.com/office/excel/2006/main" count="8">
        <x14:dataValidation type="list" allowBlank="1" showInputMessage="1" showErrorMessage="1" xr:uid="{4E71CD1D-B99B-4295-B35D-53F4197F3B8F}">
          <x14:formula1>
            <xm:f>Notes!$M$2:$M$3</xm:f>
          </x14:formula1>
          <xm:sqref>AE101:AE1048576</xm:sqref>
        </x14:dataValidation>
        <x14:dataValidation type="list" allowBlank="1" showInputMessage="1" showErrorMessage="1" xr:uid="{1A7720C8-957E-4CBC-AE69-D9BAAC062080}">
          <x14:formula1>
            <xm:f>Notes!$G$2:$G$5</xm:f>
          </x14:formula1>
          <xm:sqref>AC1:AC48 AC50:AC51 AC53:AC54 AC56:AC58 AC60:AC65</xm:sqref>
        </x14:dataValidation>
        <x14:dataValidation type="list" allowBlank="1" showInputMessage="1" showErrorMessage="1" xr:uid="{04CE1B8D-2D33-415B-80E4-6AAAED22D48C}">
          <x14:formula1>
            <xm:f>Notes!$E$2:$E$3</xm:f>
          </x14:formula1>
          <xm:sqref>U1:U11</xm:sqref>
        </x14:dataValidation>
        <x14:dataValidation type="list" allowBlank="1" showInputMessage="1" showErrorMessage="1" xr:uid="{5E1A025E-5621-435E-B979-28A23A27E6B8}">
          <x14:formula1>
            <xm:f>Notes!$F$2:$F$6</xm:f>
          </x14:formula1>
          <xm:sqref>AB1:AB65</xm:sqref>
        </x14:dataValidation>
        <x14:dataValidation type="list" allowBlank="1" showInputMessage="1" showErrorMessage="1" xr:uid="{25E7D479-F421-42BD-8EF0-B522FDBBEC04}">
          <x14:formula1>
            <xm:f>Notes!$D$2:$D$3</xm:f>
          </x14:formula1>
          <xm:sqref>J1:J11</xm:sqref>
        </x14:dataValidation>
        <x14:dataValidation type="list" allowBlank="1" showInputMessage="1" showErrorMessage="1" xr:uid="{ADB060BA-7846-4416-AEB8-9CB096EA4272}">
          <x14:formula1>
            <xm:f>'F:\Live day trading 3\[Live day trading 3.xlsx]Notes'!#REF!</xm:f>
          </x14:formula1>
          <xm:sqref>J2:J11 U2:U11 AB2:AC48 AC50:AC51 AC56:AC58 AC53:AC54 AB49:AB65 AC60:AC65</xm:sqref>
        </x14:dataValidation>
        <x14:dataValidation type="list" allowBlank="1" showInputMessage="1" showErrorMessage="1" xr:uid="{5F317588-8A70-454A-8680-CC008BD7709D}">
          <x14:formula1>
            <xm:f>Notes!$I$3:$I$18</xm:f>
          </x14:formula1>
          <xm:sqref>AO52:AO1048576</xm:sqref>
        </x14:dataValidation>
        <x14:dataValidation type="list" allowBlank="1" showInputMessage="1" showErrorMessage="1" xr:uid="{24B9D03D-B383-420E-9EDE-3DDB29D5D92F}">
          <x14:formula1>
            <xm:f>Notes!$K$2:$K$10</xm:f>
          </x14:formula1>
          <xm:sqref>AP33:AQ1048576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6984-D49C-4BB4-8C78-C6619234E1A7}">
  <dimension ref="A1:BE14"/>
  <sheetViews>
    <sheetView workbookViewId="0">
      <selection activeCell="AI12" sqref="AI12"/>
    </sheetView>
  </sheetViews>
  <sheetFormatPr defaultRowHeight="14.25" x14ac:dyDescent="0.45"/>
  <cols>
    <col min="1" max="1" width="13" customWidth="1"/>
    <col min="3" max="3" width="12.265625" customWidth="1"/>
    <col min="4" max="4" width="12.59765625" customWidth="1"/>
    <col min="5" max="5" width="11.265625" customWidth="1"/>
    <col min="6" max="6" width="15.3984375" customWidth="1"/>
    <col min="7" max="7" width="10.59765625" customWidth="1"/>
    <col min="8" max="8" width="16.265625" customWidth="1"/>
    <col min="9" max="9" width="12.59765625" customWidth="1"/>
    <col min="10" max="10" width="10.3984375" customWidth="1"/>
    <col min="11" max="11" width="13.73046875" customWidth="1"/>
    <col min="12" max="12" width="14.73046875" customWidth="1"/>
    <col min="13" max="13" width="15.59765625" customWidth="1"/>
    <col min="14" max="14" width="16.59765625" customWidth="1"/>
    <col min="15" max="15" width="16.1328125" customWidth="1"/>
    <col min="16" max="16" width="12.73046875" customWidth="1"/>
    <col min="17" max="17" width="13.73046875" customWidth="1"/>
    <col min="19" max="19" width="12" customWidth="1"/>
    <col min="20" max="20" width="13.86328125" customWidth="1"/>
    <col min="21" max="21" width="23.3984375" customWidth="1"/>
    <col min="22" max="22" width="16.3984375" customWidth="1"/>
    <col min="23" max="23" width="13" customWidth="1"/>
    <col min="24" max="24" width="11.265625" customWidth="1"/>
    <col min="25" max="25" width="17" customWidth="1"/>
    <col min="26" max="26" width="9.59765625" customWidth="1"/>
    <col min="27" max="27" width="22.59765625" customWidth="1"/>
    <col min="28" max="28" width="17.86328125" customWidth="1"/>
    <col min="29" max="29" width="20.59765625" customWidth="1"/>
    <col min="30" max="30" width="13.265625" customWidth="1"/>
    <col min="31" max="31" width="21.265625" customWidth="1"/>
    <col min="32" max="32" width="10.73046875" customWidth="1"/>
    <col min="33" max="33" width="14.59765625" customWidth="1"/>
    <col min="34" max="34" width="9.3984375" customWidth="1"/>
    <col min="35" max="35" width="14.73046875" customWidth="1"/>
    <col min="36" max="36" width="22.59765625" customWidth="1"/>
    <col min="37" max="37" width="11.265625" customWidth="1"/>
    <col min="38" max="38" width="18.73046875" customWidth="1"/>
    <col min="39" max="39" width="18.265625" customWidth="1"/>
    <col min="40" max="40" width="14.265625" customWidth="1"/>
    <col min="41" max="41" width="20.1328125" customWidth="1"/>
    <col min="42" max="42" width="21.1328125" customWidth="1"/>
    <col min="43" max="43" width="17.59765625" customWidth="1"/>
    <col min="44" max="44" width="19.1328125" customWidth="1"/>
    <col min="45" max="45" width="19.73046875" customWidth="1"/>
    <col min="46" max="46" width="19" customWidth="1"/>
    <col min="47" max="47" width="20.59765625" customWidth="1"/>
    <col min="48" max="48" width="19" customWidth="1"/>
    <col min="49" max="49" width="18.73046875" customWidth="1"/>
    <col min="50" max="50" width="20.265625" customWidth="1"/>
    <col min="51" max="51" width="20.59765625" customWidth="1"/>
    <col min="52" max="53" width="25" customWidth="1"/>
    <col min="54" max="54" width="26.59765625" customWidth="1"/>
    <col min="55" max="55" width="25" customWidth="1"/>
    <col min="56" max="57" width="26.59765625" customWidth="1"/>
    <col min="58" max="58" width="28.1328125" customWidth="1"/>
    <col min="59" max="59" width="26.59765625" customWidth="1"/>
    <col min="60" max="60" width="30.73046875" customWidth="1"/>
    <col min="61" max="61" width="32.265625" customWidth="1"/>
    <col min="63" max="64" width="26" customWidth="1"/>
    <col min="65" max="65" width="27.59765625" customWidth="1"/>
    <col min="66" max="66" width="26" customWidth="1"/>
    <col min="67" max="68" width="27.59765625" customWidth="1"/>
    <col min="69" max="69" width="29.1328125" customWidth="1"/>
    <col min="70" max="70" width="27.59765625" customWidth="1"/>
    <col min="71" max="71" width="31.73046875" customWidth="1"/>
    <col min="72" max="72" width="33.265625" customWidth="1"/>
  </cols>
  <sheetData>
    <row r="1" spans="1:57" x14ac:dyDescent="0.45">
      <c r="A1" s="30" t="s">
        <v>0</v>
      </c>
      <c r="B1" s="30" t="s">
        <v>1</v>
      </c>
      <c r="C1" s="44" t="s">
        <v>2</v>
      </c>
      <c r="D1" s="42" t="s">
        <v>56</v>
      </c>
      <c r="E1" s="42" t="s">
        <v>57</v>
      </c>
      <c r="F1" s="30" t="s">
        <v>3</v>
      </c>
      <c r="G1" s="30" t="s">
        <v>4</v>
      </c>
      <c r="H1" s="30" t="s">
        <v>106</v>
      </c>
      <c r="I1" s="30" t="s">
        <v>6</v>
      </c>
      <c r="J1" s="30" t="s">
        <v>11</v>
      </c>
      <c r="K1" s="30" t="s">
        <v>7</v>
      </c>
      <c r="L1" s="30" t="s">
        <v>8</v>
      </c>
      <c r="M1" s="30" t="s">
        <v>9</v>
      </c>
      <c r="N1" s="30" t="s">
        <v>61</v>
      </c>
      <c r="O1" s="30" t="s">
        <v>10</v>
      </c>
      <c r="P1" s="30" t="s">
        <v>117</v>
      </c>
      <c r="Q1" s="30" t="s">
        <v>144</v>
      </c>
      <c r="R1" s="30" t="s">
        <v>12</v>
      </c>
      <c r="S1" s="30" t="s">
        <v>118</v>
      </c>
      <c r="T1" s="30" t="s">
        <v>158</v>
      </c>
      <c r="U1" s="30" t="s">
        <v>165</v>
      </c>
      <c r="V1" s="30" t="s">
        <v>160</v>
      </c>
      <c r="W1" s="30" t="s">
        <v>168</v>
      </c>
      <c r="X1" s="30" t="s">
        <v>162</v>
      </c>
      <c r="Y1" s="30" t="s">
        <v>16</v>
      </c>
      <c r="Z1" s="30" t="s">
        <v>15</v>
      </c>
      <c r="AA1" s="30" t="s">
        <v>13</v>
      </c>
      <c r="AB1" s="30" t="s">
        <v>169</v>
      </c>
      <c r="AC1" s="30" t="s">
        <v>63</v>
      </c>
      <c r="AD1" s="30" t="s">
        <v>170</v>
      </c>
      <c r="AE1" s="30" t="s">
        <v>138</v>
      </c>
      <c r="AF1" s="30" t="s">
        <v>282</v>
      </c>
      <c r="AG1" s="30" t="s">
        <v>171</v>
      </c>
      <c r="AH1" s="30" t="s">
        <v>209</v>
      </c>
      <c r="AI1" s="31" t="s">
        <v>69</v>
      </c>
      <c r="AJ1" s="30" t="s">
        <v>73</v>
      </c>
      <c r="AK1" s="30" t="s">
        <v>123</v>
      </c>
      <c r="AL1" s="40" t="s">
        <v>67</v>
      </c>
      <c r="AM1" s="30" t="s">
        <v>107</v>
      </c>
      <c r="AN1" s="30" t="s">
        <v>93</v>
      </c>
      <c r="AO1" s="30" t="s">
        <v>161</v>
      </c>
      <c r="AP1" s="30" t="s">
        <v>126</v>
      </c>
      <c r="AQ1" s="30" t="s">
        <v>109</v>
      </c>
      <c r="AR1" s="30" t="s">
        <v>68</v>
      </c>
      <c r="AS1" s="30" t="s">
        <v>108</v>
      </c>
      <c r="AT1" s="30" t="s">
        <v>221</v>
      </c>
      <c r="AU1" s="37" t="s">
        <v>64</v>
      </c>
      <c r="AV1" s="30" t="s">
        <v>176</v>
      </c>
      <c r="AW1" s="30" t="s">
        <v>175</v>
      </c>
      <c r="AX1" s="30" t="s">
        <v>174</v>
      </c>
      <c r="AY1" s="30" t="s">
        <v>173</v>
      </c>
      <c r="AZ1" s="55" t="s">
        <v>172</v>
      </c>
      <c r="BA1" s="33" t="s">
        <v>159</v>
      </c>
      <c r="BB1" s="32" t="s">
        <v>250</v>
      </c>
      <c r="BC1" s="30" t="s">
        <v>251</v>
      </c>
      <c r="BD1" s="30" t="s">
        <v>222</v>
      </c>
      <c r="BE1" s="30" t="s">
        <v>223</v>
      </c>
    </row>
    <row r="2" spans="1:57" x14ac:dyDescent="0.45">
      <c r="A2" s="39" t="s">
        <v>253</v>
      </c>
      <c r="B2" s="39">
        <v>1</v>
      </c>
      <c r="C2" s="29">
        <v>43592</v>
      </c>
      <c r="D2" s="43">
        <v>0.4597222222222222</v>
      </c>
      <c r="E2" s="43">
        <v>0.51944444444444449</v>
      </c>
      <c r="F2" s="39" t="s">
        <v>254</v>
      </c>
      <c r="G2" s="39" t="s">
        <v>22</v>
      </c>
      <c r="H2" s="39">
        <v>1.1299999999999999</v>
      </c>
      <c r="I2" s="39">
        <v>1.1100000000000001</v>
      </c>
      <c r="J2" s="39">
        <v>1.1599999999999999</v>
      </c>
      <c r="K2" s="39">
        <v>1.03</v>
      </c>
      <c r="L2" s="39">
        <v>1.1499999999999999</v>
      </c>
      <c r="M2" s="39">
        <v>1.03</v>
      </c>
      <c r="N2" s="39">
        <v>1.08</v>
      </c>
      <c r="O2" s="39">
        <v>1.03</v>
      </c>
      <c r="P2" s="39" t="b">
        <v>0</v>
      </c>
      <c r="Q2" s="39" t="b">
        <v>0</v>
      </c>
      <c r="R2" s="39" t="b">
        <v>1</v>
      </c>
      <c r="S2" s="39" t="b">
        <v>0</v>
      </c>
      <c r="T2" s="39">
        <v>1.06</v>
      </c>
      <c r="U2" s="39">
        <v>2.66</v>
      </c>
      <c r="V2" s="39" t="b">
        <v>0</v>
      </c>
      <c r="W2" s="39" t="b">
        <v>0</v>
      </c>
      <c r="X2" s="39" t="b">
        <v>0</v>
      </c>
      <c r="Y2" s="39" t="s">
        <v>27</v>
      </c>
      <c r="Z2" s="39" t="s">
        <v>28</v>
      </c>
      <c r="AA2" s="39" t="s">
        <v>33</v>
      </c>
      <c r="AB2" s="39">
        <v>23</v>
      </c>
      <c r="AC2" s="34" t="s">
        <v>275</v>
      </c>
      <c r="AD2" s="39"/>
      <c r="AE2" s="39" t="s">
        <v>135</v>
      </c>
      <c r="AF2" s="39">
        <v>50</v>
      </c>
      <c r="AG2" s="39">
        <v>8.17</v>
      </c>
      <c r="AH2" s="39">
        <v>5.12</v>
      </c>
      <c r="AI2" s="45" t="s">
        <v>255</v>
      </c>
      <c r="AJ2" s="34">
        <f>IF(table2[[#This Row],[Buy/Sell]]="BUY",(table2[[#This Row],[Highest Price]]-table2[[#This Row],[Entry Price]])/(table2[[#This Row],[Intended Entry]]-table2[[#This Row],[SL Price]]),(table2[[#This Row],[Entry Price]]-table2[[#This Row],[Lowest Price]])/(table2[[#This Row],[SL Price]]-table2[[#This Row],[Intended Entry]]))</f>
        <v>2.6666666666666665</v>
      </c>
      <c r="AK2" s="38">
        <f>IF(table2[[#This Row],[Buy/Sell]]="BUY",(table2[[#This Row],[Entry Price]]-table2[[#This Row],[Lowest Price]])/(table2[[#This Row],[SL Price]]-table2[[#This Row],[Intended Entry]]),(table2[[#This Row],[Entry Price]]-table2[[#This Row],[Highest Price]])/(table2[[#This Row],[SL Price]]-table2[[#This Row],[Intended Entry]]))</f>
        <v>-1.3333333333333259</v>
      </c>
      <c r="AL2" s="41">
        <f>table2[[#This Row],[Exit Time]]-table2[[#This Row],[Entry Time]]</f>
        <v>5.9722222222222288E-2</v>
      </c>
      <c r="AM2" s="38" t="str">
        <f>IF(table2[[#This Row],[Retest Price]]&lt;&gt;FALSE,ROUND((table2[[#This Row],[Retest Price]]-table2[[#This Row],[Entry Price]])/(table2[[#This Row],[Intended Entry]]-table2[[#This Row],[SL Price]]),4), "FALSE")</f>
        <v>FALSE</v>
      </c>
      <c r="AN2" s="34">
        <f>232</f>
        <v>232</v>
      </c>
      <c r="AO2" s="34">
        <f>IF(table2[[#This Row],[Price Before BE]]=FALSE,"FALSE",( table2[[#This Row],[Price Before BE]]-table2[[#This Row],[Intended Entry]])/(table2[[#This Row],[Intended Entry]]-table2[[#This Row],[SL Price]]))</f>
        <v>1.6666666666666592</v>
      </c>
      <c r="AP2" s="34">
        <f>(IF(table2[[#This Row],[Buy/Sell]]="BUY",(table2[[#This Row],[Entry Price]]-table2[[#This Row],[SL Price]])/(table2[[#This Row],[Intended Entry]]-table2[[#This Row],[SL Price]]),(table2[[#This Row],[SL Price]]-table2[[#This Row],[Entry Price]])/(table2[[#This Row],[SL Price]]-table2[[#This Row],[Intended Entry]])))-1</f>
        <v>0.66666666666665919</v>
      </c>
      <c r="AQ2" s="38">
        <f>table2[[#This Row],[Missed RRR on Entry]]</f>
        <v>0.66666666666665919</v>
      </c>
      <c r="AR2" s="38">
        <f>ROUND((table2[[#This Row],[Potential Price]]-table2[[#This Row],[Entry Price]])/(table2[[#This Row],[Intended Entry]]-table2[[#This Row],[SL Price]]),4)</f>
        <v>2.6667000000000001</v>
      </c>
      <c r="AS2" s="38">
        <f>ROUND((table2[[#This Row],[Potential Price]]-table2[[#This Row],[Intended Entry]])/(table2[[#This Row],[Intended Entry]]-table2[[#This Row],[SL Price]]),4)</f>
        <v>3.3332999999999999</v>
      </c>
      <c r="AT2" s="38">
        <f>table2[[#This Row],[RRR Potential]]-table2[[#This Row],[RRR Realized]]</f>
        <v>0</v>
      </c>
      <c r="AU2" s="53">
        <f>ROUND((table2[[#This Row],[Exit Price]]-table2[[#This Row],[Entry Price]])/(table2[[#This Row],[Intended Entry]]-table2[[#This Row],[SL Price]]),4)</f>
        <v>2.6667000000000001</v>
      </c>
      <c r="AV2" s="34">
        <f>IF(AND((table2[[#This Row],[Back to BE]])=TRUE,(table2[[#This Row],[Price Behaviour]])="Fast Reversal"), 0-(table2[[#This Row],[Missed RRR on Entry]]),ROUND((table2[[#This Row],[Exit Price]]-table2[[#This Row],[Entry Price]])/(table2[[#This Row],[Intended Entry]]-table2[[#This Row],[SL Price]]),4))</f>
        <v>2.6667000000000001</v>
      </c>
      <c r="AW2"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2"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2"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2" s="54">
        <f>IF((table2[[#This Row],[Pattern SL]])&lt;&gt;FALSE,((table2[[#This Row],[Pattern SL]])-(table2[[#This Row],[Entry Price]]))/((table2[[#This Row],[Intended Entry]])-(table2[[#This Row],[SL Price]])),ROUND((table2[[#This Row],[Exit Price]]-table2[[#This Row],[Entry Price]])/(table2[[#This Row],[Intended Entry]]-table2[[#This Row],[SL Price]]),4))</f>
        <v>2.6667000000000001</v>
      </c>
      <c r="BA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2" s="35">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2" s="35">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1.8333333333333408</v>
      </c>
      <c r="BE2" s="34">
        <f>IF(OR(AND(table2[[#This Row],[Hard RRR Potential]]&gt;=3,table2[[#This Row],[Volume Exit]]=FALSE,table2[[#This Row],[Wick Exit]]=FALSE),AND(table2[[#This Row],[Hard RRR Potential]]&gt;=3,table2[[#This Row],[Volume Exit RRR Reach]]&gt;=3,table2[[#This Row],[Wick Exit]]=FALSE)), 3-table2[[#This Row],[Missed RRR on Entry]],table2[[#This Row],[RRR Realized]])</f>
        <v>2.6667000000000001</v>
      </c>
    </row>
    <row r="3" spans="1:57" x14ac:dyDescent="0.45">
      <c r="A3" s="39" t="s">
        <v>235</v>
      </c>
      <c r="B3" s="39">
        <v>2</v>
      </c>
      <c r="C3" s="29">
        <v>43602</v>
      </c>
      <c r="D3" s="43">
        <v>0.45277777777777778</v>
      </c>
      <c r="E3" s="43">
        <v>0.4680555555555555</v>
      </c>
      <c r="F3" s="39" t="s">
        <v>254</v>
      </c>
      <c r="G3" s="39" t="s">
        <v>22</v>
      </c>
      <c r="H3" s="39">
        <v>6.37</v>
      </c>
      <c r="I3" s="39">
        <v>6.36</v>
      </c>
      <c r="J3" s="39">
        <v>6.59</v>
      </c>
      <c r="K3" s="39">
        <v>6.6</v>
      </c>
      <c r="L3" s="39">
        <v>6.6</v>
      </c>
      <c r="M3" s="39">
        <v>6.24</v>
      </c>
      <c r="N3" s="39">
        <v>6.24</v>
      </c>
      <c r="O3" s="39">
        <v>6.24</v>
      </c>
      <c r="P3" s="39" t="b">
        <v>0</v>
      </c>
      <c r="Q3" s="39">
        <v>6.5</v>
      </c>
      <c r="R3" s="39" t="b">
        <v>0</v>
      </c>
      <c r="S3" s="39" t="b">
        <v>0</v>
      </c>
      <c r="T3" s="39"/>
      <c r="U3" s="39"/>
      <c r="V3" s="39"/>
      <c r="W3" s="39">
        <v>6.4</v>
      </c>
      <c r="X3" s="39" t="b">
        <v>0</v>
      </c>
      <c r="Y3" s="39" t="s">
        <v>24</v>
      </c>
      <c r="Z3" s="39" t="s">
        <v>30</v>
      </c>
      <c r="AA3" s="39" t="s">
        <v>38</v>
      </c>
      <c r="AB3" s="39">
        <v>5</v>
      </c>
      <c r="AC3" s="34" t="s">
        <v>276</v>
      </c>
      <c r="AD3" s="39">
        <v>3</v>
      </c>
      <c r="AE3" s="39" t="s">
        <v>135</v>
      </c>
      <c r="AF3" s="39">
        <v>17</v>
      </c>
      <c r="AG3" s="39">
        <v>3.66</v>
      </c>
      <c r="AH3" s="39">
        <v>2</v>
      </c>
      <c r="AI3" s="45" t="s">
        <v>277</v>
      </c>
      <c r="AJ3" s="34">
        <f>IF(table2[[#This Row],[Buy/Sell]]="BUY",(table2[[#This Row],[Highest Price]]-table2[[#This Row],[Entry Price]])/(table2[[#This Row],[Intended Entry]]-table2[[#This Row],[SL Price]]),(table2[[#This Row],[Entry Price]]-table2[[#This Row],[Lowest Price]])/(table2[[#This Row],[SL Price]]-table2[[#This Row],[Intended Entry]]))</f>
        <v>0.54545454545454652</v>
      </c>
      <c r="AK3" s="38">
        <f>IF(table2[[#This Row],[Buy/Sell]]="BUY",(table2[[#This Row],[Entry Price]]-table2[[#This Row],[Lowest Price]])/(table2[[#This Row],[SL Price]]-table2[[#This Row],[Intended Entry]]),(table2[[#This Row],[Entry Price]]-table2[[#This Row],[Highest Price]])/(table2[[#This Row],[SL Price]]-table2[[#This Row],[Intended Entry]]))</f>
        <v>-1.0909090909090891</v>
      </c>
      <c r="AL3" s="41">
        <f>table2[[#This Row],[Exit Time]]-table2[[#This Row],[Entry Time]]</f>
        <v>1.5277777777777724E-2</v>
      </c>
      <c r="AM3" s="38">
        <f>IF(table2[[#This Row],[Retest Price]]&lt;&gt;FALSE,ROUND((table2[[#This Row],[Retest Price]]-table2[[#This Row],[Entry Price]])/(table2[[#This Row],[Intended Entry]]-table2[[#This Row],[SL Price]]),4), "FALSE")</f>
        <v>-0.63639999999999997</v>
      </c>
      <c r="AN3" s="34">
        <f>232</f>
        <v>232</v>
      </c>
      <c r="AO3" s="34">
        <f>IF(table2[[#This Row],[Price Before BE]]=FALSE,"FALSE",( table2[[#This Row],[Price Before BE]]-table2[[#This Row],[Intended Entry]])/(table2[[#This Row],[Intended Entry]]-table2[[#This Row],[SL Price]]))</f>
        <v>0.59090909090909105</v>
      </c>
      <c r="AP3" s="34">
        <f>(IF(table2[[#This Row],[Buy/Sell]]="BUY",(table2[[#This Row],[Entry Price]]-table2[[#This Row],[SL Price]])/(table2[[#This Row],[Intended Entry]]-table2[[#This Row],[SL Price]]),(table2[[#This Row],[SL Price]]-table2[[#This Row],[Entry Price]])/(table2[[#This Row],[SL Price]]-table2[[#This Row],[Intended Entry]])))-1</f>
        <v>4.5454545454544526E-2</v>
      </c>
      <c r="AQ3" s="38">
        <f>table2[[#This Row],[Missed RRR on Entry]]</f>
        <v>4.5454545454544526E-2</v>
      </c>
      <c r="AR3" s="38">
        <f>ROUND((table2[[#This Row],[Potential Price]]-table2[[#This Row],[Entry Price]])/(table2[[#This Row],[Intended Entry]]-table2[[#This Row],[SL Price]]),4)</f>
        <v>0.54549999999999998</v>
      </c>
      <c r="AS3" s="38">
        <f>ROUND((table2[[#This Row],[Potential Price]]-table2[[#This Row],[Intended Entry]])/(table2[[#This Row],[Intended Entry]]-table2[[#This Row],[SL Price]]),4)</f>
        <v>0.59089999999999998</v>
      </c>
      <c r="AT3" s="38">
        <f>table2[[#This Row],[RRR Potential]]-table2[[#This Row],[RRR Realized]]</f>
        <v>1.6364000000000001</v>
      </c>
      <c r="AU3" s="53">
        <f>ROUND((table2[[#This Row],[Exit Price]]-table2[[#This Row],[Entry Price]])/(table2[[#This Row],[Intended Entry]]-table2[[#This Row],[SL Price]]),4)</f>
        <v>-1.0909</v>
      </c>
      <c r="AV3" s="34">
        <f>IF(AND((table2[[#This Row],[Back to BE]])=TRUE,(table2[[#This Row],[Price Behaviour]])="Fast Reversal"), 0-(table2[[#This Row],[Missed RRR on Entry]]),ROUND((table2[[#This Row],[Exit Price]]-table2[[#This Row],[Entry Price]])/(table2[[#This Row],[Intended Entry]]-table2[[#This Row],[SL Price]]),4))</f>
        <v>-1.0909</v>
      </c>
      <c r="AW3" s="34">
        <f>IF(AND((table2[[#This Row],[Hard RRR Potential]])&gt;=1,(table2[[#This Row],[Back to BE]])="True",(table2[[#This Row],[Price Behaviour]])="Fast Reversal"), 1-(table2[[#This Row],[Missed RRR on Entry]]),ROUND((table2[[#This Row],[Exit Price]]-table2[[#This Row],[Entry Price]])/(table2[[#This Row],[Intended Entry]]-table2[[#This Row],[SL Price]]),4))</f>
        <v>-1.0909</v>
      </c>
      <c r="AX3" s="34">
        <f>IF(AND((table2[[#This Row],[Hard RRR Potential]])&gt;=1.5,(table2[[#This Row],[Back to BE]])="True",(table2[[#This Row],[Price Behaviour]])="Fast Reversal"), 1.5-(table2[[#This Row],[Missed RRR on Entry]]),ROUND((table2[[#This Row],[Exit Price]]-table2[[#This Row],[Entry Price]])/(table2[[#This Row],[Intended Entry]]-table2[[#This Row],[SL Price]]),4))</f>
        <v>-1.0909</v>
      </c>
      <c r="AY3" s="34">
        <f>IF(AND((table2[[#This Row],[Hard RRR Potential]])&gt;=2,(table2[[#This Row],[Back to BE]])="True",(table2[[#This Row],[Price Behaviour]])="Fast Reversal"), 2-(table2[[#This Row],[Missed RRR on Entry]]),ROUND((table2[[#This Row],[Exit Price]]-table2[[#This Row],[Entry Price]])/(table2[[#This Row],[Intended Entry]]-table2[[#This Row],[SL Price]]),4))</f>
        <v>-1.0909</v>
      </c>
      <c r="AZ3" s="54">
        <f>IF((table2[[#This Row],[Pattern SL]])&lt;&gt;FALSE,((table2[[#This Row],[Pattern SL]])-(table2[[#This Row],[Entry Price]]))/((table2[[#This Row],[Intended Entry]])-(table2[[#This Row],[SL Price]])),ROUND((table2[[#This Row],[Exit Price]]-table2[[#This Row],[Entry Price]])/(table2[[#This Row],[Intended Entry]]-table2[[#This Row],[SL Price]]),4))</f>
        <v>-1.0909</v>
      </c>
      <c r="BA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-1.0909</v>
      </c>
      <c r="BB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-1.0909</v>
      </c>
      <c r="BC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0.72727272727272874</v>
      </c>
      <c r="BD3" s="34">
        <f>IF(OR(AND(table2[[#This Row],[Hard RRR Potential]]&gt;=2.5,table2[[#This Row],[Volume Exit]]=FALSE,table2[[#This Row],[Wick Exit]]=FALSE),AND(table2[[#This Row],[Hard RRR Potential]]&gt;=2.5,table2[[#This Row],[Volume Exit RRR Reach]]&gt;=2.5,table2[[#This Row],[Wick Exit]]=FALSE)), 2.5-table2[[#This Row],[Missed RRR on Entry]],table2[[#This Row],[RRR Realized]])</f>
        <v>-1.0909</v>
      </c>
      <c r="BE3" s="34">
        <f>IF(OR(AND(table2[[#This Row],[Hard RRR Potential]]&gt;=3,table2[[#This Row],[Volume Exit]]=FALSE,table2[[#This Row],[Wick Exit]]=FALSE),AND(table2[[#This Row],[Hard RRR Potential]]&gt;=3,table2[[#This Row],[Volume Exit RRR Reach]]&gt;=3,table2[[#This Row],[Wick Exit]]=FALSE)), 3-table2[[#This Row],[Missed RRR on Entry]],table2[[#This Row],[RRR Realized]])</f>
        <v>-1.0909</v>
      </c>
    </row>
    <row r="4" spans="1:57" x14ac:dyDescent="0.45">
      <c r="A4" s="39" t="s">
        <v>235</v>
      </c>
      <c r="B4" s="39">
        <v>3</v>
      </c>
      <c r="C4" s="29">
        <v>43602</v>
      </c>
      <c r="D4" s="43">
        <v>0.49861111111111112</v>
      </c>
      <c r="E4" s="43">
        <v>0.62013888888888891</v>
      </c>
      <c r="F4" s="39" t="s">
        <v>254</v>
      </c>
      <c r="G4" s="39" t="s">
        <v>22</v>
      </c>
      <c r="H4" s="39">
        <v>6.3</v>
      </c>
      <c r="I4" s="39">
        <v>6.3079999999999998</v>
      </c>
      <c r="J4" s="39">
        <v>6.52</v>
      </c>
      <c r="K4" s="39">
        <v>5.86</v>
      </c>
      <c r="L4" s="39">
        <v>6.35</v>
      </c>
      <c r="M4" s="39">
        <v>5.86</v>
      </c>
      <c r="N4" s="39" t="b">
        <v>0</v>
      </c>
      <c r="O4" s="39">
        <v>5.73</v>
      </c>
      <c r="P4" s="39">
        <v>6.16</v>
      </c>
      <c r="Q4" s="39">
        <v>6.43</v>
      </c>
      <c r="R4" s="39" t="b">
        <v>1</v>
      </c>
      <c r="S4" s="39"/>
      <c r="T4" s="39">
        <v>6.6</v>
      </c>
      <c r="U4" s="39">
        <v>1.5</v>
      </c>
      <c r="V4" s="39" t="b">
        <v>0</v>
      </c>
      <c r="W4" s="39" t="b">
        <v>0</v>
      </c>
      <c r="X4" s="39" t="b">
        <v>0</v>
      </c>
      <c r="Y4" s="39" t="s">
        <v>25</v>
      </c>
      <c r="Z4" s="39" t="s">
        <v>30</v>
      </c>
      <c r="AA4" s="39" t="s">
        <v>38</v>
      </c>
      <c r="AB4" s="39">
        <v>5</v>
      </c>
      <c r="AC4" s="34" t="s">
        <v>275</v>
      </c>
      <c r="AD4" s="39">
        <v>3</v>
      </c>
      <c r="AE4" s="39" t="s">
        <v>135</v>
      </c>
      <c r="AF4" s="39">
        <v>17</v>
      </c>
      <c r="AG4" s="39">
        <v>3.66</v>
      </c>
      <c r="AH4" s="39">
        <v>2</v>
      </c>
      <c r="AI4" s="45" t="s">
        <v>277</v>
      </c>
      <c r="AJ4" s="34">
        <f>IF(table2[[#This Row],[Buy/Sell]]="BUY",(table2[[#This Row],[Highest Price]]-table2[[#This Row],[Entry Price]])/(table2[[#This Row],[Intended Entry]]-table2[[#This Row],[SL Price]]),(table2[[#This Row],[Entry Price]]-table2[[#This Row],[Lowest Price]])/(table2[[#This Row],[SL Price]]-table2[[#This Row],[Intended Entry]]))</f>
        <v>2.0363636363636366</v>
      </c>
      <c r="AK4" s="38">
        <f>IF(table2[[#This Row],[Buy/Sell]]="BUY",(table2[[#This Row],[Entry Price]]-table2[[#This Row],[Lowest Price]])/(table2[[#This Row],[SL Price]]-table2[[#This Row],[Intended Entry]]),(table2[[#This Row],[Entry Price]]-table2[[#This Row],[Highest Price]])/(table2[[#This Row],[SL Price]]-table2[[#This Row],[Intended Entry]]))</f>
        <v>-0.19090909090909028</v>
      </c>
      <c r="AL4" s="41">
        <f>table2[[#This Row],[Exit Time]]-table2[[#This Row],[Entry Time]]</f>
        <v>0.12152777777777779</v>
      </c>
      <c r="AM4" s="38">
        <f>IF(table2[[#This Row],[Retest Price]]&lt;&gt;FALSE,ROUND((table2[[#This Row],[Retest Price]]-table2[[#This Row],[Entry Price]])/(table2[[#This Row],[Intended Entry]]-table2[[#This Row],[SL Price]]),4), "FALSE")</f>
        <v>-0.55449999999999999</v>
      </c>
      <c r="AN4" s="34">
        <f>232</f>
        <v>232</v>
      </c>
      <c r="AO4" s="34" t="str">
        <f>IF(table2[[#This Row],[Price Before BE]]=FALSE,"FALSE",( table2[[#This Row],[Price Before BE]]-table2[[#This Row],[Intended Entry]])/(table2[[#This Row],[Intended Entry]]-table2[[#This Row],[SL Price]]))</f>
        <v>FALSE</v>
      </c>
      <c r="AP4" s="34">
        <f>(IF(table2[[#This Row],[Buy/Sell]]="BUY",(table2[[#This Row],[Entry Price]]-table2[[#This Row],[SL Price]])/(table2[[#This Row],[Intended Entry]]-table2[[#This Row],[SL Price]]),(table2[[#This Row],[SL Price]]-table2[[#This Row],[Entry Price]])/(table2[[#This Row],[SL Price]]-table2[[#This Row],[Intended Entry]])))-1</f>
        <v>-3.6363636363636487E-2</v>
      </c>
      <c r="AQ4" s="38">
        <f>table2[[#This Row],[Missed RRR on Entry]]</f>
        <v>-3.6363636363636487E-2</v>
      </c>
      <c r="AR4" s="38">
        <f>ROUND((table2[[#This Row],[Potential Price]]-table2[[#This Row],[Entry Price]])/(table2[[#This Row],[Intended Entry]]-table2[[#This Row],[SL Price]]),4)</f>
        <v>2.6273</v>
      </c>
      <c r="AS4" s="38">
        <f>ROUND((table2[[#This Row],[Potential Price]]-table2[[#This Row],[Intended Entry]])/(table2[[#This Row],[Intended Entry]]-table2[[#This Row],[SL Price]]),4)</f>
        <v>2.5909</v>
      </c>
      <c r="AT4" s="38">
        <f>table2[[#This Row],[RRR Potential]]-table2[[#This Row],[RRR Realized]]</f>
        <v>0.59089999999999998</v>
      </c>
      <c r="AU4" s="53">
        <f>ROUND((table2[[#This Row],[Exit Price]]-table2[[#This Row],[Entry Price]])/(table2[[#This Row],[Intended Entry]]-table2[[#This Row],[SL Price]]),4)</f>
        <v>2.0364</v>
      </c>
      <c r="AV4" s="34">
        <f>IF(AND((table2[[#This Row],[Back to BE]])=TRUE,(table2[[#This Row],[Price Behaviour]])="Fast Reversal"), 0-(table2[[#This Row],[Missed RRR on Entry]]),ROUND((table2[[#This Row],[Exit Price]]-table2[[#This Row],[Entry Price]])/(table2[[#This Row],[Intended Entry]]-table2[[#This Row],[SL Price]]),4))</f>
        <v>2.0364</v>
      </c>
      <c r="AW4" s="34">
        <f>IF(AND((table2[[#This Row],[Hard RRR Potential]])&gt;=1,(table2[[#This Row],[Back to BE]])="True",(table2[[#This Row],[Price Behaviour]])="Fast Reversal"), 1-(table2[[#This Row],[Missed RRR on Entry]]),ROUND((table2[[#This Row],[Exit Price]]-table2[[#This Row],[Entry Price]])/(table2[[#This Row],[Intended Entry]]-table2[[#This Row],[SL Price]]),4))</f>
        <v>2.0364</v>
      </c>
      <c r="AX4" s="34">
        <f>IF(AND((table2[[#This Row],[Hard RRR Potential]])&gt;=1.5,(table2[[#This Row],[Back to BE]])="True",(table2[[#This Row],[Price Behaviour]])="Fast Reversal"), 1.5-(table2[[#This Row],[Missed RRR on Entry]]),ROUND((table2[[#This Row],[Exit Price]]-table2[[#This Row],[Entry Price]])/(table2[[#This Row],[Intended Entry]]-table2[[#This Row],[SL Price]]),4))</f>
        <v>2.0364</v>
      </c>
      <c r="AY4" s="34">
        <f>IF(AND((table2[[#This Row],[Hard RRR Potential]])&gt;=2,(table2[[#This Row],[Back to BE]])="True",(table2[[#This Row],[Price Behaviour]])="Fast Reversal"), 2-(table2[[#This Row],[Missed RRR on Entry]]),ROUND((table2[[#This Row],[Exit Price]]-table2[[#This Row],[Entry Price]])/(table2[[#This Row],[Intended Entry]]-table2[[#This Row],[SL Price]]),4))</f>
        <v>2.0364</v>
      </c>
      <c r="AZ4" s="54">
        <f>IF((table2[[#This Row],[Pattern SL]])&lt;&gt;FALSE,((table2[[#This Row],[Pattern SL]])-(table2[[#This Row],[Entry Price]]))/((table2[[#This Row],[Intended Entry]])-(table2[[#This Row],[SL Price]])),ROUND((table2[[#This Row],[Exit Price]]-table2[[#This Row],[Entry Price]])/(table2[[#This Row],[Intended Entry]]-table2[[#This Row],[SL Price]]),4))</f>
        <v>0.67272727272727206</v>
      </c>
      <c r="BA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2.0364</v>
      </c>
      <c r="BB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2.0364</v>
      </c>
      <c r="BC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2.0364</v>
      </c>
      <c r="BD4" s="34">
        <f>IF(OR(AND(table2[[#This Row],[Hard RRR Potential]]&gt;=2.5,table2[[#This Row],[Volume Exit]]=FALSE,table2[[#This Row],[Wick Exit]]=FALSE),AND(table2[[#This Row],[Hard RRR Potential]]&gt;=2.5,table2[[#This Row],[Volume Exit RRR Reach]]&gt;=2.5,table2[[#This Row],[Wick Exit]]=FALSE)), 2.5-table2[[#This Row],[Missed RRR on Entry]],table2[[#This Row],[RRR Realized]])</f>
        <v>2.0364</v>
      </c>
      <c r="BE4" s="34">
        <f>IF(OR(AND(table2[[#This Row],[Hard RRR Potential]]&gt;=3,table2[[#This Row],[Volume Exit]]=FALSE,table2[[#This Row],[Wick Exit]]=FALSE),AND(table2[[#This Row],[Hard RRR Potential]]&gt;=3,table2[[#This Row],[Volume Exit RRR Reach]]&gt;=3,table2[[#This Row],[Wick Exit]]=FALSE)), 3-table2[[#This Row],[Missed RRR on Entry]],table2[[#This Row],[RRR Realized]])</f>
        <v>2.0364</v>
      </c>
    </row>
    <row r="5" spans="1:57" x14ac:dyDescent="0.45">
      <c r="A5" s="39" t="s">
        <v>283</v>
      </c>
      <c r="B5" s="39">
        <v>4</v>
      </c>
      <c r="C5" s="29">
        <v>43605</v>
      </c>
      <c r="D5" s="43">
        <v>0.47013888888888888</v>
      </c>
      <c r="E5" s="43">
        <v>0.62569444444444444</v>
      </c>
      <c r="F5" s="39" t="s">
        <v>254</v>
      </c>
      <c r="G5" s="39" t="s">
        <v>22</v>
      </c>
      <c r="H5" s="39">
        <v>6.36</v>
      </c>
      <c r="I5" s="39">
        <v>6.36</v>
      </c>
      <c r="J5" s="39">
        <v>6.45</v>
      </c>
      <c r="K5" s="39">
        <v>6.16</v>
      </c>
      <c r="L5" s="39">
        <v>6.42</v>
      </c>
      <c r="M5" s="39">
        <v>6.16</v>
      </c>
      <c r="N5" s="39">
        <v>6.23</v>
      </c>
      <c r="O5" s="39">
        <v>6.03</v>
      </c>
      <c r="P5" s="39" t="b">
        <v>0</v>
      </c>
      <c r="Q5" s="39">
        <v>6.43</v>
      </c>
      <c r="R5" s="39" t="b">
        <v>1</v>
      </c>
      <c r="S5" s="39" t="b">
        <v>1</v>
      </c>
      <c r="T5" s="39" t="b">
        <v>0</v>
      </c>
      <c r="U5" s="39"/>
      <c r="V5" s="39"/>
      <c r="W5" s="39">
        <v>6.37</v>
      </c>
      <c r="X5" s="39" t="b">
        <v>0</v>
      </c>
      <c r="Y5" s="39" t="s">
        <v>24</v>
      </c>
      <c r="Z5" s="39" t="s">
        <v>28</v>
      </c>
      <c r="AA5" s="39" t="s">
        <v>33</v>
      </c>
      <c r="AB5" s="39">
        <v>1.5</v>
      </c>
      <c r="AC5" s="34" t="s">
        <v>275</v>
      </c>
      <c r="AD5" s="39">
        <v>1.3</v>
      </c>
      <c r="AE5" s="39" t="s">
        <v>137</v>
      </c>
      <c r="AF5" s="39">
        <v>9.2799999999999994</v>
      </c>
      <c r="AG5" s="39">
        <v>23</v>
      </c>
      <c r="AH5" s="39">
        <v>17.8</v>
      </c>
      <c r="AI5" s="45" t="s">
        <v>285</v>
      </c>
      <c r="AJ5" s="34">
        <f>IF(table2[[#This Row],[Buy/Sell]]="BUY",(table2[[#This Row],[Highest Price]]-table2[[#This Row],[Entry Price]])/(table2[[#This Row],[Intended Entry]]-table2[[#This Row],[SL Price]]),(table2[[#This Row],[Entry Price]]-table2[[#This Row],[Lowest Price]])/(table2[[#This Row],[SL Price]]-table2[[#This Row],[Intended Entry]]))</f>
        <v>2.2222222222222276</v>
      </c>
      <c r="AK5" s="38">
        <f>IF(table2[[#This Row],[Buy/Sell]]="BUY",(table2[[#This Row],[Entry Price]]-table2[[#This Row],[Lowest Price]])/(table2[[#This Row],[SL Price]]-table2[[#This Row],[Intended Entry]]),(table2[[#This Row],[Entry Price]]-table2[[#This Row],[Highest Price]])/(table2[[#This Row],[SL Price]]-table2[[#This Row],[Intended Entry]]))</f>
        <v>-0.66666666666666341</v>
      </c>
      <c r="AL5" s="41">
        <f>table2[[#This Row],[Exit Time]]-table2[[#This Row],[Entry Time]]</f>
        <v>0.15555555555555556</v>
      </c>
      <c r="AM5" s="38">
        <f>IF(table2[[#This Row],[Retest Price]]&lt;&gt;FALSE,ROUND((table2[[#This Row],[Retest Price]]-table2[[#This Row],[Entry Price]])/(table2[[#This Row],[Intended Entry]]-table2[[#This Row],[SL Price]]),4), "FALSE")</f>
        <v>-0.77780000000000005</v>
      </c>
      <c r="AN5" s="34">
        <f>232</f>
        <v>232</v>
      </c>
      <c r="AO5" s="34">
        <f>IF(table2[[#This Row],[Price Before BE]]=FALSE,"FALSE",( table2[[#This Row],[Price Before BE]]-table2[[#This Row],[Intended Entry]])/(table2[[#This Row],[Intended Entry]]-table2[[#This Row],[SL Price]]))</f>
        <v>1.4444444444444455</v>
      </c>
      <c r="AP5" s="34">
        <f>(IF(table2[[#This Row],[Buy/Sell]]="BUY",(table2[[#This Row],[Entry Price]]-table2[[#This Row],[SL Price]])/(table2[[#This Row],[Intended Entry]]-table2[[#This Row],[SL Price]]),(table2[[#This Row],[SL Price]]-table2[[#This Row],[Entry Price]])/(table2[[#This Row],[SL Price]]-table2[[#This Row],[Intended Entry]])))-1</f>
        <v>0</v>
      </c>
      <c r="AQ5" s="38">
        <f>table2[[#This Row],[Missed RRR on Entry]]</f>
        <v>0</v>
      </c>
      <c r="AR5" s="38">
        <f>ROUND((table2[[#This Row],[Potential Price]]-table2[[#This Row],[Entry Price]])/(table2[[#This Row],[Intended Entry]]-table2[[#This Row],[SL Price]]),4)</f>
        <v>3.6667000000000001</v>
      </c>
      <c r="AS5" s="38">
        <f>ROUND((table2[[#This Row],[Potential Price]]-table2[[#This Row],[Intended Entry]])/(table2[[#This Row],[Intended Entry]]-table2[[#This Row],[SL Price]]),4)</f>
        <v>3.6667000000000001</v>
      </c>
      <c r="AT5" s="38">
        <f>table2[[#This Row],[RRR Potential]]-table2[[#This Row],[RRR Realized]]</f>
        <v>1.4445000000000001</v>
      </c>
      <c r="AU5" s="53">
        <f>ROUND((table2[[#This Row],[Exit Price]]-table2[[#This Row],[Entry Price]])/(table2[[#This Row],[Intended Entry]]-table2[[#This Row],[SL Price]]),4)</f>
        <v>2.2222</v>
      </c>
      <c r="AV5" s="34">
        <f>IF(AND((table2[[#This Row],[Back to BE]])=TRUE,(table2[[#This Row],[Price Behaviour]])="Fast Reversal"), 0-(table2[[#This Row],[Missed RRR on Entry]]),ROUND((table2[[#This Row],[Exit Price]]-table2[[#This Row],[Entry Price]])/(table2[[#This Row],[Intended Entry]]-table2[[#This Row],[SL Price]]),4))</f>
        <v>0</v>
      </c>
      <c r="AW5" s="34">
        <f>IF(AND((table2[[#This Row],[Hard RRR Potential]])&gt;=1,(table2[[#This Row],[Back to BE]])="True",(table2[[#This Row],[Price Behaviour]])="Fast Reversal"), 1-(table2[[#This Row],[Missed RRR on Entry]]),ROUND((table2[[#This Row],[Exit Price]]-table2[[#This Row],[Entry Price]])/(table2[[#This Row],[Intended Entry]]-table2[[#This Row],[SL Price]]),4))</f>
        <v>2.2222</v>
      </c>
      <c r="AX5" s="34">
        <f>IF(AND((table2[[#This Row],[Hard RRR Potential]])&gt;=1.5,(table2[[#This Row],[Back to BE]])="True",(table2[[#This Row],[Price Behaviour]])="Fast Reversal"), 1.5-(table2[[#This Row],[Missed RRR on Entry]]),ROUND((table2[[#This Row],[Exit Price]]-table2[[#This Row],[Entry Price]])/(table2[[#This Row],[Intended Entry]]-table2[[#This Row],[SL Price]]),4))</f>
        <v>2.2222</v>
      </c>
      <c r="AY5" s="34">
        <f>IF(AND((table2[[#This Row],[Hard RRR Potential]])&gt;=2,(table2[[#This Row],[Back to BE]])="True",(table2[[#This Row],[Price Behaviour]])="Fast Reversal"), 2-(table2[[#This Row],[Missed RRR on Entry]]),ROUND((table2[[#This Row],[Exit Price]]-table2[[#This Row],[Entry Price]])/(table2[[#This Row],[Intended Entry]]-table2[[#This Row],[SL Price]]),4))</f>
        <v>2.2222</v>
      </c>
      <c r="AZ5" s="54">
        <f>IF((table2[[#This Row],[Pattern SL]])&lt;&gt;FALSE,((table2[[#This Row],[Pattern SL]])-(table2[[#This Row],[Entry Price]]))/((table2[[#This Row],[Intended Entry]])-(table2[[#This Row],[SL Price]])),ROUND((table2[[#This Row],[Exit Price]]-table2[[#This Row],[Entry Price]])/(table2[[#This Row],[Intended Entry]]-table2[[#This Row],[SL Price]]),4))</f>
        <v>2.2222</v>
      </c>
      <c r="BA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2.2222</v>
      </c>
      <c r="BB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2.2222</v>
      </c>
      <c r="BC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2.3333333333333366</v>
      </c>
      <c r="BD5"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5"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6" spans="1:57" x14ac:dyDescent="0.45">
      <c r="A6" s="39" t="s">
        <v>284</v>
      </c>
      <c r="B6" s="39">
        <v>5</v>
      </c>
      <c r="C6" s="29">
        <v>43605</v>
      </c>
      <c r="D6" s="43">
        <v>0.5</v>
      </c>
      <c r="E6" s="43">
        <v>0.64444444444444449</v>
      </c>
      <c r="F6" s="39" t="s">
        <v>254</v>
      </c>
      <c r="G6" s="39" t="s">
        <v>22</v>
      </c>
      <c r="H6" s="39">
        <v>1.02</v>
      </c>
      <c r="I6" s="39">
        <v>1.02</v>
      </c>
      <c r="J6" s="39">
        <v>1.06</v>
      </c>
      <c r="K6" s="39">
        <v>0.95</v>
      </c>
      <c r="L6" s="39">
        <v>1.03</v>
      </c>
      <c r="M6" s="39">
        <v>0.95</v>
      </c>
      <c r="N6" s="39">
        <v>0.96</v>
      </c>
      <c r="O6" s="39">
        <v>0.87</v>
      </c>
      <c r="P6" s="39" t="b">
        <v>0</v>
      </c>
      <c r="Q6" s="39" t="b">
        <v>0</v>
      </c>
      <c r="R6" s="39" t="b">
        <v>1</v>
      </c>
      <c r="S6" s="39"/>
      <c r="T6" s="39">
        <v>0.98</v>
      </c>
      <c r="U6" s="39">
        <v>1.9</v>
      </c>
      <c r="V6" s="39" t="b">
        <v>0</v>
      </c>
      <c r="W6" s="39" t="b">
        <v>0</v>
      </c>
      <c r="X6" s="39" t="b">
        <v>0</v>
      </c>
      <c r="Y6" s="39" t="s">
        <v>27</v>
      </c>
      <c r="Z6" s="39" t="s">
        <v>28</v>
      </c>
      <c r="AA6" s="39" t="s">
        <v>39</v>
      </c>
      <c r="AB6" s="39">
        <v>3</v>
      </c>
      <c r="AC6" s="34" t="s">
        <v>275</v>
      </c>
      <c r="AD6" s="39">
        <v>2.1</v>
      </c>
      <c r="AE6" s="39" t="s">
        <v>137</v>
      </c>
      <c r="AF6" s="39">
        <v>22.8</v>
      </c>
      <c r="AG6" s="39">
        <v>9.9700000000000006</v>
      </c>
      <c r="AH6" s="39">
        <v>4.2</v>
      </c>
      <c r="AI6" s="45" t="s">
        <v>286</v>
      </c>
      <c r="AJ6" s="34">
        <f>IF(table2[[#This Row],[Buy/Sell]]="BUY",(table2[[#This Row],[Highest Price]]-table2[[#This Row],[Entry Price]])/(table2[[#This Row],[Intended Entry]]-table2[[#This Row],[SL Price]]),(table2[[#This Row],[Entry Price]]-table2[[#This Row],[Lowest Price]])/(table2[[#This Row],[SL Price]]-table2[[#This Row],[Intended Entry]]))</f>
        <v>1.75</v>
      </c>
      <c r="AK6" s="38">
        <f>IF(table2[[#This Row],[Buy/Sell]]="BUY",(table2[[#This Row],[Entry Price]]-table2[[#This Row],[Lowest Price]])/(table2[[#This Row],[SL Price]]-table2[[#This Row],[Intended Entry]]),(table2[[#This Row],[Entry Price]]-table2[[#This Row],[Highest Price]])/(table2[[#This Row],[SL Price]]-table2[[#This Row],[Intended Entry]]))</f>
        <v>-0.25</v>
      </c>
      <c r="AL6" s="41">
        <f>table2[[#This Row],[Exit Time]]-table2[[#This Row],[Entry Time]]</f>
        <v>0.14444444444444449</v>
      </c>
      <c r="AM6" s="38" t="str">
        <f>IF(table2[[#This Row],[Retest Price]]&lt;&gt;FALSE,ROUND((table2[[#This Row],[Retest Price]]-table2[[#This Row],[Entry Price]])/(table2[[#This Row],[Intended Entry]]-table2[[#This Row],[SL Price]]),4), "FALSE")</f>
        <v>FALSE</v>
      </c>
      <c r="AN6" s="34">
        <f>232</f>
        <v>232</v>
      </c>
      <c r="AO6" s="34">
        <f>IF(table2[[#This Row],[Price Before BE]]=FALSE,"FALSE",( table2[[#This Row],[Price Before BE]]-table2[[#This Row],[Intended Entry]])/(table2[[#This Row],[Intended Entry]]-table2[[#This Row],[SL Price]]))</f>
        <v>1.5</v>
      </c>
      <c r="AP6" s="34">
        <f>(IF(table2[[#This Row],[Buy/Sell]]="BUY",(table2[[#This Row],[Entry Price]]-table2[[#This Row],[SL Price]])/(table2[[#This Row],[Intended Entry]]-table2[[#This Row],[SL Price]]),(table2[[#This Row],[SL Price]]-table2[[#This Row],[Entry Price]])/(table2[[#This Row],[SL Price]]-table2[[#This Row],[Intended Entry]])))-1</f>
        <v>0</v>
      </c>
      <c r="AQ6" s="38">
        <f>table2[[#This Row],[Missed RRR on Entry]]</f>
        <v>0</v>
      </c>
      <c r="AR6" s="38">
        <f>ROUND((table2[[#This Row],[Potential Price]]-table2[[#This Row],[Entry Price]])/(table2[[#This Row],[Intended Entry]]-table2[[#This Row],[SL Price]]),4)</f>
        <v>3.75</v>
      </c>
      <c r="AS6" s="38">
        <f>ROUND((table2[[#This Row],[Potential Price]]-table2[[#This Row],[Intended Entry]])/(table2[[#This Row],[Intended Entry]]-table2[[#This Row],[SL Price]]),4)</f>
        <v>3.75</v>
      </c>
      <c r="AT6" s="38">
        <f>table2[[#This Row],[RRR Potential]]-table2[[#This Row],[RRR Realized]]</f>
        <v>2</v>
      </c>
      <c r="AU6" s="53">
        <f>ROUND((table2[[#This Row],[Exit Price]]-table2[[#This Row],[Entry Price]])/(table2[[#This Row],[Intended Entry]]-table2[[#This Row],[SL Price]]),4)</f>
        <v>1.75</v>
      </c>
      <c r="AV6" s="34">
        <f>IF(AND((table2[[#This Row],[Back to BE]])=TRUE,(table2[[#This Row],[Price Behaviour]])="Fast Reversal"), 0-(table2[[#This Row],[Missed RRR on Entry]]),ROUND((table2[[#This Row],[Exit Price]]-table2[[#This Row],[Entry Price]])/(table2[[#This Row],[Intended Entry]]-table2[[#This Row],[SL Price]]),4))</f>
        <v>1.75</v>
      </c>
      <c r="AW6" s="34">
        <f>IF(AND((table2[[#This Row],[Hard RRR Potential]])&gt;=1,(table2[[#This Row],[Back to BE]])="True",(table2[[#This Row],[Price Behaviour]])="Fast Reversal"), 1-(table2[[#This Row],[Missed RRR on Entry]]),ROUND((table2[[#This Row],[Exit Price]]-table2[[#This Row],[Entry Price]])/(table2[[#This Row],[Intended Entry]]-table2[[#This Row],[SL Price]]),4))</f>
        <v>1.75</v>
      </c>
      <c r="AX6" s="34">
        <f>IF(AND((table2[[#This Row],[Hard RRR Potential]])&gt;=1.5,(table2[[#This Row],[Back to BE]])="True",(table2[[#This Row],[Price Behaviour]])="Fast Reversal"), 1.5-(table2[[#This Row],[Missed RRR on Entry]]),ROUND((table2[[#This Row],[Exit Price]]-table2[[#This Row],[Entry Price]])/(table2[[#This Row],[Intended Entry]]-table2[[#This Row],[SL Price]]),4))</f>
        <v>1.75</v>
      </c>
      <c r="AY6" s="34">
        <f>IF(AND((table2[[#This Row],[Hard RRR Potential]])&gt;=2,(table2[[#This Row],[Back to BE]])="True",(table2[[#This Row],[Price Behaviour]])="Fast Reversal"), 2-(table2[[#This Row],[Missed RRR on Entry]]),ROUND((table2[[#This Row],[Exit Price]]-table2[[#This Row],[Entry Price]])/(table2[[#This Row],[Intended Entry]]-table2[[#This Row],[SL Price]]),4))</f>
        <v>1.75</v>
      </c>
      <c r="AZ6" s="54">
        <f>IF((table2[[#This Row],[Pattern SL]])&lt;&gt;FALSE,((table2[[#This Row],[Pattern SL]])-(table2[[#This Row],[Entry Price]]))/((table2[[#This Row],[Intended Entry]])-(table2[[#This Row],[SL Price]])),ROUND((table2[[#This Row],[Exit Price]]-table2[[#This Row],[Entry Price]])/(table2[[#This Row],[Intended Entry]]-table2[[#This Row],[SL Price]]),4))</f>
        <v>1.75</v>
      </c>
      <c r="BA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1.75</v>
      </c>
      <c r="BB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1.75</v>
      </c>
      <c r="BC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1.75</v>
      </c>
      <c r="BD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1.75</v>
      </c>
      <c r="BE6" s="34">
        <f>IF(OR(AND(table2[[#This Row],[Hard RRR Potential]]&gt;=3,table2[[#This Row],[Volume Exit]]=FALSE,table2[[#This Row],[Wick Exit]]=FALSE),AND(table2[[#This Row],[Hard RRR Potential]]&gt;=3,table2[[#This Row],[Volume Exit RRR Reach]]&gt;=3,table2[[#This Row],[Wick Exit]]=FALSE)), 3-table2[[#This Row],[Missed RRR on Entry]],table2[[#This Row],[RRR Realized]])</f>
        <v>1.75</v>
      </c>
    </row>
    <row r="7" spans="1:57" x14ac:dyDescent="0.45">
      <c r="A7" s="39" t="s">
        <v>243</v>
      </c>
      <c r="B7" s="39">
        <v>6</v>
      </c>
      <c r="C7" s="29">
        <v>43607</v>
      </c>
      <c r="D7" s="43">
        <v>0.44444444444444442</v>
      </c>
      <c r="E7" s="43">
        <v>0.45069444444444445</v>
      </c>
      <c r="F7" s="39" t="s">
        <v>254</v>
      </c>
      <c r="G7" s="39" t="s">
        <v>22</v>
      </c>
      <c r="H7" s="39">
        <v>2.2400000000000002</v>
      </c>
      <c r="I7" s="39">
        <v>2.2400000000000002</v>
      </c>
      <c r="J7" s="39">
        <v>2.31</v>
      </c>
      <c r="K7" s="39">
        <v>2.31</v>
      </c>
      <c r="L7" s="39">
        <v>2.31</v>
      </c>
      <c r="M7" s="39">
        <v>2.23</v>
      </c>
      <c r="N7" s="39">
        <v>2.23</v>
      </c>
      <c r="O7" s="39">
        <v>2.23</v>
      </c>
      <c r="P7" s="39" t="b">
        <v>0</v>
      </c>
      <c r="Q7" s="39" t="b">
        <v>0</v>
      </c>
      <c r="R7" s="39" t="b">
        <v>0</v>
      </c>
      <c r="S7" s="39" t="b">
        <v>0</v>
      </c>
      <c r="T7" s="39" t="b">
        <v>0</v>
      </c>
      <c r="U7" s="39"/>
      <c r="V7" s="39"/>
      <c r="W7" s="39" t="b">
        <v>0</v>
      </c>
      <c r="X7" s="39" t="b">
        <v>0</v>
      </c>
      <c r="Y7" s="39" t="s">
        <v>24</v>
      </c>
      <c r="Z7" s="39" t="s">
        <v>31</v>
      </c>
      <c r="AA7" s="39" t="s">
        <v>33</v>
      </c>
      <c r="AB7" s="39">
        <v>3.95</v>
      </c>
      <c r="AC7" s="34" t="s">
        <v>276</v>
      </c>
      <c r="AD7" s="39"/>
      <c r="AE7" s="39" t="s">
        <v>137</v>
      </c>
      <c r="AF7" s="39">
        <v>30.4</v>
      </c>
      <c r="AG7" s="39">
        <v>16.8</v>
      </c>
      <c r="AH7" s="39">
        <v>0.5</v>
      </c>
      <c r="AI7" s="45" t="s">
        <v>288</v>
      </c>
      <c r="AJ7" s="34">
        <f>IF(table2[[#This Row],[Buy/Sell]]="BUY",(table2[[#This Row],[Highest Price]]-table2[[#This Row],[Entry Price]])/(table2[[#This Row],[Intended Entry]]-table2[[#This Row],[SL Price]]),(table2[[#This Row],[Entry Price]]-table2[[#This Row],[Lowest Price]])/(table2[[#This Row],[SL Price]]-table2[[#This Row],[Intended Entry]]))</f>
        <v>0.14285714285714649</v>
      </c>
      <c r="AK7" s="38">
        <f>IF(table2[[#This Row],[Buy/Sell]]="BUY",(table2[[#This Row],[Entry Price]]-table2[[#This Row],[Lowest Price]])/(table2[[#This Row],[SL Price]]-table2[[#This Row],[Intended Entry]]),(table2[[#This Row],[Entry Price]]-table2[[#This Row],[Highest Price]])/(table2[[#This Row],[SL Price]]-table2[[#This Row],[Intended Entry]]))</f>
        <v>-1</v>
      </c>
      <c r="AL7" s="41">
        <f>table2[[#This Row],[Exit Time]]-table2[[#This Row],[Entry Time]]</f>
        <v>6.2500000000000333E-3</v>
      </c>
      <c r="AM7" s="38" t="str">
        <f>IF(table2[[#This Row],[Retest Price]]&lt;&gt;FALSE,ROUND((table2[[#This Row],[Retest Price]]-table2[[#This Row],[Entry Price]])/(table2[[#This Row],[Intended Entry]]-table2[[#This Row],[SL Price]]),4), "FALSE")</f>
        <v>FALSE</v>
      </c>
      <c r="AN7" s="34">
        <f>232</f>
        <v>232</v>
      </c>
      <c r="AO7" s="34">
        <f>IF(table2[[#This Row],[Price Before BE]]=FALSE,"FALSE",( table2[[#This Row],[Price Before BE]]-table2[[#This Row],[Intended Entry]])/(table2[[#This Row],[Intended Entry]]-table2[[#This Row],[SL Price]]))</f>
        <v>0.14285714285714649</v>
      </c>
      <c r="AP7" s="34">
        <f>(IF(table2[[#This Row],[Buy/Sell]]="BUY",(table2[[#This Row],[Entry Price]]-table2[[#This Row],[SL Price]])/(table2[[#This Row],[Intended Entry]]-table2[[#This Row],[SL Price]]),(table2[[#This Row],[SL Price]]-table2[[#This Row],[Entry Price]])/(table2[[#This Row],[SL Price]]-table2[[#This Row],[Intended Entry]])))-1</f>
        <v>0</v>
      </c>
      <c r="AQ7" s="38">
        <f>table2[[#This Row],[Missed RRR on Entry]]</f>
        <v>0</v>
      </c>
      <c r="AR7" s="38">
        <f>ROUND((table2[[#This Row],[Potential Price]]-table2[[#This Row],[Entry Price]])/(table2[[#This Row],[Intended Entry]]-table2[[#This Row],[SL Price]]),4)</f>
        <v>0.1429</v>
      </c>
      <c r="AS7" s="38">
        <f>ROUND((table2[[#This Row],[Potential Price]]-table2[[#This Row],[Intended Entry]])/(table2[[#This Row],[Intended Entry]]-table2[[#This Row],[SL Price]]),4)</f>
        <v>0.1429</v>
      </c>
      <c r="AT7" s="38">
        <f>table2[[#This Row],[RRR Potential]]-table2[[#This Row],[RRR Realized]]</f>
        <v>1.1429</v>
      </c>
      <c r="AU7" s="53">
        <f>ROUND((table2[[#This Row],[Exit Price]]-table2[[#This Row],[Entry Price]])/(table2[[#This Row],[Intended Entry]]-table2[[#This Row],[SL Price]]),4)</f>
        <v>-1</v>
      </c>
      <c r="AV7" s="34">
        <f>IF(AND((table2[[#This Row],[Back to BE]])=TRUE,(table2[[#This Row],[Price Behaviour]])="Fast Reversal"), 0-(table2[[#This Row],[Missed RRR on Entry]]),ROUND((table2[[#This Row],[Exit Price]]-table2[[#This Row],[Entry Price]])/(table2[[#This Row],[Intended Entry]]-table2[[#This Row],[SL Price]]),4))</f>
        <v>-1</v>
      </c>
      <c r="AW7" s="34">
        <f>IF(AND((table2[[#This Row],[Hard RRR Potential]])&gt;=1,(table2[[#This Row],[Back to BE]])="True",(table2[[#This Row],[Price Behaviour]])="Fast Reversal"), 1-(table2[[#This Row],[Missed RRR on Entry]]),ROUND((table2[[#This Row],[Exit Price]]-table2[[#This Row],[Entry Price]])/(table2[[#This Row],[Intended Entry]]-table2[[#This Row],[SL Price]]),4))</f>
        <v>-1</v>
      </c>
      <c r="AX7" s="34">
        <f>IF(AND((table2[[#This Row],[Hard RRR Potential]])&gt;=1.5,(table2[[#This Row],[Back to BE]])="True",(table2[[#This Row],[Price Behaviour]])="Fast Reversal"), 1.5-(table2[[#This Row],[Missed RRR on Entry]]),ROUND((table2[[#This Row],[Exit Price]]-table2[[#This Row],[Entry Price]])/(table2[[#This Row],[Intended Entry]]-table2[[#This Row],[SL Price]]),4))</f>
        <v>-1</v>
      </c>
      <c r="AY7" s="34">
        <f>IF(AND((table2[[#This Row],[Hard RRR Potential]])&gt;=2,(table2[[#This Row],[Back to BE]])="True",(table2[[#This Row],[Price Behaviour]])="Fast Reversal"), 2-(table2[[#This Row],[Missed RRR on Entry]]),ROUND((table2[[#This Row],[Exit Price]]-table2[[#This Row],[Entry Price]])/(table2[[#This Row],[Intended Entry]]-table2[[#This Row],[SL Price]]),4))</f>
        <v>-1</v>
      </c>
      <c r="AZ7" s="54">
        <f>IF((table2[[#This Row],[Pattern SL]])&lt;&gt;FALSE,((table2[[#This Row],[Pattern SL]])-(table2[[#This Row],[Entry Price]]))/((table2[[#This Row],[Intended Entry]])-(table2[[#This Row],[SL Price]])),ROUND((table2[[#This Row],[Exit Price]]-table2[[#This Row],[Entry Price]])/(table2[[#This Row],[Intended Entry]]-table2[[#This Row],[SL Price]]),4))</f>
        <v>-1</v>
      </c>
      <c r="BA7"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7"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7"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7"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7"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8" spans="1:57" x14ac:dyDescent="0.45">
      <c r="A8" s="39" t="s">
        <v>289</v>
      </c>
      <c r="B8" s="39">
        <v>7</v>
      </c>
      <c r="C8" s="29">
        <v>43607</v>
      </c>
      <c r="D8" s="43">
        <v>0.44027777777777777</v>
      </c>
      <c r="E8" s="43">
        <v>0.56458333333333333</v>
      </c>
      <c r="F8" s="39" t="s">
        <v>254</v>
      </c>
      <c r="G8" s="39" t="s">
        <v>22</v>
      </c>
      <c r="H8" s="39">
        <v>2.92</v>
      </c>
      <c r="I8" s="39">
        <v>2.903</v>
      </c>
      <c r="J8" s="39">
        <v>3</v>
      </c>
      <c r="K8" s="39">
        <v>2.71</v>
      </c>
      <c r="L8" s="39">
        <v>2.96</v>
      </c>
      <c r="M8" s="39">
        <v>2.71</v>
      </c>
      <c r="N8" s="39">
        <v>2.86</v>
      </c>
      <c r="O8" s="39">
        <v>2.7</v>
      </c>
      <c r="P8" s="39" t="b">
        <v>0</v>
      </c>
      <c r="Q8" s="39" t="b">
        <v>0</v>
      </c>
      <c r="R8" s="39" t="b">
        <v>1</v>
      </c>
      <c r="S8" s="39"/>
      <c r="T8" s="39">
        <v>2.81</v>
      </c>
      <c r="U8" s="39">
        <v>1.7</v>
      </c>
      <c r="V8" s="39" t="b">
        <v>0</v>
      </c>
      <c r="W8" s="39" t="b">
        <v>0</v>
      </c>
      <c r="X8" s="39" t="b">
        <v>0</v>
      </c>
      <c r="Y8" s="39" t="s">
        <v>27</v>
      </c>
      <c r="Z8" s="39" t="s">
        <v>29</v>
      </c>
      <c r="AA8" s="39" t="s">
        <v>33</v>
      </c>
      <c r="AB8" s="39">
        <v>1.26</v>
      </c>
      <c r="AC8" s="34" t="s">
        <v>275</v>
      </c>
      <c r="AD8" s="39">
        <v>1.5</v>
      </c>
      <c r="AE8" s="39" t="s">
        <v>137</v>
      </c>
      <c r="AF8" s="39">
        <v>14.8</v>
      </c>
      <c r="AG8" s="39">
        <v>9.9700000000000006</v>
      </c>
      <c r="AH8" s="39">
        <v>4.29</v>
      </c>
      <c r="AI8" s="45" t="s">
        <v>290</v>
      </c>
      <c r="AJ8" s="34">
        <f>IF(table2[[#This Row],[Buy/Sell]]="BUY",(table2[[#This Row],[Highest Price]]-table2[[#This Row],[Entry Price]])/(table2[[#This Row],[Intended Entry]]-table2[[#This Row],[SL Price]]),(table2[[#This Row],[Entry Price]]-table2[[#This Row],[Lowest Price]])/(table2[[#This Row],[SL Price]]-table2[[#This Row],[Intended Entry]]))</f>
        <v>2.4124999999999988</v>
      </c>
      <c r="AK8" s="38">
        <f>IF(table2[[#This Row],[Buy/Sell]]="BUY",(table2[[#This Row],[Entry Price]]-table2[[#This Row],[Lowest Price]])/(table2[[#This Row],[SL Price]]-table2[[#This Row],[Intended Entry]]),(table2[[#This Row],[Entry Price]]-table2[[#This Row],[Highest Price]])/(table2[[#This Row],[SL Price]]-table2[[#This Row],[Intended Entry]]))</f>
        <v>-0.71249999999999858</v>
      </c>
      <c r="AL8" s="41">
        <f>table2[[#This Row],[Exit Time]]-table2[[#This Row],[Entry Time]]</f>
        <v>0.12430555555555556</v>
      </c>
      <c r="AM8" s="38" t="str">
        <f>IF(table2[[#This Row],[Retest Price]]&lt;&gt;FALSE,ROUND((table2[[#This Row],[Retest Price]]-table2[[#This Row],[Entry Price]])/(table2[[#This Row],[Intended Entry]]-table2[[#This Row],[SL Price]]),4), "FALSE")</f>
        <v>FALSE</v>
      </c>
      <c r="AN8" s="34">
        <f>232</f>
        <v>232</v>
      </c>
      <c r="AO8" s="34">
        <f>IF(table2[[#This Row],[Price Before BE]]=FALSE,"FALSE",( table2[[#This Row],[Price Before BE]]-table2[[#This Row],[Intended Entry]])/(table2[[#This Row],[Intended Entry]]-table2[[#This Row],[SL Price]]))</f>
        <v>0.75</v>
      </c>
      <c r="AP8" s="34">
        <f>(IF(table2[[#This Row],[Buy/Sell]]="BUY",(table2[[#This Row],[Entry Price]]-table2[[#This Row],[SL Price]])/(table2[[#This Row],[Intended Entry]]-table2[[#This Row],[SL Price]]),(table2[[#This Row],[SL Price]]-table2[[#This Row],[Entry Price]])/(table2[[#This Row],[SL Price]]-table2[[#This Row],[Intended Entry]])))-1</f>
        <v>0.21249999999999858</v>
      </c>
      <c r="AQ8" s="38">
        <f>table2[[#This Row],[Missed RRR on Entry]]</f>
        <v>0.21249999999999858</v>
      </c>
      <c r="AR8" s="38">
        <f>ROUND((table2[[#This Row],[Potential Price]]-table2[[#This Row],[Entry Price]])/(table2[[#This Row],[Intended Entry]]-table2[[#This Row],[SL Price]]),4)</f>
        <v>2.5375000000000001</v>
      </c>
      <c r="AS8" s="38">
        <f>ROUND((table2[[#This Row],[Potential Price]]-table2[[#This Row],[Intended Entry]])/(table2[[#This Row],[Intended Entry]]-table2[[#This Row],[SL Price]]),4)</f>
        <v>2.75</v>
      </c>
      <c r="AT8" s="38">
        <f>table2[[#This Row],[RRR Potential]]-table2[[#This Row],[RRR Realized]]</f>
        <v>0.125</v>
      </c>
      <c r="AU8" s="53">
        <f>ROUND((table2[[#This Row],[Exit Price]]-table2[[#This Row],[Entry Price]])/(table2[[#This Row],[Intended Entry]]-table2[[#This Row],[SL Price]]),4)</f>
        <v>2.4125000000000001</v>
      </c>
      <c r="AV8" s="34">
        <f>IF(AND((table2[[#This Row],[Back to BE]])=TRUE,(table2[[#This Row],[Price Behaviour]])="Fast Reversal"), 0-(table2[[#This Row],[Missed RRR on Entry]]),ROUND((table2[[#This Row],[Exit Price]]-table2[[#This Row],[Entry Price]])/(table2[[#This Row],[Intended Entry]]-table2[[#This Row],[SL Price]]),4))</f>
        <v>2.4125000000000001</v>
      </c>
      <c r="AW8" s="34">
        <f>IF(AND((table2[[#This Row],[Hard RRR Potential]])&gt;=1,(table2[[#This Row],[Back to BE]])="True",(table2[[#This Row],[Price Behaviour]])="Fast Reversal"), 1-(table2[[#This Row],[Missed RRR on Entry]]),ROUND((table2[[#This Row],[Exit Price]]-table2[[#This Row],[Entry Price]])/(table2[[#This Row],[Intended Entry]]-table2[[#This Row],[SL Price]]),4))</f>
        <v>2.4125000000000001</v>
      </c>
      <c r="AX8" s="34">
        <f>IF(AND((table2[[#This Row],[Hard RRR Potential]])&gt;=1.5,(table2[[#This Row],[Back to BE]])="True",(table2[[#This Row],[Price Behaviour]])="Fast Reversal"), 1.5-(table2[[#This Row],[Missed RRR on Entry]]),ROUND((table2[[#This Row],[Exit Price]]-table2[[#This Row],[Entry Price]])/(table2[[#This Row],[Intended Entry]]-table2[[#This Row],[SL Price]]),4))</f>
        <v>2.4125000000000001</v>
      </c>
      <c r="AY8" s="34">
        <f>IF(AND((table2[[#This Row],[Hard RRR Potential]])&gt;=2,(table2[[#This Row],[Back to BE]])="True",(table2[[#This Row],[Price Behaviour]])="Fast Reversal"), 2-(table2[[#This Row],[Missed RRR on Entry]]),ROUND((table2[[#This Row],[Exit Price]]-table2[[#This Row],[Entry Price]])/(table2[[#This Row],[Intended Entry]]-table2[[#This Row],[SL Price]]),4))</f>
        <v>2.4125000000000001</v>
      </c>
      <c r="AZ8" s="54">
        <f>IF((table2[[#This Row],[Pattern SL]])&lt;&gt;FALSE,((table2[[#This Row],[Pattern SL]])-(table2[[#This Row],[Entry Price]]))/((table2[[#This Row],[Intended Entry]])-(table2[[#This Row],[SL Price]])),ROUND((table2[[#This Row],[Exit Price]]-table2[[#This Row],[Entry Price]])/(table2[[#This Row],[Intended Entry]]-table2[[#This Row],[SL Price]]),4))</f>
        <v>2.4125000000000001</v>
      </c>
      <c r="BA8"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2.4125000000000001</v>
      </c>
      <c r="BB8"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2.4125000000000001</v>
      </c>
      <c r="BC8"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2.4125000000000001</v>
      </c>
      <c r="BD8" s="34">
        <f>IF(OR(AND(table2[[#This Row],[Hard RRR Potential]]&gt;=2.5,table2[[#This Row],[Volume Exit]]=FALSE,table2[[#This Row],[Wick Exit]]=FALSE),AND(table2[[#This Row],[Hard RRR Potential]]&gt;=2.5,table2[[#This Row],[Volume Exit RRR Reach]]&gt;=2.5,table2[[#This Row],[Wick Exit]]=FALSE)), 2.5-table2[[#This Row],[Missed RRR on Entry]],table2[[#This Row],[RRR Realized]])</f>
        <v>2.4125000000000001</v>
      </c>
      <c r="BE8" s="34">
        <f>IF(OR(AND(table2[[#This Row],[Hard RRR Potential]]&gt;=3,table2[[#This Row],[Volume Exit]]=FALSE,table2[[#This Row],[Wick Exit]]=FALSE),AND(table2[[#This Row],[Hard RRR Potential]]&gt;=3,table2[[#This Row],[Volume Exit RRR Reach]]&gt;=3,table2[[#This Row],[Wick Exit]]=FALSE)), 3-table2[[#This Row],[Missed RRR on Entry]],table2[[#This Row],[RRR Realized]])</f>
        <v>2.4125000000000001</v>
      </c>
    </row>
    <row r="9" spans="1:57" x14ac:dyDescent="0.45">
      <c r="A9" s="39" t="s">
        <v>293</v>
      </c>
      <c r="B9" s="39">
        <v>8</v>
      </c>
      <c r="C9" s="29">
        <v>43608</v>
      </c>
      <c r="D9" s="43">
        <v>0.47430555555555554</v>
      </c>
      <c r="E9" s="43">
        <v>0.61597222222222225</v>
      </c>
      <c r="F9" s="39" t="s">
        <v>254</v>
      </c>
      <c r="G9" s="39" t="s">
        <v>22</v>
      </c>
      <c r="H9" s="39">
        <v>0.376</v>
      </c>
      <c r="I9" s="39">
        <v>0.376</v>
      </c>
      <c r="J9" s="39">
        <v>0.41599999999999998</v>
      </c>
      <c r="K9" s="39">
        <v>0.41599999999999998</v>
      </c>
      <c r="L9" s="39">
        <v>0.41599999999999998</v>
      </c>
      <c r="M9" s="39">
        <v>0.32</v>
      </c>
      <c r="N9" s="39">
        <v>0.32</v>
      </c>
      <c r="O9" s="39">
        <v>0.32</v>
      </c>
      <c r="P9" s="39" t="b">
        <v>0</v>
      </c>
      <c r="Q9" s="39" t="b">
        <v>0</v>
      </c>
      <c r="R9" s="39" t="b">
        <v>0</v>
      </c>
      <c r="S9" s="39"/>
      <c r="T9" s="39" t="b">
        <v>0</v>
      </c>
      <c r="U9" s="39"/>
      <c r="V9" s="39"/>
      <c r="W9" s="39" t="b">
        <v>0</v>
      </c>
      <c r="X9" s="39" t="b">
        <v>0</v>
      </c>
      <c r="Y9" s="39" t="s">
        <v>27</v>
      </c>
      <c r="Z9" s="39" t="s">
        <v>30</v>
      </c>
      <c r="AA9" s="39" t="s">
        <v>35</v>
      </c>
      <c r="AB9" s="39">
        <v>20</v>
      </c>
      <c r="AC9" s="34" t="s">
        <v>276</v>
      </c>
      <c r="AD9" s="39">
        <v>30</v>
      </c>
      <c r="AE9" s="39" t="s">
        <v>137</v>
      </c>
      <c r="AF9" s="39">
        <v>155</v>
      </c>
      <c r="AG9" s="39">
        <v>21.9</v>
      </c>
      <c r="AH9" s="39">
        <v>4.8</v>
      </c>
      <c r="AI9" s="45" t="s">
        <v>294</v>
      </c>
      <c r="AJ9" s="34">
        <f>IF(table2[[#This Row],[Buy/Sell]]="BUY",(table2[[#This Row],[Highest Price]]-table2[[#This Row],[Entry Price]])/(table2[[#This Row],[Intended Entry]]-table2[[#This Row],[SL Price]]),(table2[[#This Row],[Entry Price]]-table2[[#This Row],[Lowest Price]])/(table2[[#This Row],[SL Price]]-table2[[#This Row],[Intended Entry]]))</f>
        <v>1.4000000000000006</v>
      </c>
      <c r="AK9" s="38">
        <f>IF(table2[[#This Row],[Buy/Sell]]="BUY",(table2[[#This Row],[Entry Price]]-table2[[#This Row],[Lowest Price]])/(table2[[#This Row],[SL Price]]-table2[[#This Row],[Intended Entry]]),(table2[[#This Row],[Entry Price]]-table2[[#This Row],[Highest Price]])/(table2[[#This Row],[SL Price]]-table2[[#This Row],[Intended Entry]]))</f>
        <v>-1</v>
      </c>
      <c r="AL9" s="41">
        <f>table2[[#This Row],[Exit Time]]-table2[[#This Row],[Entry Time]]</f>
        <v>0.14166666666666672</v>
      </c>
      <c r="AM9" s="38" t="str">
        <f>IF(table2[[#This Row],[Retest Price]]&lt;&gt;FALSE,ROUND((table2[[#This Row],[Retest Price]]-table2[[#This Row],[Entry Price]])/(table2[[#This Row],[Intended Entry]]-table2[[#This Row],[SL Price]]),4), "FALSE")</f>
        <v>FALSE</v>
      </c>
      <c r="AN9" s="34">
        <f>232</f>
        <v>232</v>
      </c>
      <c r="AO9" s="34">
        <f>IF(table2[[#This Row],[Price Before BE]]=FALSE,"FALSE",( table2[[#This Row],[Price Before BE]]-table2[[#This Row],[Intended Entry]])/(table2[[#This Row],[Intended Entry]]-table2[[#This Row],[SL Price]]))</f>
        <v>1.4000000000000006</v>
      </c>
      <c r="AP9" s="34">
        <f>(IF(table2[[#This Row],[Buy/Sell]]="BUY",(table2[[#This Row],[Entry Price]]-table2[[#This Row],[SL Price]])/(table2[[#This Row],[Intended Entry]]-table2[[#This Row],[SL Price]]),(table2[[#This Row],[SL Price]]-table2[[#This Row],[Entry Price]])/(table2[[#This Row],[SL Price]]-table2[[#This Row],[Intended Entry]])))-1</f>
        <v>0</v>
      </c>
      <c r="AQ9" s="38">
        <f>table2[[#This Row],[Missed RRR on Entry]]</f>
        <v>0</v>
      </c>
      <c r="AR9" s="38">
        <f>ROUND((table2[[#This Row],[Potential Price]]-table2[[#This Row],[Entry Price]])/(table2[[#This Row],[Intended Entry]]-table2[[#This Row],[SL Price]]),4)</f>
        <v>1.4</v>
      </c>
      <c r="AS9" s="38">
        <f>ROUND((table2[[#This Row],[Potential Price]]-table2[[#This Row],[Intended Entry]])/(table2[[#This Row],[Intended Entry]]-table2[[#This Row],[SL Price]]),4)</f>
        <v>1.4</v>
      </c>
      <c r="AT9" s="38">
        <f>table2[[#This Row],[RRR Potential]]-table2[[#This Row],[RRR Realized]]</f>
        <v>2.4</v>
      </c>
      <c r="AU9" s="53">
        <f>ROUND((table2[[#This Row],[Exit Price]]-table2[[#This Row],[Entry Price]])/(table2[[#This Row],[Intended Entry]]-table2[[#This Row],[SL Price]]),4)</f>
        <v>-1</v>
      </c>
      <c r="AV9" s="34">
        <f>IF(AND((table2[[#This Row],[Back to BE]])=TRUE,(table2[[#This Row],[Price Behaviour]])="Fast Reversal"), 0-(table2[[#This Row],[Missed RRR on Entry]]),ROUND((table2[[#This Row],[Exit Price]]-table2[[#This Row],[Entry Price]])/(table2[[#This Row],[Intended Entry]]-table2[[#This Row],[SL Price]]),4))</f>
        <v>-1</v>
      </c>
      <c r="AW9" s="34">
        <f>IF(AND((table2[[#This Row],[Hard RRR Potential]])&gt;=1,(table2[[#This Row],[Back to BE]])="True",(table2[[#This Row],[Price Behaviour]])="Fast Reversal"), 1-(table2[[#This Row],[Missed RRR on Entry]]),ROUND((table2[[#This Row],[Exit Price]]-table2[[#This Row],[Entry Price]])/(table2[[#This Row],[Intended Entry]]-table2[[#This Row],[SL Price]]),4))</f>
        <v>-1</v>
      </c>
      <c r="AX9" s="34">
        <f>IF(AND((table2[[#This Row],[Hard RRR Potential]])&gt;=1.5,(table2[[#This Row],[Back to BE]])="True",(table2[[#This Row],[Price Behaviour]])="Fast Reversal"), 1.5-(table2[[#This Row],[Missed RRR on Entry]]),ROUND((table2[[#This Row],[Exit Price]]-table2[[#This Row],[Entry Price]])/(table2[[#This Row],[Intended Entry]]-table2[[#This Row],[SL Price]]),4))</f>
        <v>-1</v>
      </c>
      <c r="AY9" s="34">
        <f>IF(AND((table2[[#This Row],[Hard RRR Potential]])&gt;=2,(table2[[#This Row],[Back to BE]])="True",(table2[[#This Row],[Price Behaviour]])="Fast Reversal"), 2-(table2[[#This Row],[Missed RRR on Entry]]),ROUND((table2[[#This Row],[Exit Price]]-table2[[#This Row],[Entry Price]])/(table2[[#This Row],[Intended Entry]]-table2[[#This Row],[SL Price]]),4))</f>
        <v>-1</v>
      </c>
      <c r="AZ9" s="54">
        <f>IF((table2[[#This Row],[Pattern SL]])&lt;&gt;FALSE,((table2[[#This Row],[Pattern SL]])-(table2[[#This Row],[Entry Price]]))/((table2[[#This Row],[Intended Entry]])-(table2[[#This Row],[SL Price]])),ROUND((table2[[#This Row],[Exit Price]]-table2[[#This Row],[Entry Price]])/(table2[[#This Row],[Intended Entry]]-table2[[#This Row],[SL Price]]),4))</f>
        <v>-1</v>
      </c>
      <c r="BA9"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9"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9"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9"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9"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0" spans="1:57" x14ac:dyDescent="0.45">
      <c r="A10" s="39" t="s">
        <v>295</v>
      </c>
      <c r="B10" s="39">
        <v>9</v>
      </c>
      <c r="C10" s="29">
        <v>43608</v>
      </c>
      <c r="D10" s="43">
        <v>0.44930555555555557</v>
      </c>
      <c r="E10" s="43">
        <v>0.65694444444444444</v>
      </c>
      <c r="F10" s="39" t="s">
        <v>254</v>
      </c>
      <c r="G10" s="39" t="s">
        <v>22</v>
      </c>
      <c r="H10" s="39">
        <v>0.77400000000000002</v>
      </c>
      <c r="I10" s="39">
        <v>0.77400000000000002</v>
      </c>
      <c r="J10" s="39">
        <v>0.81</v>
      </c>
      <c r="K10" s="39">
        <v>0.73799999999999999</v>
      </c>
      <c r="L10" s="39">
        <v>0.77400000000000002</v>
      </c>
      <c r="M10" s="39">
        <v>0.7</v>
      </c>
      <c r="N10" s="39">
        <v>0.73</v>
      </c>
      <c r="O10" s="39">
        <v>0.7</v>
      </c>
      <c r="P10" s="39" t="b">
        <v>0</v>
      </c>
      <c r="Q10" s="39" t="b">
        <v>0</v>
      </c>
      <c r="R10" s="39" t="b">
        <v>0</v>
      </c>
      <c r="S10" s="39"/>
      <c r="T10" s="39" t="b">
        <v>0</v>
      </c>
      <c r="U10" s="39"/>
      <c r="V10" s="39"/>
      <c r="W10" s="39" t="b">
        <v>0</v>
      </c>
      <c r="X10" s="39" t="b">
        <v>0</v>
      </c>
      <c r="Y10" s="39" t="s">
        <v>27</v>
      </c>
      <c r="Z10" s="39" t="s">
        <v>29</v>
      </c>
      <c r="AA10" s="39" t="s">
        <v>34</v>
      </c>
      <c r="AB10" s="39">
        <v>3</v>
      </c>
      <c r="AC10" s="34" t="s">
        <v>275</v>
      </c>
      <c r="AD10" s="39">
        <v>1.1000000000000001</v>
      </c>
      <c r="AE10" s="39" t="s">
        <v>135</v>
      </c>
      <c r="AF10" s="39">
        <v>25.8</v>
      </c>
      <c r="AG10" s="39">
        <v>23.4</v>
      </c>
      <c r="AH10" s="39">
        <v>2.4</v>
      </c>
      <c r="AI10" s="45" t="s">
        <v>296</v>
      </c>
      <c r="AJ10" s="34">
        <f>IF(table2[[#This Row],[Buy/Sell]]="BUY",(table2[[#This Row],[Highest Price]]-table2[[#This Row],[Entry Price]])/(table2[[#This Row],[Intended Entry]]-table2[[#This Row],[SL Price]]),(table2[[#This Row],[Entry Price]]-table2[[#This Row],[Lowest Price]])/(table2[[#This Row],[SL Price]]-table2[[#This Row],[Intended Entry]]))</f>
        <v>2.0555555555555554</v>
      </c>
      <c r="AK10" s="38">
        <f>IF(table2[[#This Row],[Buy/Sell]]="BUY",(table2[[#This Row],[Entry Price]]-table2[[#This Row],[Lowest Price]])/(table2[[#This Row],[SL Price]]-table2[[#This Row],[Intended Entry]]),(table2[[#This Row],[Entry Price]]-table2[[#This Row],[Highest Price]])/(table2[[#This Row],[SL Price]]-table2[[#This Row],[Intended Entry]]))</f>
        <v>0</v>
      </c>
      <c r="AL10" s="41">
        <f>table2[[#This Row],[Exit Time]]-table2[[#This Row],[Entry Time]]</f>
        <v>0.20763888888888887</v>
      </c>
      <c r="AM10" s="38" t="str">
        <f>IF(table2[[#This Row],[Retest Price]]&lt;&gt;FALSE,ROUND((table2[[#This Row],[Retest Price]]-table2[[#This Row],[Entry Price]])/(table2[[#This Row],[Intended Entry]]-table2[[#This Row],[SL Price]]),4), "FALSE")</f>
        <v>FALSE</v>
      </c>
      <c r="AN10" s="34">
        <f>232</f>
        <v>232</v>
      </c>
      <c r="AO10" s="34">
        <f>IF(table2[[#This Row],[Price Before BE]]=FALSE,"FALSE",( table2[[#This Row],[Price Before BE]]-table2[[#This Row],[Intended Entry]])/(table2[[#This Row],[Intended Entry]]-table2[[#This Row],[SL Price]]))</f>
        <v>1.2222222222222223</v>
      </c>
      <c r="AP10" s="34">
        <f>(IF(table2[[#This Row],[Buy/Sell]]="BUY",(table2[[#This Row],[Entry Price]]-table2[[#This Row],[SL Price]])/(table2[[#This Row],[Intended Entry]]-table2[[#This Row],[SL Price]]),(table2[[#This Row],[SL Price]]-table2[[#This Row],[Entry Price]])/(table2[[#This Row],[SL Price]]-table2[[#This Row],[Intended Entry]])))-1</f>
        <v>0</v>
      </c>
      <c r="AQ10" s="38">
        <f>table2[[#This Row],[Missed RRR on Entry]]</f>
        <v>0</v>
      </c>
      <c r="AR10" s="38">
        <f>ROUND((table2[[#This Row],[Potential Price]]-table2[[#This Row],[Entry Price]])/(table2[[#This Row],[Intended Entry]]-table2[[#This Row],[SL Price]]),4)</f>
        <v>2.0556000000000001</v>
      </c>
      <c r="AS10" s="38">
        <f>ROUND((table2[[#This Row],[Potential Price]]-table2[[#This Row],[Intended Entry]])/(table2[[#This Row],[Intended Entry]]-table2[[#This Row],[SL Price]]),4)</f>
        <v>2.0556000000000001</v>
      </c>
      <c r="AT10" s="38">
        <f>table2[[#This Row],[RRR Potential]]-table2[[#This Row],[RRR Realized]]</f>
        <v>1.0556000000000001</v>
      </c>
      <c r="AU10" s="53">
        <f>ROUND((table2[[#This Row],[Exit Price]]-table2[[#This Row],[Entry Price]])/(table2[[#This Row],[Intended Entry]]-table2[[#This Row],[SL Price]]),4)</f>
        <v>1</v>
      </c>
      <c r="AV10" s="34">
        <f>IF(AND((table2[[#This Row],[Back to BE]])=TRUE,(table2[[#This Row],[Price Behaviour]])="Fast Reversal"), 0-(table2[[#This Row],[Missed RRR on Entry]]),ROUND((table2[[#This Row],[Exit Price]]-table2[[#This Row],[Entry Price]])/(table2[[#This Row],[Intended Entry]]-table2[[#This Row],[SL Price]]),4))</f>
        <v>1</v>
      </c>
      <c r="AW10" s="34">
        <f>IF(AND((table2[[#This Row],[Hard RRR Potential]])&gt;=1,(table2[[#This Row],[Back to BE]])="True",(table2[[#This Row],[Price Behaviour]])="Fast Reversal"), 1-(table2[[#This Row],[Missed RRR on Entry]]),ROUND((table2[[#This Row],[Exit Price]]-table2[[#This Row],[Entry Price]])/(table2[[#This Row],[Intended Entry]]-table2[[#This Row],[SL Price]]),4))</f>
        <v>1</v>
      </c>
      <c r="AX10" s="34">
        <f>IF(AND((table2[[#This Row],[Hard RRR Potential]])&gt;=1.5,(table2[[#This Row],[Back to BE]])="True",(table2[[#This Row],[Price Behaviour]])="Fast Reversal"), 1.5-(table2[[#This Row],[Missed RRR on Entry]]),ROUND((table2[[#This Row],[Exit Price]]-table2[[#This Row],[Entry Price]])/(table2[[#This Row],[Intended Entry]]-table2[[#This Row],[SL Price]]),4))</f>
        <v>1</v>
      </c>
      <c r="AY10" s="34">
        <f>IF(AND((table2[[#This Row],[Hard RRR Potential]])&gt;=2,(table2[[#This Row],[Back to BE]])="True",(table2[[#This Row],[Price Behaviour]])="Fast Reversal"), 2-(table2[[#This Row],[Missed RRR on Entry]]),ROUND((table2[[#This Row],[Exit Price]]-table2[[#This Row],[Entry Price]])/(table2[[#This Row],[Intended Entry]]-table2[[#This Row],[SL Price]]),4))</f>
        <v>1</v>
      </c>
      <c r="AZ10" s="54">
        <f>IF((table2[[#This Row],[Pattern SL]])&lt;&gt;FALSE,((table2[[#This Row],[Pattern SL]])-(table2[[#This Row],[Entry Price]]))/((table2[[#This Row],[Intended Entry]])-(table2[[#This Row],[SL Price]])),ROUND((table2[[#This Row],[Exit Price]]-table2[[#This Row],[Entry Price]])/(table2[[#This Row],[Intended Entry]]-table2[[#This Row],[SL Price]]),4))</f>
        <v>1</v>
      </c>
      <c r="BA10"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0"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0"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0"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0"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1" spans="1:57" x14ac:dyDescent="0.45">
      <c r="A11" s="39" t="s">
        <v>280</v>
      </c>
      <c r="B11" s="39">
        <v>10</v>
      </c>
      <c r="C11" s="29">
        <v>43609</v>
      </c>
      <c r="D11" s="43">
        <v>0.48749999999999999</v>
      </c>
      <c r="E11" s="43">
        <v>0.66180555555555554</v>
      </c>
      <c r="F11" s="39" t="s">
        <v>254</v>
      </c>
      <c r="G11" s="39" t="s">
        <v>22</v>
      </c>
      <c r="H11" s="39">
        <v>1.36</v>
      </c>
      <c r="I11" s="39">
        <v>1.35</v>
      </c>
      <c r="J11" s="39">
        <v>1.42</v>
      </c>
      <c r="K11" s="39">
        <v>1.19</v>
      </c>
      <c r="L11" s="39">
        <v>1.36</v>
      </c>
      <c r="M11" s="39">
        <v>1.19</v>
      </c>
      <c r="N11" s="39">
        <v>1.24</v>
      </c>
      <c r="O11" s="39">
        <v>1.1599999999999999</v>
      </c>
      <c r="P11" s="39" t="b">
        <v>0</v>
      </c>
      <c r="Q11" s="39" t="b">
        <v>0</v>
      </c>
      <c r="R11" s="39" t="b">
        <v>1</v>
      </c>
      <c r="S11" s="39"/>
      <c r="T11" s="39" t="b">
        <v>0</v>
      </c>
      <c r="U11" s="39"/>
      <c r="V11" s="39"/>
      <c r="W11" s="39" t="b">
        <v>0</v>
      </c>
      <c r="X11" s="39" t="b">
        <v>0</v>
      </c>
      <c r="Y11" s="39" t="s">
        <v>25</v>
      </c>
      <c r="Z11" s="39" t="s">
        <v>28</v>
      </c>
      <c r="AA11" s="39" t="s">
        <v>33</v>
      </c>
      <c r="AB11" s="39">
        <v>5</v>
      </c>
      <c r="AC11" s="34" t="s">
        <v>275</v>
      </c>
      <c r="AD11" s="39">
        <v>11</v>
      </c>
      <c r="AE11" s="39" t="s">
        <v>137</v>
      </c>
      <c r="AF11" s="39">
        <v>30.7</v>
      </c>
      <c r="AG11" s="39">
        <v>18</v>
      </c>
      <c r="AH11" s="39">
        <v>4.4000000000000004</v>
      </c>
      <c r="AI11" s="45" t="s">
        <v>301</v>
      </c>
      <c r="AJ11" s="34">
        <f>IF(table2[[#This Row],[Buy/Sell]]="BUY",(table2[[#This Row],[Highest Price]]-table2[[#This Row],[Entry Price]])/(table2[[#This Row],[Intended Entry]]-table2[[#This Row],[SL Price]]),(table2[[#This Row],[Entry Price]]-table2[[#This Row],[Lowest Price]])/(table2[[#This Row],[SL Price]]-table2[[#This Row],[Intended Entry]]))</f>
        <v>2.6666666666666767</v>
      </c>
      <c r="AK11" s="38">
        <f>IF(table2[[#This Row],[Buy/Sell]]="BUY",(table2[[#This Row],[Entry Price]]-table2[[#This Row],[Lowest Price]])/(table2[[#This Row],[SL Price]]-table2[[#This Row],[Intended Entry]]),(table2[[#This Row],[Entry Price]]-table2[[#This Row],[Highest Price]])/(table2[[#This Row],[SL Price]]-table2[[#This Row],[Intended Entry]]))</f>
        <v>-0.1666666666666673</v>
      </c>
      <c r="AL11" s="41">
        <f>table2[[#This Row],[Exit Time]]-table2[[#This Row],[Entry Time]]</f>
        <v>0.17430555555555555</v>
      </c>
      <c r="AM11" s="38" t="str">
        <f>IF(table2[[#This Row],[Retest Price]]&lt;&gt;FALSE,ROUND((table2[[#This Row],[Retest Price]]-table2[[#This Row],[Entry Price]])/(table2[[#This Row],[Intended Entry]]-table2[[#This Row],[SL Price]]),4), "FALSE")</f>
        <v>FALSE</v>
      </c>
      <c r="AN11" s="34">
        <f>232</f>
        <v>232</v>
      </c>
      <c r="AO11" s="34">
        <f>IF(table2[[#This Row],[Price Before BE]]=FALSE,"FALSE",( table2[[#This Row],[Price Before BE]]-table2[[#This Row],[Intended Entry]])/(table2[[#This Row],[Intended Entry]]-table2[[#This Row],[SL Price]]))</f>
        <v>2.0000000000000075</v>
      </c>
      <c r="AP11" s="34">
        <f>(IF(table2[[#This Row],[Buy/Sell]]="BUY",(table2[[#This Row],[Entry Price]]-table2[[#This Row],[SL Price]])/(table2[[#This Row],[Intended Entry]]-table2[[#This Row],[SL Price]]),(table2[[#This Row],[SL Price]]-table2[[#This Row],[Entry Price]])/(table2[[#This Row],[SL Price]]-table2[[#This Row],[Intended Entry]])))-1</f>
        <v>0.16666666666666718</v>
      </c>
      <c r="AQ11" s="38">
        <f>table2[[#This Row],[Missed RRR on Entry]]</f>
        <v>0.16666666666666718</v>
      </c>
      <c r="AR11" s="38">
        <f>ROUND((table2[[#This Row],[Potential Price]]-table2[[#This Row],[Entry Price]])/(table2[[#This Row],[Intended Entry]]-table2[[#This Row],[SL Price]]),4)</f>
        <v>3.1667000000000001</v>
      </c>
      <c r="AS11" s="38">
        <f>ROUND((table2[[#This Row],[Potential Price]]-table2[[#This Row],[Intended Entry]])/(table2[[#This Row],[Intended Entry]]-table2[[#This Row],[SL Price]]),4)</f>
        <v>3.3332999999999999</v>
      </c>
      <c r="AT11" s="38">
        <f>table2[[#This Row],[RRR Potential]]-table2[[#This Row],[RRR Realized]]</f>
        <v>0.5</v>
      </c>
      <c r="AU11" s="53">
        <f>ROUND((table2[[#This Row],[Exit Price]]-table2[[#This Row],[Entry Price]])/(table2[[#This Row],[Intended Entry]]-table2[[#This Row],[SL Price]]),4)</f>
        <v>2.6667000000000001</v>
      </c>
      <c r="AV11" s="34">
        <f>IF(AND((table2[[#This Row],[Back to BE]])=TRUE,(table2[[#This Row],[Price Behaviour]])="Fast Reversal"), 0-(table2[[#This Row],[Missed RRR on Entry]]),ROUND((table2[[#This Row],[Exit Price]]-table2[[#This Row],[Entry Price]])/(table2[[#This Row],[Intended Entry]]-table2[[#This Row],[SL Price]]),4))</f>
        <v>2.6667000000000001</v>
      </c>
      <c r="AW11"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11"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11"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11" s="54">
        <f>IF((table2[[#This Row],[Pattern SL]])&lt;&gt;FALSE,((table2[[#This Row],[Pattern SL]])-(table2[[#This Row],[Entry Price]]))/((table2[[#This Row],[Intended Entry]])-(table2[[#This Row],[SL Price]])),ROUND((table2[[#This Row],[Exit Price]]-table2[[#This Row],[Entry Price]])/(table2[[#This Row],[Intended Entry]]-table2[[#This Row],[SL Price]]),4))</f>
        <v>2.6667000000000001</v>
      </c>
      <c r="BA11"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11"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11"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11" s="34">
        <f>IF(OR(AND(table2[[#This Row],[Hard RRR Potential]]&gt;=2.5,table2[[#This Row],[Volume Exit]]=FALSE,table2[[#This Row],[Wick Exit]]=FALSE),AND(table2[[#This Row],[Hard RRR Potential]]&gt;=2.5,table2[[#This Row],[Volume Exit RRR Reach]]&gt;=2.5,table2[[#This Row],[Wick Exit]]=FALSE)), 2.5-table2[[#This Row],[Missed RRR on Entry]],table2[[#This Row],[RRR Realized]])</f>
        <v>2.333333333333333</v>
      </c>
      <c r="BE11" s="34">
        <f>IF(OR(AND(table2[[#This Row],[Hard RRR Potential]]&gt;=3,table2[[#This Row],[Volume Exit]]=FALSE,table2[[#This Row],[Wick Exit]]=FALSE),AND(table2[[#This Row],[Hard RRR Potential]]&gt;=3,table2[[#This Row],[Volume Exit RRR Reach]]&gt;=3,table2[[#This Row],[Wick Exit]]=FALSE)), 3-table2[[#This Row],[Missed RRR on Entry]],table2[[#This Row],[RRR Realized]])</f>
        <v>2.833333333333333</v>
      </c>
    </row>
    <row r="12" spans="1:57" x14ac:dyDescent="0.45">
      <c r="A12" s="39" t="s">
        <v>270</v>
      </c>
      <c r="B12" s="39">
        <v>11</v>
      </c>
      <c r="C12" s="29">
        <v>43613</v>
      </c>
      <c r="D12" s="43">
        <v>0.47013888888888888</v>
      </c>
      <c r="E12" s="43">
        <v>0.48819444444444443</v>
      </c>
      <c r="F12" s="39" t="s">
        <v>254</v>
      </c>
      <c r="G12" s="39" t="s">
        <v>22</v>
      </c>
      <c r="H12" s="39">
        <v>2.89</v>
      </c>
      <c r="I12" s="39">
        <v>2.89</v>
      </c>
      <c r="J12" s="39">
        <v>3.02</v>
      </c>
      <c r="K12" s="39">
        <v>3.02</v>
      </c>
      <c r="L12" s="39">
        <v>3.02</v>
      </c>
      <c r="M12" s="39">
        <v>2.87</v>
      </c>
      <c r="N12" s="39">
        <v>3.02</v>
      </c>
      <c r="O12" s="39">
        <v>2.87</v>
      </c>
      <c r="P12" s="39" t="b">
        <v>0</v>
      </c>
      <c r="Q12" s="39" t="b">
        <v>0</v>
      </c>
      <c r="R12" s="39" t="b">
        <v>0</v>
      </c>
      <c r="S12" s="39" t="b">
        <v>0</v>
      </c>
      <c r="T12" s="39" t="b">
        <v>0</v>
      </c>
      <c r="U12" s="39"/>
      <c r="V12" s="39"/>
      <c r="W12" s="39" t="b">
        <v>0</v>
      </c>
      <c r="X12" s="39" t="b">
        <v>0</v>
      </c>
      <c r="Y12" s="39" t="s">
        <v>24</v>
      </c>
      <c r="Z12" s="39" t="s">
        <v>29</v>
      </c>
      <c r="AA12" s="39" t="s">
        <v>33</v>
      </c>
      <c r="AB12" s="39">
        <v>3.11</v>
      </c>
      <c r="AC12" s="34" t="s">
        <v>276</v>
      </c>
      <c r="AD12" s="39"/>
      <c r="AE12" s="39" t="s">
        <v>137</v>
      </c>
      <c r="AF12" s="39">
        <v>14</v>
      </c>
      <c r="AG12" s="39">
        <v>14.4</v>
      </c>
      <c r="AH12" s="39">
        <v>3.77</v>
      </c>
      <c r="AI12" s="45" t="s">
        <v>311</v>
      </c>
      <c r="AJ12" s="34">
        <f>IF(table2[[#This Row],[Buy/Sell]]="BUY",(table2[[#This Row],[Highest Price]]-table2[[#This Row],[Entry Price]])/(table2[[#This Row],[Intended Entry]]-table2[[#This Row],[SL Price]]),(table2[[#This Row],[Entry Price]]-table2[[#This Row],[Lowest Price]])/(table2[[#This Row],[SL Price]]-table2[[#This Row],[Intended Entry]]))</f>
        <v>0.1538461538461541</v>
      </c>
      <c r="AK12" s="38">
        <f>IF(table2[[#This Row],[Buy/Sell]]="BUY",(table2[[#This Row],[Entry Price]]-table2[[#This Row],[Lowest Price]])/(table2[[#This Row],[SL Price]]-table2[[#This Row],[Intended Entry]]),(table2[[#This Row],[Entry Price]]-table2[[#This Row],[Highest Price]])/(table2[[#This Row],[SL Price]]-table2[[#This Row],[Intended Entry]]))</f>
        <v>-1</v>
      </c>
      <c r="AL12" s="41">
        <f>table2[[#This Row],[Exit Time]]-table2[[#This Row],[Entry Time]]</f>
        <v>1.8055555555555547E-2</v>
      </c>
      <c r="AM12" s="38" t="str">
        <f>IF(table2[[#This Row],[Retest Price]]&lt;&gt;FALSE,ROUND((table2[[#This Row],[Retest Price]]-table2[[#This Row],[Entry Price]])/(table2[[#This Row],[Intended Entry]]-table2[[#This Row],[SL Price]]),4), "FALSE")</f>
        <v>FALSE</v>
      </c>
      <c r="AN12" s="34">
        <f>232</f>
        <v>232</v>
      </c>
      <c r="AO12" s="34">
        <f>IF(table2[[#This Row],[Price Before BE]]=FALSE,"FALSE",( table2[[#This Row],[Price Before BE]]-table2[[#This Row],[Intended Entry]])/(table2[[#This Row],[Intended Entry]]-table2[[#This Row],[SL Price]]))</f>
        <v>-1</v>
      </c>
      <c r="AP12" s="34">
        <f>(IF(table2[[#This Row],[Buy/Sell]]="BUY",(table2[[#This Row],[Entry Price]]-table2[[#This Row],[SL Price]])/(table2[[#This Row],[Intended Entry]]-table2[[#This Row],[SL Price]]),(table2[[#This Row],[SL Price]]-table2[[#This Row],[Entry Price]])/(table2[[#This Row],[SL Price]]-table2[[#This Row],[Intended Entry]])))-1</f>
        <v>0</v>
      </c>
      <c r="AQ12" s="38">
        <f>table2[[#This Row],[Missed RRR on Entry]]</f>
        <v>0</v>
      </c>
      <c r="AR12" s="38">
        <f>ROUND((table2[[#This Row],[Potential Price]]-table2[[#This Row],[Entry Price]])/(table2[[#This Row],[Intended Entry]]-table2[[#This Row],[SL Price]]),4)</f>
        <v>0.15379999999999999</v>
      </c>
      <c r="AS12" s="38">
        <f>ROUND((table2[[#This Row],[Potential Price]]-table2[[#This Row],[Intended Entry]])/(table2[[#This Row],[Intended Entry]]-table2[[#This Row],[SL Price]]),4)</f>
        <v>0.15379999999999999</v>
      </c>
      <c r="AT12" s="38">
        <f>table2[[#This Row],[RRR Potential]]-table2[[#This Row],[RRR Realized]]</f>
        <v>1.1537999999999999</v>
      </c>
      <c r="AU12" s="53">
        <f>ROUND((table2[[#This Row],[Exit Price]]-table2[[#This Row],[Entry Price]])/(table2[[#This Row],[Intended Entry]]-table2[[#This Row],[SL Price]]),4)</f>
        <v>-1</v>
      </c>
      <c r="AV12" s="34">
        <f>IF(AND((table2[[#This Row],[Back to BE]])=TRUE,(table2[[#This Row],[Price Behaviour]])="Fast Reversal"), 0-(table2[[#This Row],[Missed RRR on Entry]]),ROUND((table2[[#This Row],[Exit Price]]-table2[[#This Row],[Entry Price]])/(table2[[#This Row],[Intended Entry]]-table2[[#This Row],[SL Price]]),4))</f>
        <v>-1</v>
      </c>
      <c r="AW12" s="34">
        <f>IF(AND((table2[[#This Row],[Hard RRR Potential]])&gt;=1,(table2[[#This Row],[Back to BE]])="True",(table2[[#This Row],[Price Behaviour]])="Fast Reversal"), 1-(table2[[#This Row],[Missed RRR on Entry]]),ROUND((table2[[#This Row],[Exit Price]]-table2[[#This Row],[Entry Price]])/(table2[[#This Row],[Intended Entry]]-table2[[#This Row],[SL Price]]),4))</f>
        <v>-1</v>
      </c>
      <c r="AX12" s="34">
        <f>IF(AND((table2[[#This Row],[Hard RRR Potential]])&gt;=1.5,(table2[[#This Row],[Back to BE]])="True",(table2[[#This Row],[Price Behaviour]])="Fast Reversal"), 1.5-(table2[[#This Row],[Missed RRR on Entry]]),ROUND((table2[[#This Row],[Exit Price]]-table2[[#This Row],[Entry Price]])/(table2[[#This Row],[Intended Entry]]-table2[[#This Row],[SL Price]]),4))</f>
        <v>-1</v>
      </c>
      <c r="AY12" s="34">
        <f>IF(AND((table2[[#This Row],[Hard RRR Potential]])&gt;=2,(table2[[#This Row],[Back to BE]])="True",(table2[[#This Row],[Price Behaviour]])="Fast Reversal"), 2-(table2[[#This Row],[Missed RRR on Entry]]),ROUND((table2[[#This Row],[Exit Price]]-table2[[#This Row],[Entry Price]])/(table2[[#This Row],[Intended Entry]]-table2[[#This Row],[SL Price]]),4))</f>
        <v>-1</v>
      </c>
      <c r="AZ12" s="54">
        <f>IF((table2[[#This Row],[Pattern SL]])&lt;&gt;FALSE,((table2[[#This Row],[Pattern SL]])-(table2[[#This Row],[Entry Price]]))/((table2[[#This Row],[Intended Entry]])-(table2[[#This Row],[SL Price]])),ROUND((table2[[#This Row],[Exit Price]]-table2[[#This Row],[Entry Price]])/(table2[[#This Row],[Intended Entry]]-table2[[#This Row],[SL Price]]),4))</f>
        <v>-1</v>
      </c>
      <c r="BA1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2"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2"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2"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3" spans="1:57" x14ac:dyDescent="0.45">
      <c r="A13" s="39" t="s">
        <v>310</v>
      </c>
      <c r="B13" s="39">
        <v>12</v>
      </c>
      <c r="C13" s="29">
        <v>43613</v>
      </c>
      <c r="D13" s="43"/>
      <c r="E13" s="43"/>
      <c r="F13" s="39" t="s">
        <v>254</v>
      </c>
      <c r="G13" s="39"/>
      <c r="H13" s="39"/>
      <c r="I13" s="39"/>
      <c r="J13" s="39"/>
      <c r="K13" s="39"/>
      <c r="L13" s="39"/>
      <c r="M13" s="39"/>
      <c r="N13" s="39"/>
      <c r="O13" s="39"/>
      <c r="P13" s="39"/>
      <c r="Q13" s="39"/>
      <c r="R13" s="39"/>
      <c r="S13" s="39"/>
      <c r="T13" s="39"/>
      <c r="U13" s="39"/>
      <c r="V13" s="39"/>
      <c r="W13" s="39"/>
      <c r="X13" s="39"/>
      <c r="Y13" s="39"/>
      <c r="Z13" s="39"/>
      <c r="AA13" s="39"/>
      <c r="AB13" s="39"/>
      <c r="AC13" s="34" t="e">
        <f>IF(#REF!&lt;0, "LOSER", "WINNER")</f>
        <v>#REF!</v>
      </c>
      <c r="AD13" s="39"/>
      <c r="AE13" s="39"/>
      <c r="AF13" s="39"/>
      <c r="AG13" s="39"/>
      <c r="AH13" s="39"/>
      <c r="AI13" s="45"/>
      <c r="AJ13" s="34" t="e">
        <f>IF(table2[[#This Row],[Buy/Sell]]="BUY",(table2[[#This Row],[Highest Price]]-table2[[#This Row],[Entry Price]])/(table2[[#This Row],[Intended Entry]]-table2[[#This Row],[SL Price]]),(table2[[#This Row],[Entry Price]]-table2[[#This Row],[Lowest Price]])/(table2[[#This Row],[SL Price]]-table2[[#This Row],[Intended Entry]]))</f>
        <v>#DIV/0!</v>
      </c>
      <c r="AK13" s="38" t="e">
        <f>IF(table2[[#This Row],[Buy/Sell]]="BUY",(table2[[#This Row],[Entry Price]]-table2[[#This Row],[Lowest Price]])/(table2[[#This Row],[SL Price]]-table2[[#This Row],[Intended Entry]]),(table2[[#This Row],[Entry Price]]-table2[[#This Row],[Highest Price]])/(table2[[#This Row],[SL Price]]-table2[[#This Row],[Intended Entry]]))</f>
        <v>#DIV/0!</v>
      </c>
      <c r="AL13" s="41">
        <f>table2[[#This Row],[Exit Time]]-table2[[#This Row],[Entry Time]]</f>
        <v>0</v>
      </c>
      <c r="AM13" s="38" t="str">
        <f>IF(table2[[#This Row],[Retest Price]]&lt;&gt;FALSE,ROUND((table2[[#This Row],[Retest Price]]-table2[[#This Row],[Entry Price]])/(table2[[#This Row],[Intended Entry]]-table2[[#This Row],[SL Price]]),4), "FALSE")</f>
        <v>FALSE</v>
      </c>
      <c r="AN13" s="34">
        <f>232</f>
        <v>232</v>
      </c>
      <c r="AO13" s="34" t="str">
        <f>IF(table2[[#This Row],[Price Before BE]]=FALSE,"FALSE",( table2[[#This Row],[Price Before BE]]-table2[[#This Row],[Intended Entry]])/(table2[[#This Row],[Intended Entry]]-table2[[#This Row],[SL Price]]))</f>
        <v>FALSE</v>
      </c>
      <c r="AP13" s="34" t="e">
        <f>(IF(table2[[#This Row],[Buy/Sell]]="BUY",(table2[[#This Row],[Entry Price]]-table2[[#This Row],[SL Price]])/(table2[[#This Row],[Intended Entry]]-table2[[#This Row],[SL Price]]),(table2[[#This Row],[SL Price]]-table2[[#This Row],[Entry Price]])/(table2[[#This Row],[SL Price]]-table2[[#This Row],[Intended Entry]])))-1</f>
        <v>#DIV/0!</v>
      </c>
      <c r="AQ13" s="38" t="e">
        <f>table2[[#This Row],[Missed RRR on Entry]]</f>
        <v>#DIV/0!</v>
      </c>
      <c r="AR13" s="38" t="e">
        <f>ROUND((table2[[#This Row],[Potential Price]]-table2[[#This Row],[Entry Price]])/(table2[[#This Row],[Intended Entry]]-table2[[#This Row],[SL Price]]),4)</f>
        <v>#DIV/0!</v>
      </c>
      <c r="AS13" s="38" t="e">
        <f>ROUND((table2[[#This Row],[Potential Price]]-table2[[#This Row],[Intended Entry]])/(table2[[#This Row],[Intended Entry]]-table2[[#This Row],[SL Price]]),4)</f>
        <v>#DIV/0!</v>
      </c>
      <c r="AT13" s="38" t="e">
        <f>table2[[#This Row],[RRR Potential]]-table2[[#This Row],[RRR Realized]]</f>
        <v>#DIV/0!</v>
      </c>
      <c r="AU13" s="53" t="e">
        <f>ROUND((table2[[#This Row],[Exit Price]]-table2[[#This Row],[Entry Price]])/(table2[[#This Row],[Intended Entry]]-table2[[#This Row],[SL Price]]),4)</f>
        <v>#DIV/0!</v>
      </c>
      <c r="AV13" s="34" t="e">
        <f>IF(AND((table2[[#This Row],[Back to BE]])=TRUE,(table2[[#This Row],[Price Behaviour]])="Fast Reversal"), 0-(table2[[#This Row],[Missed RRR on Entry]]),ROUND((table2[[#This Row],[Exit Price]]-table2[[#This Row],[Entry Price]])/(table2[[#This Row],[Intended Entry]]-table2[[#This Row],[SL Price]]),4))</f>
        <v>#DIV/0!</v>
      </c>
      <c r="AW13" s="34" t="e">
        <f>IF(AND((table2[[#This Row],[Hard RRR Potential]])&gt;=1,(table2[[#This Row],[Back to BE]])="True",(table2[[#This Row],[Price Behaviour]])="Fast Reversal"), 1-(table2[[#This Row],[Missed RRR on Entry]]),ROUND((table2[[#This Row],[Exit Price]]-table2[[#This Row],[Entry Price]])/(table2[[#This Row],[Intended Entry]]-table2[[#This Row],[SL Price]]),4))</f>
        <v>#DIV/0!</v>
      </c>
      <c r="AX13" s="34" t="e">
        <f>IF(AND((table2[[#This Row],[Hard RRR Potential]])&gt;=1.5,(table2[[#This Row],[Back to BE]])="True",(table2[[#This Row],[Price Behaviour]])="Fast Reversal"), 1.5-(table2[[#This Row],[Missed RRR on Entry]]),ROUND((table2[[#This Row],[Exit Price]]-table2[[#This Row],[Entry Price]])/(table2[[#This Row],[Intended Entry]]-table2[[#This Row],[SL Price]]),4))</f>
        <v>#DIV/0!</v>
      </c>
      <c r="AY13" s="34" t="e">
        <f>IF(AND((table2[[#This Row],[Hard RRR Potential]])&gt;=2,(table2[[#This Row],[Back to BE]])="True",(table2[[#This Row],[Price Behaviour]])="Fast Reversal"), 2-(table2[[#This Row],[Missed RRR on Entry]]),ROUND((table2[[#This Row],[Exit Price]]-table2[[#This Row],[Entry Price]])/(table2[[#This Row],[Intended Entry]]-table2[[#This Row],[SL Price]]),4))</f>
        <v>#DIV/0!</v>
      </c>
      <c r="AZ13" s="54" t="e">
        <f>IF((table2[[#This Row],[Pattern SL]])&lt;&gt;FALSE,((table2[[#This Row],[Pattern SL]])-(table2[[#This Row],[Entry Price]]))/((table2[[#This Row],[Intended Entry]])-(table2[[#This Row],[SL Price]])),ROUND((table2[[#This Row],[Exit Price]]-table2[[#This Row],[Entry Price]])/(table2[[#This Row],[Intended Entry]]-table2[[#This Row],[SL Price]]),4))</f>
        <v>#DIV/0!</v>
      </c>
      <c r="BA13" s="36" t="e">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#DIV/0!</v>
      </c>
      <c r="BB13" s="34" t="e">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#DIV/0!</v>
      </c>
      <c r="BC13" s="34" t="e">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#DIV/0!</v>
      </c>
      <c r="BD13" s="34" t="e">
        <f>IF(OR(AND(table2[[#This Row],[Hard RRR Potential]]&gt;=2.5,table2[[#This Row],[Volume Exit]]=FALSE,table2[[#This Row],[Wick Exit]]=FALSE),AND(table2[[#This Row],[Hard RRR Potential]]&gt;=2.5,table2[[#This Row],[Volume Exit RRR Reach]]&gt;=2.5,table2[[#This Row],[Wick Exit]]=FALSE)), 2.5-table2[[#This Row],[Missed RRR on Entry]],table2[[#This Row],[RRR Realized]])</f>
        <v>#DIV/0!</v>
      </c>
      <c r="BE13" s="34" t="e">
        <f>IF(OR(AND(table2[[#This Row],[Hard RRR Potential]]&gt;=3,table2[[#This Row],[Volume Exit]]=FALSE,table2[[#This Row],[Wick Exit]]=FALSE),AND(table2[[#This Row],[Hard RRR Potential]]&gt;=3,table2[[#This Row],[Volume Exit RRR Reach]]&gt;=3,table2[[#This Row],[Wick Exit]]=FALSE)), 3-table2[[#This Row],[Missed RRR on Entry]],table2[[#This Row],[RRR Realized]])</f>
        <v>#DIV/0!</v>
      </c>
    </row>
    <row r="14" spans="1:57" x14ac:dyDescent="0.45">
      <c r="A14" s="39" t="s">
        <v>295</v>
      </c>
      <c r="B14" s="39">
        <v>13</v>
      </c>
      <c r="C14" s="29">
        <v>43613</v>
      </c>
      <c r="D14" s="43"/>
      <c r="E14" s="43"/>
      <c r="F14" s="39" t="s">
        <v>254</v>
      </c>
      <c r="G14" s="39"/>
      <c r="H14" s="39"/>
      <c r="I14" s="39"/>
      <c r="J14" s="39"/>
      <c r="K14" s="39"/>
      <c r="L14" s="39"/>
      <c r="M14" s="39"/>
      <c r="N14" s="39"/>
      <c r="O14" s="39"/>
      <c r="P14" s="39"/>
      <c r="Q14" s="39"/>
      <c r="R14" s="39"/>
      <c r="S14" s="39"/>
      <c r="T14" s="39"/>
      <c r="U14" s="39"/>
      <c r="V14" s="39"/>
      <c r="W14" s="39"/>
      <c r="X14" s="39"/>
      <c r="Y14" s="39"/>
      <c r="Z14" s="39"/>
      <c r="AA14" s="39"/>
      <c r="AB14" s="39"/>
      <c r="AC14" s="34" t="e">
        <f>IF(#REF!&lt;0, "LOSER", "WINNER")</f>
        <v>#REF!</v>
      </c>
      <c r="AD14" s="39"/>
      <c r="AE14" s="39"/>
      <c r="AF14" s="39"/>
      <c r="AG14" s="39"/>
      <c r="AH14" s="39"/>
      <c r="AI14" s="45"/>
      <c r="AJ14" s="34" t="e">
        <f>IF(table2[[#This Row],[Buy/Sell]]="BUY",(table2[[#This Row],[Highest Price]]-table2[[#This Row],[Entry Price]])/(table2[[#This Row],[Intended Entry]]-table2[[#This Row],[SL Price]]),(table2[[#This Row],[Entry Price]]-table2[[#This Row],[Lowest Price]])/(table2[[#This Row],[SL Price]]-table2[[#This Row],[Intended Entry]]))</f>
        <v>#DIV/0!</v>
      </c>
      <c r="AK14" s="38" t="e">
        <f>IF(table2[[#This Row],[Buy/Sell]]="BUY",(table2[[#This Row],[Entry Price]]-table2[[#This Row],[Lowest Price]])/(table2[[#This Row],[SL Price]]-table2[[#This Row],[Intended Entry]]),(table2[[#This Row],[Entry Price]]-table2[[#This Row],[Highest Price]])/(table2[[#This Row],[SL Price]]-table2[[#This Row],[Intended Entry]]))</f>
        <v>#DIV/0!</v>
      </c>
      <c r="AL14" s="41">
        <f>table2[[#This Row],[Exit Time]]-table2[[#This Row],[Entry Time]]</f>
        <v>0</v>
      </c>
      <c r="AM14" s="38" t="str">
        <f>IF(table2[[#This Row],[Retest Price]]&lt;&gt;FALSE,ROUND((table2[[#This Row],[Retest Price]]-table2[[#This Row],[Entry Price]])/(table2[[#This Row],[Intended Entry]]-table2[[#This Row],[SL Price]]),4), "FALSE")</f>
        <v>FALSE</v>
      </c>
      <c r="AN14" s="34">
        <f>232</f>
        <v>232</v>
      </c>
      <c r="AO14" s="34" t="str">
        <f>IF(table2[[#This Row],[Price Before BE]]=FALSE,"FALSE",( table2[[#This Row],[Price Before BE]]-table2[[#This Row],[Intended Entry]])/(table2[[#This Row],[Intended Entry]]-table2[[#This Row],[SL Price]]))</f>
        <v>FALSE</v>
      </c>
      <c r="AP14" s="34" t="e">
        <f>(IF(table2[[#This Row],[Buy/Sell]]="BUY",(table2[[#This Row],[Entry Price]]-table2[[#This Row],[SL Price]])/(table2[[#This Row],[Intended Entry]]-table2[[#This Row],[SL Price]]),(table2[[#This Row],[SL Price]]-table2[[#This Row],[Entry Price]])/(table2[[#This Row],[SL Price]]-table2[[#This Row],[Intended Entry]])))-1</f>
        <v>#DIV/0!</v>
      </c>
      <c r="AQ14" s="38" t="e">
        <f>table2[[#This Row],[Missed RRR on Entry]]</f>
        <v>#DIV/0!</v>
      </c>
      <c r="AR14" s="38" t="e">
        <f>ROUND((table2[[#This Row],[Potential Price]]-table2[[#This Row],[Entry Price]])/(table2[[#This Row],[Intended Entry]]-table2[[#This Row],[SL Price]]),4)</f>
        <v>#DIV/0!</v>
      </c>
      <c r="AS14" s="38" t="e">
        <f>ROUND((table2[[#This Row],[Potential Price]]-table2[[#This Row],[Intended Entry]])/(table2[[#This Row],[Intended Entry]]-table2[[#This Row],[SL Price]]),4)</f>
        <v>#DIV/0!</v>
      </c>
      <c r="AT14" s="38" t="e">
        <f>table2[[#This Row],[RRR Potential]]-table2[[#This Row],[RRR Realized]]</f>
        <v>#DIV/0!</v>
      </c>
      <c r="AU14" s="53" t="e">
        <f>ROUND((table2[[#This Row],[Exit Price]]-table2[[#This Row],[Entry Price]])/(table2[[#This Row],[Intended Entry]]-table2[[#This Row],[SL Price]]),4)</f>
        <v>#DIV/0!</v>
      </c>
      <c r="AV14" s="34" t="e">
        <f>IF(AND((table2[[#This Row],[Back to BE]])=TRUE,(table2[[#This Row],[Price Behaviour]])="Fast Reversal"), 0-(table2[[#This Row],[Missed RRR on Entry]]),ROUND((table2[[#This Row],[Exit Price]]-table2[[#This Row],[Entry Price]])/(table2[[#This Row],[Intended Entry]]-table2[[#This Row],[SL Price]]),4))</f>
        <v>#DIV/0!</v>
      </c>
      <c r="AW14" s="34" t="e">
        <f>IF(AND((table2[[#This Row],[Hard RRR Potential]])&gt;=1,(table2[[#This Row],[Back to BE]])="True",(table2[[#This Row],[Price Behaviour]])="Fast Reversal"), 1-(table2[[#This Row],[Missed RRR on Entry]]),ROUND((table2[[#This Row],[Exit Price]]-table2[[#This Row],[Entry Price]])/(table2[[#This Row],[Intended Entry]]-table2[[#This Row],[SL Price]]),4))</f>
        <v>#DIV/0!</v>
      </c>
      <c r="AX14" s="34" t="e">
        <f>IF(AND((table2[[#This Row],[Hard RRR Potential]])&gt;=1.5,(table2[[#This Row],[Back to BE]])="True",(table2[[#This Row],[Price Behaviour]])="Fast Reversal"), 1.5-(table2[[#This Row],[Missed RRR on Entry]]),ROUND((table2[[#This Row],[Exit Price]]-table2[[#This Row],[Entry Price]])/(table2[[#This Row],[Intended Entry]]-table2[[#This Row],[SL Price]]),4))</f>
        <v>#DIV/0!</v>
      </c>
      <c r="AY14" s="34" t="e">
        <f>IF(AND((table2[[#This Row],[Hard RRR Potential]])&gt;=2,(table2[[#This Row],[Back to BE]])="True",(table2[[#This Row],[Price Behaviour]])="Fast Reversal"), 2-(table2[[#This Row],[Missed RRR on Entry]]),ROUND((table2[[#This Row],[Exit Price]]-table2[[#This Row],[Entry Price]])/(table2[[#This Row],[Intended Entry]]-table2[[#This Row],[SL Price]]),4))</f>
        <v>#DIV/0!</v>
      </c>
      <c r="AZ14" s="54" t="e">
        <f>IF((table2[[#This Row],[Pattern SL]])&lt;&gt;FALSE,((table2[[#This Row],[Pattern SL]])-(table2[[#This Row],[Entry Price]]))/((table2[[#This Row],[Intended Entry]])-(table2[[#This Row],[SL Price]])),ROUND((table2[[#This Row],[Exit Price]]-table2[[#This Row],[Entry Price]])/(table2[[#This Row],[Intended Entry]]-table2[[#This Row],[SL Price]]),4))</f>
        <v>#DIV/0!</v>
      </c>
      <c r="BA14" s="36" t="e">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#DIV/0!</v>
      </c>
      <c r="BB14" s="34" t="e">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#DIV/0!</v>
      </c>
      <c r="BC14" s="34" t="e">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#DIV/0!</v>
      </c>
      <c r="BD14" s="34" t="e">
        <f>IF(OR(AND(table2[[#This Row],[Hard RRR Potential]]&gt;=2.5,table2[[#This Row],[Volume Exit]]=FALSE,table2[[#This Row],[Wick Exit]]=FALSE),AND(table2[[#This Row],[Hard RRR Potential]]&gt;=2.5,table2[[#This Row],[Volume Exit RRR Reach]]&gt;=2.5,table2[[#This Row],[Wick Exit]]=FALSE)), 2.5-table2[[#This Row],[Missed RRR on Entry]],table2[[#This Row],[RRR Realized]])</f>
        <v>#DIV/0!</v>
      </c>
      <c r="BE14" s="34" t="e">
        <f>IF(OR(AND(table2[[#This Row],[Hard RRR Potential]]&gt;=3,table2[[#This Row],[Volume Exit]]=FALSE,table2[[#This Row],[Wick Exit]]=FALSE),AND(table2[[#This Row],[Hard RRR Potential]]&gt;=3,table2[[#This Row],[Volume Exit RRR Reach]]&gt;=3,table2[[#This Row],[Wick Exit]]=FALSE)), 3-table2[[#This Row],[Missed RRR on Entry]],table2[[#This Row],[RRR Realized]])</f>
        <v>#DIV/0!</v>
      </c>
    </row>
  </sheetData>
  <dataValidations count="2">
    <dataValidation type="time" allowBlank="1" showInputMessage="1" showErrorMessage="1" sqref="D1:E14" xr:uid="{4D2BB0C8-D7F1-4AAD-9AC5-FC2048FB1ECF}">
      <formula1>0.395138888888889</formula1>
      <formula2>0.667361111111111</formula2>
    </dataValidation>
    <dataValidation type="textLength" allowBlank="1" showInputMessage="1" showErrorMessage="1" sqref="A1:A14" xr:uid="{49992DCC-F63B-4CEB-81ED-5993FC9DAFB9}">
      <formula1>2</formula1>
      <formula2>4</formula2>
    </dataValidation>
  </dataValidations>
  <hyperlinks>
    <hyperlink ref="AI2" r:id="rId1" xr:uid="{9AEB5EDD-53B0-4CF2-A0D2-465245ADAE8B}"/>
    <hyperlink ref="AI3" r:id="rId2" xr:uid="{CD6870C2-4572-427D-A318-33E136FEEA7F}"/>
    <hyperlink ref="AI4" r:id="rId3" xr:uid="{A99CDD9B-9FA8-4C30-A1D1-FEE40FECEF7C}"/>
    <hyperlink ref="AI5" r:id="rId4" xr:uid="{9477C044-0FA1-4583-9D4B-D1584A63508F}"/>
    <hyperlink ref="AI6" r:id="rId5" xr:uid="{A1B6143A-C39A-47C3-9F5A-36F7B9227F11}"/>
    <hyperlink ref="AI7" r:id="rId6" xr:uid="{F7BF7614-FC32-4A1B-8AD0-71A5149DD9FC}"/>
    <hyperlink ref="AI8" r:id="rId7" xr:uid="{3FAF76CD-79AE-4041-82A3-ADD5CB05AE3E}"/>
    <hyperlink ref="AI9" r:id="rId8" xr:uid="{5EA39142-98DE-4B68-B19A-777E1D3DCFAB}"/>
    <hyperlink ref="AI10" r:id="rId9" xr:uid="{B26E8748-1A92-4F74-B339-262709AF6F11}"/>
    <hyperlink ref="AI11" r:id="rId10" xr:uid="{214F43A5-9BFC-45AB-9D68-7B37A114951F}"/>
    <hyperlink ref="AI12" r:id="rId11" xr:uid="{063F6A1E-A425-4599-9F66-7D50667DFE7C}"/>
  </hyperlinks>
  <pageMargins left="0.7" right="0.7" top="0.75" bottom="0.75" header="0.3" footer="0.3"/>
  <pageSetup orientation="portrait" r:id="rId12"/>
  <tableParts count="1">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D68F-7830-451C-BBF6-94B4B910712B}">
  <dimension ref="A3:Q36"/>
  <sheetViews>
    <sheetView workbookViewId="0">
      <selection activeCell="C3" sqref="C3"/>
    </sheetView>
  </sheetViews>
  <sheetFormatPr defaultRowHeight="14.25" x14ac:dyDescent="0.45"/>
  <cols>
    <col min="1" max="1" width="19" bestFit="1" customWidth="1"/>
    <col min="2" max="2" width="16.73046875" bestFit="1" customWidth="1"/>
    <col min="3" max="3" width="15.1328125" bestFit="1" customWidth="1"/>
    <col min="4" max="5" width="23.265625" bestFit="1" customWidth="1"/>
    <col min="6" max="6" width="24.73046875" bestFit="1" customWidth="1"/>
    <col min="7" max="7" width="23.265625" bestFit="1" customWidth="1"/>
    <col min="8" max="8" width="29" bestFit="1" customWidth="1"/>
    <col min="9" max="9" width="28" bestFit="1" customWidth="1"/>
    <col min="10" max="11" width="30.73046875" bestFit="1" customWidth="1"/>
    <col min="12" max="12" width="32.265625" bestFit="1" customWidth="1"/>
    <col min="13" max="13" width="30.73046875" bestFit="1" customWidth="1"/>
    <col min="14" max="15" width="32.265625" bestFit="1" customWidth="1"/>
    <col min="16" max="16" width="34" bestFit="1" customWidth="1"/>
    <col min="17" max="17" width="32.265625" bestFit="1" customWidth="1"/>
    <col min="18" max="18" width="34.3984375" bestFit="1" customWidth="1"/>
    <col min="19" max="19" width="36.59765625" bestFit="1" customWidth="1"/>
    <col min="20" max="20" width="38.265625" bestFit="1" customWidth="1"/>
    <col min="21" max="21" width="28.265625" bestFit="1" customWidth="1"/>
    <col min="22" max="22" width="30.59765625" bestFit="1" customWidth="1"/>
    <col min="23" max="23" width="32.1328125" bestFit="1" customWidth="1"/>
    <col min="24" max="24" width="28.265625" bestFit="1" customWidth="1"/>
    <col min="25" max="25" width="30.59765625" bestFit="1" customWidth="1"/>
    <col min="26" max="26" width="32.1328125" bestFit="1" customWidth="1"/>
    <col min="27" max="27" width="23.59765625" bestFit="1" customWidth="1"/>
    <col min="28" max="28" width="25.73046875" bestFit="1" customWidth="1"/>
    <col min="29" max="29" width="27.265625" bestFit="1" customWidth="1"/>
    <col min="30" max="30" width="23.59765625" bestFit="1" customWidth="1"/>
    <col min="31" max="31" width="25.73046875" bestFit="1" customWidth="1"/>
    <col min="32" max="32" width="27.265625" bestFit="1" customWidth="1"/>
    <col min="33" max="33" width="23" bestFit="1" customWidth="1"/>
    <col min="34" max="34" width="25.1328125" bestFit="1" customWidth="1"/>
    <col min="35" max="35" width="27.265625" bestFit="1" customWidth="1"/>
    <col min="36" max="36" width="17.73046875" bestFit="1" customWidth="1"/>
    <col min="37" max="37" width="20.265625" bestFit="1" customWidth="1"/>
    <col min="38" max="38" width="22" bestFit="1" customWidth="1"/>
    <col min="39" max="39" width="21.1328125" bestFit="1" customWidth="1"/>
    <col min="40" max="40" width="23.73046875" bestFit="1" customWidth="1"/>
    <col min="41" max="41" width="25.3984375" bestFit="1" customWidth="1"/>
    <col min="42" max="42" width="21.1328125" bestFit="1" customWidth="1"/>
    <col min="43" max="43" width="23.73046875" bestFit="1" customWidth="1"/>
    <col min="44" max="44" width="25.3984375" bestFit="1" customWidth="1"/>
    <col min="45" max="45" width="26.73046875" bestFit="1" customWidth="1"/>
    <col min="46" max="46" width="22.3984375" bestFit="1" customWidth="1"/>
    <col min="47" max="47" width="25" bestFit="1" customWidth="1"/>
    <col min="48" max="48" width="26.73046875" bestFit="1" customWidth="1"/>
  </cols>
  <sheetData>
    <row r="3" spans="1:17" x14ac:dyDescent="0.45">
      <c r="A3" t="s">
        <v>105</v>
      </c>
      <c r="B3" t="s">
        <v>229</v>
      </c>
      <c r="C3" t="s">
        <v>230</v>
      </c>
      <c r="D3" t="s">
        <v>224</v>
      </c>
      <c r="E3" t="s">
        <v>225</v>
      </c>
      <c r="F3" t="s">
        <v>226</v>
      </c>
      <c r="G3" t="s">
        <v>227</v>
      </c>
      <c r="H3" t="s">
        <v>228</v>
      </c>
    </row>
    <row r="4" spans="1:17" x14ac:dyDescent="0.45">
      <c r="A4" s="4">
        <v>17.111000000000004</v>
      </c>
      <c r="B4" s="4">
        <v>17.356075641025637</v>
      </c>
      <c r="C4" s="4">
        <v>16.356125641025638</v>
      </c>
      <c r="D4" s="4">
        <v>19.619371428571423</v>
      </c>
      <c r="E4" s="4">
        <v>17.111000000000004</v>
      </c>
      <c r="F4" s="4">
        <v>17.111000000000004</v>
      </c>
      <c r="G4" s="4">
        <v>17.111000000000004</v>
      </c>
      <c r="H4" s="4">
        <v>19.161000000000001</v>
      </c>
    </row>
    <row r="5" spans="1:17" x14ac:dyDescent="0.45">
      <c r="A5" s="4"/>
      <c r="B5" s="4"/>
      <c r="C5" s="4"/>
      <c r="D5" s="4"/>
      <c r="E5" s="4"/>
      <c r="F5" s="4"/>
      <c r="G5" s="4"/>
      <c r="H5" s="4"/>
      <c r="I5" s="4"/>
      <c r="J5" s="4"/>
      <c r="K5" s="4"/>
      <c r="L5" s="4"/>
      <c r="M5" s="4"/>
      <c r="N5" s="4"/>
      <c r="O5" s="4"/>
      <c r="P5" s="4"/>
      <c r="Q5" s="4"/>
    </row>
    <row r="6" spans="1:17" x14ac:dyDescent="0.45">
      <c r="A6" s="4"/>
      <c r="B6" s="4"/>
      <c r="C6" s="4"/>
      <c r="D6" s="4"/>
      <c r="E6" s="4"/>
      <c r="F6" s="4"/>
      <c r="G6" s="4"/>
      <c r="H6" s="4"/>
      <c r="I6" s="4"/>
      <c r="J6" s="4"/>
      <c r="K6" s="4"/>
      <c r="L6" s="4"/>
      <c r="M6" s="4"/>
      <c r="N6" s="4"/>
      <c r="O6" s="4"/>
      <c r="P6" s="4"/>
      <c r="Q6" s="4"/>
    </row>
    <row r="10" spans="1:17" x14ac:dyDescent="0.45">
      <c r="A10" s="16" t="s">
        <v>94</v>
      </c>
      <c r="B10" t="s">
        <v>125</v>
      </c>
      <c r="C10" t="s">
        <v>122</v>
      </c>
      <c r="D10" t="s">
        <v>124</v>
      </c>
      <c r="F10" s="16" t="s">
        <v>94</v>
      </c>
      <c r="G10" t="s">
        <v>125</v>
      </c>
      <c r="H10" t="s">
        <v>122</v>
      </c>
      <c r="I10" t="s">
        <v>124</v>
      </c>
    </row>
    <row r="11" spans="1:17" x14ac:dyDescent="0.45">
      <c r="A11" s="18" t="s">
        <v>29</v>
      </c>
      <c r="B11" s="4">
        <v>1</v>
      </c>
      <c r="C11" s="4">
        <v>0.1</v>
      </c>
      <c r="D11" s="4">
        <v>-1.042499999999998</v>
      </c>
      <c r="F11" s="18" t="s">
        <v>24</v>
      </c>
      <c r="G11" s="4">
        <v>32</v>
      </c>
      <c r="H11" s="4">
        <v>0.52281562500000001</v>
      </c>
      <c r="I11" s="4">
        <v>-0.90640122436440129</v>
      </c>
    </row>
    <row r="12" spans="1:17" x14ac:dyDescent="0.45">
      <c r="A12" s="28" t="s">
        <v>24</v>
      </c>
      <c r="B12" s="4">
        <v>1</v>
      </c>
      <c r="C12" s="4">
        <v>0.1</v>
      </c>
      <c r="D12" s="4">
        <v>-1.042499999999998</v>
      </c>
      <c r="F12" s="28" t="s">
        <v>29</v>
      </c>
      <c r="G12" s="4">
        <v>1</v>
      </c>
      <c r="H12" s="4">
        <v>0.1</v>
      </c>
      <c r="I12" s="4">
        <v>-1.042499999999998</v>
      </c>
    </row>
    <row r="13" spans="1:17" x14ac:dyDescent="0.45">
      <c r="A13" s="18" t="s">
        <v>28</v>
      </c>
      <c r="B13" s="4">
        <v>36</v>
      </c>
      <c r="C13" s="4">
        <v>2.8102749999999999</v>
      </c>
      <c r="D13" s="4">
        <v>-0.49798314552624962</v>
      </c>
      <c r="F13" s="28" t="s">
        <v>28</v>
      </c>
      <c r="G13" s="4">
        <v>8</v>
      </c>
      <c r="H13" s="4">
        <v>0.69211250000000013</v>
      </c>
      <c r="I13" s="4">
        <v>-0.8431883490073151</v>
      </c>
    </row>
    <row r="14" spans="1:17" x14ac:dyDescent="0.45">
      <c r="A14" s="28" t="s">
        <v>24</v>
      </c>
      <c r="B14" s="4">
        <v>8</v>
      </c>
      <c r="C14" s="4">
        <v>0.69211250000000013</v>
      </c>
      <c r="D14" s="4">
        <v>-0.8431883490073151</v>
      </c>
      <c r="F14" s="28" t="s">
        <v>30</v>
      </c>
      <c r="G14" s="4">
        <v>3</v>
      </c>
      <c r="H14" s="4">
        <v>0.57143333333333335</v>
      </c>
      <c r="I14" s="4">
        <v>-0.74730158730158769</v>
      </c>
    </row>
    <row r="15" spans="1:17" x14ac:dyDescent="0.45">
      <c r="A15" s="28" t="s">
        <v>27</v>
      </c>
      <c r="B15" s="4">
        <v>6</v>
      </c>
      <c r="C15" s="4">
        <v>2.3592333333333331</v>
      </c>
      <c r="D15" s="4">
        <v>-0.60833333333333339</v>
      </c>
      <c r="F15" s="28" t="s">
        <v>31</v>
      </c>
      <c r="G15" s="4">
        <v>20</v>
      </c>
      <c r="H15" s="4">
        <v>0.46894500000000006</v>
      </c>
      <c r="I15" s="4">
        <v>-0.94874638128487765</v>
      </c>
    </row>
    <row r="16" spans="1:17" x14ac:dyDescent="0.45">
      <c r="A16" s="28" t="s">
        <v>25</v>
      </c>
      <c r="B16" s="4">
        <v>22</v>
      </c>
      <c r="C16" s="4">
        <v>3.7035272727272726</v>
      </c>
      <c r="D16" s="4">
        <v>-0.3423584748584757</v>
      </c>
      <c r="F16" s="18" t="s">
        <v>27</v>
      </c>
      <c r="G16" s="4">
        <v>10</v>
      </c>
      <c r="H16" s="4">
        <v>2.9707699999999999</v>
      </c>
      <c r="I16" s="4">
        <v>-0.56366666666666698</v>
      </c>
    </row>
    <row r="17" spans="1:9" x14ac:dyDescent="0.45">
      <c r="A17" s="18" t="s">
        <v>30</v>
      </c>
      <c r="B17" s="4">
        <v>7</v>
      </c>
      <c r="C17" s="4">
        <v>2.4666571428571431</v>
      </c>
      <c r="D17" s="4">
        <v>-0.6040816326530617</v>
      </c>
      <c r="F17" s="28" t="s">
        <v>28</v>
      </c>
      <c r="G17" s="4">
        <v>6</v>
      </c>
      <c r="H17" s="4">
        <v>2.3592333333333331</v>
      </c>
      <c r="I17" s="4">
        <v>-0.60833333333333339</v>
      </c>
    </row>
    <row r="18" spans="1:9" x14ac:dyDescent="0.45">
      <c r="A18" s="28" t="s">
        <v>24</v>
      </c>
      <c r="B18" s="4">
        <v>3</v>
      </c>
      <c r="C18" s="4">
        <v>0.57143333333333335</v>
      </c>
      <c r="D18" s="4">
        <v>-0.74730158730158769</v>
      </c>
      <c r="F18" s="28" t="s">
        <v>30</v>
      </c>
      <c r="G18" s="4">
        <v>4</v>
      </c>
      <c r="H18" s="4">
        <v>3.8880750000000006</v>
      </c>
      <c r="I18" s="4">
        <v>-0.49666666666666726</v>
      </c>
    </row>
    <row r="19" spans="1:9" x14ac:dyDescent="0.45">
      <c r="A19" s="28" t="s">
        <v>27</v>
      </c>
      <c r="B19" s="4">
        <v>4</v>
      </c>
      <c r="C19" s="4">
        <v>3.8880750000000006</v>
      </c>
      <c r="D19" s="4">
        <v>-0.49666666666666726</v>
      </c>
      <c r="F19" s="18" t="s">
        <v>25</v>
      </c>
      <c r="G19" s="4">
        <v>22</v>
      </c>
      <c r="H19" s="4">
        <v>3.7035272727272726</v>
      </c>
      <c r="I19" s="4">
        <v>-0.3423584748584757</v>
      </c>
    </row>
    <row r="20" spans="1:9" x14ac:dyDescent="0.45">
      <c r="A20" s="18" t="s">
        <v>31</v>
      </c>
      <c r="B20" s="4">
        <v>20</v>
      </c>
      <c r="C20" s="4">
        <v>0.46894500000000006</v>
      </c>
      <c r="D20" s="4">
        <v>-0.94874638128487765</v>
      </c>
      <c r="F20" s="28" t="s">
        <v>28</v>
      </c>
      <c r="G20" s="4">
        <v>22</v>
      </c>
      <c r="H20" s="4">
        <v>3.7035272727272726</v>
      </c>
      <c r="I20" s="4">
        <v>-0.3423584748584757</v>
      </c>
    </row>
    <row r="21" spans="1:9" x14ac:dyDescent="0.45">
      <c r="A21" s="28" t="s">
        <v>24</v>
      </c>
      <c r="B21" s="4">
        <v>20</v>
      </c>
      <c r="C21" s="4">
        <v>0.46894500000000006</v>
      </c>
      <c r="D21" s="4">
        <v>-0.94874638128487765</v>
      </c>
      <c r="F21" s="18" t="s">
        <v>95</v>
      </c>
      <c r="G21" s="4">
        <v>64</v>
      </c>
      <c r="H21" s="4">
        <v>1.9986781249999996</v>
      </c>
      <c r="I21" s="4">
        <v>-0.65895925458146831</v>
      </c>
    </row>
    <row r="22" spans="1:9" x14ac:dyDescent="0.45">
      <c r="A22" s="18" t="s">
        <v>95</v>
      </c>
      <c r="B22" s="4">
        <v>64</v>
      </c>
      <c r="C22" s="4">
        <v>1.9986781249999999</v>
      </c>
      <c r="D22" s="4">
        <v>-0.65895925458146831</v>
      </c>
    </row>
    <row r="26" spans="1:9" ht="13.9" customHeight="1" x14ac:dyDescent="0.45"/>
    <row r="33" spans="1:6" x14ac:dyDescent="0.45">
      <c r="A33" s="16" t="s">
        <v>94</v>
      </c>
      <c r="B33" t="s">
        <v>125</v>
      </c>
      <c r="C33" t="s">
        <v>148</v>
      </c>
      <c r="D33" t="s">
        <v>149</v>
      </c>
      <c r="E33" t="s">
        <v>124</v>
      </c>
      <c r="F33" t="s">
        <v>122</v>
      </c>
    </row>
    <row r="34" spans="1:6" x14ac:dyDescent="0.45">
      <c r="A34" s="18" t="s">
        <v>146</v>
      </c>
      <c r="B34" s="4">
        <v>31</v>
      </c>
      <c r="C34" s="1">
        <v>5.3315412186379935E-3</v>
      </c>
      <c r="D34" s="4">
        <v>0.59302355932205386</v>
      </c>
      <c r="E34" s="4">
        <v>-0.996099096254634</v>
      </c>
      <c r="F34" s="4">
        <v>0.62120967741935496</v>
      </c>
    </row>
    <row r="35" spans="1:6" x14ac:dyDescent="0.45">
      <c r="A35" s="18" t="s">
        <v>147</v>
      </c>
      <c r="B35" s="4">
        <v>33</v>
      </c>
      <c r="C35" s="1">
        <v>9.9116161616161613E-3</v>
      </c>
      <c r="D35" s="4">
        <v>2.2357410644910649</v>
      </c>
      <c r="E35" s="4">
        <v>-0.34225213058546422</v>
      </c>
      <c r="F35" s="4">
        <v>3.2926636363636357</v>
      </c>
    </row>
    <row r="36" spans="1:6" x14ac:dyDescent="0.45">
      <c r="A36" s="18" t="s">
        <v>95</v>
      </c>
      <c r="B36" s="4">
        <v>64</v>
      </c>
      <c r="C36" s="1">
        <v>7.6931423611111107E-3</v>
      </c>
      <c r="D36" s="4">
        <v>1.4400497729248254</v>
      </c>
      <c r="E36" s="4">
        <v>-0.65895925458146842</v>
      </c>
      <c r="F36" s="4">
        <v>1.9986781250000001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184-6E4C-4529-977E-18B873E565B4}">
  <dimension ref="D7:E71"/>
  <sheetViews>
    <sheetView topLeftCell="A19" workbookViewId="0">
      <selection activeCell="Q70" sqref="Q70"/>
    </sheetView>
  </sheetViews>
  <sheetFormatPr defaultRowHeight="14.25" x14ac:dyDescent="0.45"/>
  <sheetData>
    <row r="7" spans="4:5" x14ac:dyDescent="0.45">
      <c r="D7" s="30" t="s">
        <v>309</v>
      </c>
      <c r="E7" s="37" t="s">
        <v>64</v>
      </c>
    </row>
    <row r="8" spans="4:5" x14ac:dyDescent="0.45">
      <c r="D8" s="39">
        <v>-1</v>
      </c>
      <c r="E8" s="53">
        <v>0.15</v>
      </c>
    </row>
    <row r="9" spans="4:5" x14ac:dyDescent="0.45">
      <c r="D9" s="56">
        <v>-1</v>
      </c>
      <c r="E9" s="57">
        <v>0.125</v>
      </c>
    </row>
    <row r="10" spans="4:5" x14ac:dyDescent="0.45">
      <c r="D10" s="39">
        <v>-0.67</v>
      </c>
      <c r="E10" s="53">
        <v>-0.98750000000000004</v>
      </c>
    </row>
    <row r="11" spans="4:5" x14ac:dyDescent="0.45">
      <c r="D11" s="56">
        <v>-0.6</v>
      </c>
      <c r="E11" s="57">
        <v>2.4863</v>
      </c>
    </row>
    <row r="12" spans="4:5" x14ac:dyDescent="0.45">
      <c r="D12" s="39">
        <v>-0.6</v>
      </c>
      <c r="E12" s="53">
        <v>0.48</v>
      </c>
    </row>
    <row r="13" spans="4:5" x14ac:dyDescent="0.45">
      <c r="D13" s="56">
        <v>-0.35</v>
      </c>
      <c r="E13" s="57">
        <v>3.3</v>
      </c>
    </row>
    <row r="14" spans="4:5" x14ac:dyDescent="0.45">
      <c r="D14" s="39">
        <v>-0.35</v>
      </c>
      <c r="E14" s="53">
        <v>-1.0703</v>
      </c>
    </row>
    <row r="15" spans="4:5" x14ac:dyDescent="0.45">
      <c r="D15" s="56">
        <v>-0.35</v>
      </c>
      <c r="E15" s="57">
        <v>-1.0909</v>
      </c>
    </row>
    <row r="16" spans="4:5" x14ac:dyDescent="0.45">
      <c r="D16" s="39">
        <v>-0.35</v>
      </c>
      <c r="E16" s="53">
        <v>-0.48170000000000002</v>
      </c>
    </row>
    <row r="17" spans="4:5" x14ac:dyDescent="0.45">
      <c r="D17" s="56">
        <v>-0.31</v>
      </c>
      <c r="E17" s="57">
        <v>-1</v>
      </c>
    </row>
    <row r="18" spans="4:5" x14ac:dyDescent="0.45">
      <c r="D18" s="39">
        <v>-0.3</v>
      </c>
      <c r="E18" s="53">
        <v>2.7692000000000001</v>
      </c>
    </row>
    <row r="19" spans="4:5" x14ac:dyDescent="0.45">
      <c r="D19" s="56">
        <v>-0.3</v>
      </c>
      <c r="E19" s="57">
        <v>-1.1599999999999999</v>
      </c>
    </row>
    <row r="20" spans="4:5" x14ac:dyDescent="0.45">
      <c r="D20" s="39">
        <v>-0.3</v>
      </c>
      <c r="E20" s="53">
        <v>-0.5333</v>
      </c>
    </row>
    <row r="21" spans="4:5" x14ac:dyDescent="0.45">
      <c r="D21" s="56">
        <v>-0.3</v>
      </c>
      <c r="E21" s="57">
        <v>2.5499999999999998</v>
      </c>
    </row>
    <row r="22" spans="4:5" x14ac:dyDescent="0.45">
      <c r="D22" s="39">
        <v>-0.3</v>
      </c>
      <c r="E22" s="53">
        <v>0.2</v>
      </c>
    </row>
    <row r="23" spans="4:5" x14ac:dyDescent="0.45">
      <c r="D23" s="56">
        <v>-0.28000000000000003</v>
      </c>
      <c r="E23" s="57">
        <v>-1.2857000000000001</v>
      </c>
    </row>
    <row r="24" spans="4:5" x14ac:dyDescent="0.45">
      <c r="D24" s="39">
        <v>-0.25</v>
      </c>
      <c r="E24" s="53">
        <v>0.5</v>
      </c>
    </row>
    <row r="25" spans="4:5" x14ac:dyDescent="0.45">
      <c r="D25" s="56">
        <v>-0.25</v>
      </c>
      <c r="E25" s="57">
        <v>0.2</v>
      </c>
    </row>
    <row r="26" spans="4:5" x14ac:dyDescent="0.45">
      <c r="D26" s="39">
        <v>-0.2</v>
      </c>
      <c r="E26" s="53">
        <v>1.2333000000000001</v>
      </c>
    </row>
    <row r="27" spans="4:5" x14ac:dyDescent="0.45">
      <c r="D27" s="56">
        <v>-0.2</v>
      </c>
      <c r="E27" s="57">
        <v>0.24</v>
      </c>
    </row>
    <row r="28" spans="4:5" x14ac:dyDescent="0.45">
      <c r="D28" s="39">
        <v>-0.16</v>
      </c>
      <c r="E28" s="53">
        <v>-1</v>
      </c>
    </row>
    <row r="29" spans="4:5" x14ac:dyDescent="0.45">
      <c r="D29" s="56">
        <v>-0.16</v>
      </c>
      <c r="E29" s="57">
        <v>1.35</v>
      </c>
    </row>
    <row r="30" spans="4:5" x14ac:dyDescent="0.45">
      <c r="D30" s="39">
        <v>-0.14000000000000001</v>
      </c>
      <c r="E30" s="53">
        <v>0.1</v>
      </c>
    </row>
    <row r="31" spans="4:5" x14ac:dyDescent="0.45">
      <c r="D31" s="56">
        <v>-0.1</v>
      </c>
      <c r="E31" s="57">
        <v>0.34</v>
      </c>
    </row>
    <row r="32" spans="4:5" x14ac:dyDescent="0.45">
      <c r="D32" s="39">
        <v>-0.1</v>
      </c>
      <c r="E32" s="53">
        <v>-0.97499999999999998</v>
      </c>
    </row>
    <row r="33" spans="4:5" x14ac:dyDescent="0.45">
      <c r="D33" s="56">
        <v>-0.1</v>
      </c>
      <c r="E33" s="57">
        <v>-1</v>
      </c>
    </row>
    <row r="34" spans="4:5" x14ac:dyDescent="0.45">
      <c r="D34" s="39">
        <v>-0.04</v>
      </c>
      <c r="E34" s="53">
        <v>-1.1929000000000001</v>
      </c>
    </row>
    <row r="35" spans="4:5" x14ac:dyDescent="0.45">
      <c r="D35" s="56">
        <v>-0.04</v>
      </c>
      <c r="E35" s="57">
        <v>2.0750000000000002</v>
      </c>
    </row>
    <row r="36" spans="4:5" x14ac:dyDescent="0.45">
      <c r="D36" s="39">
        <v>-0.04</v>
      </c>
      <c r="E36" s="53">
        <v>2.6</v>
      </c>
    </row>
    <row r="37" spans="4:5" x14ac:dyDescent="0.45">
      <c r="D37" s="56">
        <v>-0.03</v>
      </c>
      <c r="E37" s="57">
        <v>-1.05</v>
      </c>
    </row>
    <row r="38" spans="4:5" x14ac:dyDescent="0.45">
      <c r="D38" s="39">
        <v>-0.02</v>
      </c>
      <c r="E38" s="53">
        <v>-0.875</v>
      </c>
    </row>
    <row r="39" spans="4:5" x14ac:dyDescent="0.45">
      <c r="D39" s="56">
        <v>-0.02</v>
      </c>
      <c r="E39" s="57">
        <v>-0.99</v>
      </c>
    </row>
    <row r="40" spans="4:5" x14ac:dyDescent="0.45">
      <c r="D40" s="39">
        <v>0</v>
      </c>
      <c r="E40" s="53">
        <v>-0.4</v>
      </c>
    </row>
    <row r="41" spans="4:5" x14ac:dyDescent="0.45">
      <c r="D41" s="56">
        <v>0.02</v>
      </c>
      <c r="E41" s="57">
        <v>-1.1499999999999999</v>
      </c>
    </row>
    <row r="42" spans="4:5" x14ac:dyDescent="0.45">
      <c r="D42" s="39">
        <v>7.0000000000000007E-2</v>
      </c>
      <c r="E42" s="53">
        <v>0.57140000000000002</v>
      </c>
    </row>
    <row r="43" spans="4:5" x14ac:dyDescent="0.45">
      <c r="D43" s="56">
        <v>7.0000000000000007E-2</v>
      </c>
      <c r="E43" s="57">
        <v>3.0467</v>
      </c>
    </row>
    <row r="44" spans="4:5" x14ac:dyDescent="0.45">
      <c r="D44" s="39">
        <v>0.12</v>
      </c>
      <c r="E44" s="53">
        <v>0.16669999999999999</v>
      </c>
    </row>
    <row r="45" spans="4:5" x14ac:dyDescent="0.45">
      <c r="D45" s="56">
        <v>0.14000000000000001</v>
      </c>
      <c r="E45" s="57">
        <v>-1.0305</v>
      </c>
    </row>
    <row r="46" spans="4:5" x14ac:dyDescent="0.45">
      <c r="D46" s="39">
        <v>0.15</v>
      </c>
      <c r="E46" s="53">
        <v>-0.5</v>
      </c>
    </row>
    <row r="47" spans="4:5" x14ac:dyDescent="0.45">
      <c r="D47" s="56">
        <v>0.23</v>
      </c>
      <c r="E47" s="57">
        <v>-1.0832999999999999</v>
      </c>
    </row>
    <row r="48" spans="4:5" x14ac:dyDescent="0.45">
      <c r="D48" s="39">
        <v>0.23</v>
      </c>
      <c r="E48" s="53">
        <v>-1.2415</v>
      </c>
    </row>
    <row r="49" spans="4:5" x14ac:dyDescent="0.45">
      <c r="D49" s="56">
        <v>0.23</v>
      </c>
      <c r="E49" s="57">
        <v>-1</v>
      </c>
    </row>
    <row r="50" spans="4:5" x14ac:dyDescent="0.45">
      <c r="D50" s="39">
        <v>0.24</v>
      </c>
      <c r="E50" s="53">
        <v>0.875</v>
      </c>
    </row>
    <row r="51" spans="4:5" x14ac:dyDescent="0.45">
      <c r="D51" s="56">
        <v>0.34</v>
      </c>
      <c r="E51" s="57">
        <v>0.15709999999999999</v>
      </c>
    </row>
    <row r="52" spans="4:5" x14ac:dyDescent="0.45">
      <c r="D52" s="39">
        <v>0.38</v>
      </c>
      <c r="E52" s="53">
        <v>3.25</v>
      </c>
    </row>
    <row r="53" spans="4:5" x14ac:dyDescent="0.45">
      <c r="D53" s="56">
        <v>0.38</v>
      </c>
      <c r="E53" s="57">
        <v>-0.86</v>
      </c>
    </row>
    <row r="54" spans="4:5" x14ac:dyDescent="0.45">
      <c r="D54" s="39">
        <v>0.62</v>
      </c>
      <c r="E54" s="53">
        <v>2.35</v>
      </c>
    </row>
    <row r="55" spans="4:5" x14ac:dyDescent="0.45">
      <c r="D55" s="56">
        <v>0.62</v>
      </c>
      <c r="E55" s="57">
        <v>-0.2</v>
      </c>
    </row>
    <row r="56" spans="4:5" x14ac:dyDescent="0.45">
      <c r="D56" s="39">
        <v>0.72</v>
      </c>
      <c r="E56" s="53">
        <v>0.44440000000000002</v>
      </c>
    </row>
    <row r="57" spans="4:5" x14ac:dyDescent="0.45">
      <c r="D57" s="56">
        <v>0.85</v>
      </c>
      <c r="E57" s="57">
        <v>3.41</v>
      </c>
    </row>
    <row r="58" spans="4:5" x14ac:dyDescent="0.45">
      <c r="D58" s="39">
        <v>0.85</v>
      </c>
      <c r="E58" s="53">
        <v>-1.0249999999999999</v>
      </c>
    </row>
    <row r="59" spans="4:5" x14ac:dyDescent="0.45">
      <c r="D59" s="56">
        <v>0.85</v>
      </c>
      <c r="E59" s="57">
        <v>-0.97860000000000003</v>
      </c>
    </row>
    <row r="60" spans="4:5" x14ac:dyDescent="0.45">
      <c r="D60" s="39">
        <v>0.88</v>
      </c>
      <c r="E60" s="53">
        <v>3.5</v>
      </c>
    </row>
    <row r="61" spans="4:5" x14ac:dyDescent="0.45">
      <c r="D61" s="56">
        <v>0.88</v>
      </c>
      <c r="E61" s="57">
        <v>1.8332999999999999</v>
      </c>
    </row>
    <row r="62" spans="4:5" x14ac:dyDescent="0.45">
      <c r="D62" s="39">
        <v>1.06</v>
      </c>
      <c r="E62" s="53">
        <v>-1</v>
      </c>
    </row>
    <row r="63" spans="4:5" x14ac:dyDescent="0.45">
      <c r="D63" s="56">
        <v>1.06</v>
      </c>
      <c r="E63" s="57">
        <v>2.5</v>
      </c>
    </row>
    <row r="64" spans="4:5" x14ac:dyDescent="0.45">
      <c r="D64" s="39">
        <v>1.06</v>
      </c>
      <c r="E64" s="53">
        <v>-0.93330000000000002</v>
      </c>
    </row>
    <row r="65" spans="4:5" x14ac:dyDescent="0.45">
      <c r="D65" s="56">
        <v>1.23</v>
      </c>
      <c r="E65" s="57">
        <v>-1.3257000000000001</v>
      </c>
    </row>
    <row r="66" spans="4:5" x14ac:dyDescent="0.45">
      <c r="D66" s="39">
        <v>1.23</v>
      </c>
      <c r="E66" s="53">
        <v>-0.98570000000000002</v>
      </c>
    </row>
    <row r="67" spans="4:5" x14ac:dyDescent="0.45">
      <c r="D67" s="56">
        <v>1.23</v>
      </c>
      <c r="E67" s="57">
        <v>-0.85709999999999997</v>
      </c>
    </row>
    <row r="68" spans="4:5" x14ac:dyDescent="0.45">
      <c r="D68" s="39">
        <v>1.23</v>
      </c>
      <c r="E68" s="53">
        <v>0.9</v>
      </c>
    </row>
    <row r="69" spans="4:5" x14ac:dyDescent="0.45">
      <c r="D69" s="56">
        <v>1.23</v>
      </c>
      <c r="E69" s="57">
        <v>1.1833</v>
      </c>
    </row>
    <row r="70" spans="4:5" x14ac:dyDescent="0.45">
      <c r="D70" s="39">
        <v>1.23</v>
      </c>
      <c r="E70" s="53">
        <v>4.4400000000000002E-2</v>
      </c>
    </row>
    <row r="71" spans="4:5" x14ac:dyDescent="0.45">
      <c r="D71" s="56">
        <v>1.32</v>
      </c>
      <c r="E71" s="57">
        <v>1.4429000000000001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AB6AB-B3DC-4E52-8313-A55DE6F1721F}">
  <dimension ref="A3:B68"/>
  <sheetViews>
    <sheetView workbookViewId="0">
      <selection activeCell="E6" sqref="E6"/>
    </sheetView>
  </sheetViews>
  <sheetFormatPr defaultRowHeight="14.25" x14ac:dyDescent="0.45"/>
  <cols>
    <col min="1" max="1" width="11.73046875" bestFit="1" customWidth="1"/>
    <col min="2" max="2" width="16.265625" bestFit="1" customWidth="1"/>
    <col min="3" max="3" width="17.265625" bestFit="1" customWidth="1"/>
    <col min="4" max="4" width="11.1328125" bestFit="1" customWidth="1"/>
  </cols>
  <sheetData>
    <row r="3" spans="1:2" x14ac:dyDescent="0.45">
      <c r="A3" s="16" t="s">
        <v>94</v>
      </c>
      <c r="B3" t="s">
        <v>96</v>
      </c>
    </row>
    <row r="4" spans="1:2" x14ac:dyDescent="0.45">
      <c r="A4" s="18">
        <v>1</v>
      </c>
      <c r="B4" s="4">
        <v>-103.09</v>
      </c>
    </row>
    <row r="5" spans="1:2" x14ac:dyDescent="0.45">
      <c r="A5" s="18">
        <v>2</v>
      </c>
      <c r="B5" s="4">
        <v>216.82000000000002</v>
      </c>
    </row>
    <row r="6" spans="1:2" x14ac:dyDescent="0.45">
      <c r="A6" s="18">
        <v>3</v>
      </c>
      <c r="B6" s="4">
        <v>86.730000000000018</v>
      </c>
    </row>
    <row r="7" spans="1:2" x14ac:dyDescent="0.45">
      <c r="A7" s="18">
        <v>4</v>
      </c>
      <c r="B7" s="4">
        <v>171.69</v>
      </c>
    </row>
    <row r="8" spans="1:2" x14ac:dyDescent="0.45">
      <c r="A8" s="18">
        <v>5</v>
      </c>
      <c r="B8" s="4">
        <v>308.44</v>
      </c>
    </row>
    <row r="9" spans="1:2" x14ac:dyDescent="0.45">
      <c r="A9" s="18">
        <v>6</v>
      </c>
      <c r="B9" s="4">
        <v>258.31</v>
      </c>
    </row>
    <row r="10" spans="1:2" x14ac:dyDescent="0.45">
      <c r="A10" s="18">
        <v>7</v>
      </c>
      <c r="B10" s="4">
        <v>259.74</v>
      </c>
    </row>
    <row r="11" spans="1:2" x14ac:dyDescent="0.45">
      <c r="A11" s="18">
        <v>8</v>
      </c>
      <c r="B11" s="4">
        <v>259.54000000000002</v>
      </c>
    </row>
    <row r="12" spans="1:2" x14ac:dyDescent="0.45">
      <c r="A12" s="18">
        <v>9</v>
      </c>
      <c r="B12" s="4">
        <v>526.99</v>
      </c>
    </row>
    <row r="13" spans="1:2" x14ac:dyDescent="0.45">
      <c r="A13" s="18">
        <v>10</v>
      </c>
      <c r="B13" s="4">
        <v>413.54</v>
      </c>
    </row>
    <row r="14" spans="1:2" x14ac:dyDescent="0.45">
      <c r="A14" s="18">
        <v>11</v>
      </c>
      <c r="B14" s="4">
        <v>653.19000000000005</v>
      </c>
    </row>
    <row r="15" spans="1:2" x14ac:dyDescent="0.45">
      <c r="A15" s="18">
        <v>12</v>
      </c>
      <c r="B15" s="4">
        <v>653.19000000000005</v>
      </c>
    </row>
    <row r="16" spans="1:2" x14ac:dyDescent="0.45">
      <c r="A16" s="18">
        <v>13</v>
      </c>
      <c r="B16" s="4">
        <v>661.30000000000007</v>
      </c>
    </row>
    <row r="17" spans="1:2" x14ac:dyDescent="0.45">
      <c r="A17" s="18">
        <v>14</v>
      </c>
      <c r="B17" s="4">
        <v>692.67000000000007</v>
      </c>
    </row>
    <row r="18" spans="1:2" x14ac:dyDescent="0.45">
      <c r="A18" s="18">
        <v>15</v>
      </c>
      <c r="B18" s="4">
        <v>582.30000000000007</v>
      </c>
    </row>
    <row r="19" spans="1:2" x14ac:dyDescent="0.45">
      <c r="A19" s="18">
        <v>16</v>
      </c>
      <c r="B19" s="4">
        <v>479.28000000000009</v>
      </c>
    </row>
    <row r="20" spans="1:2" x14ac:dyDescent="0.45">
      <c r="A20" s="18">
        <v>17</v>
      </c>
      <c r="B20" s="4">
        <v>373.44890000000009</v>
      </c>
    </row>
    <row r="21" spans="1:2" x14ac:dyDescent="0.45">
      <c r="A21" s="18">
        <v>18</v>
      </c>
      <c r="B21" s="4">
        <v>423.32890000000009</v>
      </c>
    </row>
    <row r="22" spans="1:2" x14ac:dyDescent="0.45">
      <c r="A22" s="18">
        <v>19</v>
      </c>
      <c r="B22" s="4">
        <v>695.76890000000003</v>
      </c>
    </row>
    <row r="23" spans="1:2" x14ac:dyDescent="0.45">
      <c r="A23" s="18">
        <v>20</v>
      </c>
      <c r="B23" s="4">
        <v>573.89890000000003</v>
      </c>
    </row>
    <row r="24" spans="1:2" x14ac:dyDescent="0.45">
      <c r="A24" s="18">
        <v>21</v>
      </c>
      <c r="B24" s="4">
        <v>499.91890000000001</v>
      </c>
    </row>
    <row r="25" spans="1:2" x14ac:dyDescent="0.45">
      <c r="A25" s="18">
        <v>22</v>
      </c>
      <c r="B25" s="4">
        <v>746.83889999999997</v>
      </c>
    </row>
    <row r="26" spans="1:2" x14ac:dyDescent="0.45">
      <c r="A26" s="18">
        <v>23</v>
      </c>
      <c r="B26" s="4">
        <v>768.75889999999993</v>
      </c>
    </row>
    <row r="27" spans="1:2" x14ac:dyDescent="0.45">
      <c r="A27" s="18">
        <v>24</v>
      </c>
      <c r="B27" s="4">
        <v>634.6588999999999</v>
      </c>
    </row>
    <row r="28" spans="1:2" x14ac:dyDescent="0.45">
      <c r="A28" s="18">
        <v>25</v>
      </c>
      <c r="B28" s="4">
        <v>871.98889999999994</v>
      </c>
    </row>
    <row r="29" spans="1:2" x14ac:dyDescent="0.45">
      <c r="A29" s="18">
        <v>26</v>
      </c>
      <c r="B29" s="4">
        <v>909.5388999999999</v>
      </c>
    </row>
    <row r="30" spans="1:2" x14ac:dyDescent="0.45">
      <c r="A30" s="18">
        <v>27</v>
      </c>
      <c r="B30" s="4">
        <v>820.31889999999987</v>
      </c>
    </row>
    <row r="31" spans="1:2" x14ac:dyDescent="0.45">
      <c r="A31" s="18">
        <v>28</v>
      </c>
      <c r="B31" s="4">
        <v>1067.2088999999999</v>
      </c>
    </row>
    <row r="32" spans="1:2" x14ac:dyDescent="0.45">
      <c r="A32" s="18">
        <v>29</v>
      </c>
      <c r="B32" s="4">
        <v>1029.0989</v>
      </c>
    </row>
    <row r="33" spans="1:2" x14ac:dyDescent="0.45">
      <c r="A33" s="18">
        <v>30</v>
      </c>
      <c r="B33" s="4">
        <v>924.00889999999993</v>
      </c>
    </row>
    <row r="34" spans="1:2" x14ac:dyDescent="0.45">
      <c r="A34" s="18">
        <v>31</v>
      </c>
      <c r="B34" s="4">
        <v>1053.0088999999998</v>
      </c>
    </row>
    <row r="35" spans="1:2" x14ac:dyDescent="0.45">
      <c r="A35" s="18">
        <v>32</v>
      </c>
      <c r="B35" s="4">
        <v>1061.8488999999997</v>
      </c>
    </row>
    <row r="36" spans="1:2" x14ac:dyDescent="0.45">
      <c r="A36" s="18">
        <v>33</v>
      </c>
      <c r="B36" s="4">
        <v>1061.6988999999996</v>
      </c>
    </row>
    <row r="37" spans="1:2" x14ac:dyDescent="0.45">
      <c r="A37" s="18">
        <v>34</v>
      </c>
      <c r="B37" s="4">
        <v>935.58889999999963</v>
      </c>
    </row>
    <row r="38" spans="1:2" x14ac:dyDescent="0.45">
      <c r="A38" s="18">
        <v>35</v>
      </c>
      <c r="B38" s="4">
        <v>1149.2688999999996</v>
      </c>
    </row>
    <row r="39" spans="1:2" x14ac:dyDescent="0.45">
      <c r="A39" s="18">
        <v>36</v>
      </c>
      <c r="B39" s="4">
        <v>1395.8388999999995</v>
      </c>
    </row>
    <row r="40" spans="1:2" x14ac:dyDescent="0.45">
      <c r="A40" s="18">
        <v>37</v>
      </c>
      <c r="B40" s="4">
        <v>1415.7788999999996</v>
      </c>
    </row>
    <row r="41" spans="1:2" x14ac:dyDescent="0.45">
      <c r="A41" s="18">
        <v>38</v>
      </c>
      <c r="B41" s="4">
        <v>1448.8588999999995</v>
      </c>
    </row>
    <row r="42" spans="1:2" x14ac:dyDescent="0.45">
      <c r="A42" s="18">
        <v>39</v>
      </c>
      <c r="B42" s="4">
        <v>1451.6188999999995</v>
      </c>
    </row>
    <row r="43" spans="1:2" x14ac:dyDescent="0.45">
      <c r="A43" s="18">
        <v>40</v>
      </c>
      <c r="B43" s="4">
        <v>1343.9988999999996</v>
      </c>
    </row>
    <row r="44" spans="1:2" x14ac:dyDescent="0.45">
      <c r="A44" s="18">
        <v>41</v>
      </c>
      <c r="B44" s="4">
        <v>1676.9788999999996</v>
      </c>
    </row>
    <row r="45" spans="1:2" x14ac:dyDescent="0.45">
      <c r="A45" s="18">
        <v>42</v>
      </c>
      <c r="B45" s="4">
        <v>1843.3488999999995</v>
      </c>
    </row>
    <row r="46" spans="1:2" x14ac:dyDescent="0.45">
      <c r="A46" s="18">
        <v>43</v>
      </c>
      <c r="B46" s="4">
        <v>1719.7488999999996</v>
      </c>
    </row>
    <row r="47" spans="1:2" x14ac:dyDescent="0.45">
      <c r="A47" s="18">
        <v>44</v>
      </c>
      <c r="B47" s="4">
        <v>1614.2088999999996</v>
      </c>
    </row>
    <row r="48" spans="1:2" x14ac:dyDescent="0.45">
      <c r="A48" s="18">
        <v>45</v>
      </c>
      <c r="B48" s="4">
        <v>1515.6288999999997</v>
      </c>
    </row>
    <row r="49" spans="1:2" x14ac:dyDescent="0.45">
      <c r="A49" s="18">
        <v>46</v>
      </c>
      <c r="B49" s="4">
        <v>1595.6488999999997</v>
      </c>
    </row>
    <row r="50" spans="1:2" x14ac:dyDescent="0.45">
      <c r="A50" s="18">
        <v>47</v>
      </c>
      <c r="B50" s="4">
        <v>1759.3888999999997</v>
      </c>
    </row>
    <row r="51" spans="1:2" x14ac:dyDescent="0.45">
      <c r="A51" s="18">
        <v>48</v>
      </c>
      <c r="B51" s="4">
        <v>1762.4288999999997</v>
      </c>
    </row>
    <row r="52" spans="1:2" x14ac:dyDescent="0.45">
      <c r="A52" s="18">
        <v>49</v>
      </c>
      <c r="B52" s="4">
        <v>1659.3388999999997</v>
      </c>
    </row>
    <row r="53" spans="1:2" x14ac:dyDescent="0.45">
      <c r="A53" s="18">
        <v>50</v>
      </c>
      <c r="B53" s="4">
        <v>1883.9688999999998</v>
      </c>
    </row>
    <row r="54" spans="1:2" x14ac:dyDescent="0.45">
      <c r="A54" s="18">
        <v>51</v>
      </c>
      <c r="B54" s="4">
        <v>1787.3388999999997</v>
      </c>
    </row>
    <row r="55" spans="1:2" x14ac:dyDescent="0.45">
      <c r="A55" s="18">
        <v>52</v>
      </c>
      <c r="B55" s="4">
        <v>2447.5388999999996</v>
      </c>
    </row>
    <row r="56" spans="1:2" x14ac:dyDescent="0.45">
      <c r="A56" s="18">
        <v>53</v>
      </c>
      <c r="B56" s="4">
        <v>2231.9088999999994</v>
      </c>
    </row>
    <row r="57" spans="1:2" x14ac:dyDescent="0.45">
      <c r="A57" s="18">
        <v>54</v>
      </c>
      <c r="B57" s="4">
        <v>2020.4588999999994</v>
      </c>
    </row>
    <row r="58" spans="1:2" x14ac:dyDescent="0.45">
      <c r="A58" s="18">
        <v>56</v>
      </c>
      <c r="B58" s="4">
        <v>1690.3288999999995</v>
      </c>
    </row>
    <row r="59" spans="1:2" x14ac:dyDescent="0.45">
      <c r="A59" s="18">
        <v>57</v>
      </c>
      <c r="B59" s="4">
        <v>1355.7988999999995</v>
      </c>
    </row>
    <row r="60" spans="1:2" x14ac:dyDescent="0.45">
      <c r="A60" s="18">
        <v>58</v>
      </c>
      <c r="B60" s="4">
        <v>979.79889999999955</v>
      </c>
    </row>
    <row r="61" spans="1:2" x14ac:dyDescent="0.45">
      <c r="A61" s="18">
        <v>59</v>
      </c>
      <c r="B61" s="4">
        <v>732.19889999999953</v>
      </c>
    </row>
    <row r="62" spans="1:2" x14ac:dyDescent="0.45">
      <c r="A62" s="18">
        <v>60</v>
      </c>
      <c r="B62" s="4">
        <v>1325.8788999999995</v>
      </c>
    </row>
    <row r="63" spans="1:2" x14ac:dyDescent="0.45">
      <c r="A63" s="18">
        <v>61</v>
      </c>
      <c r="B63" s="4">
        <v>1033.3388999999995</v>
      </c>
    </row>
    <row r="64" spans="1:2" x14ac:dyDescent="0.45">
      <c r="A64" s="18">
        <v>62</v>
      </c>
      <c r="B64" s="4">
        <v>785.21889999999951</v>
      </c>
    </row>
    <row r="65" spans="1:2" x14ac:dyDescent="0.45">
      <c r="A65" s="18">
        <v>63</v>
      </c>
      <c r="B65" s="4">
        <v>656.43889999999953</v>
      </c>
    </row>
    <row r="66" spans="1:2" x14ac:dyDescent="0.45">
      <c r="A66" s="18">
        <v>64</v>
      </c>
      <c r="B66" s="4">
        <v>467.00889999999953</v>
      </c>
    </row>
    <row r="67" spans="1:2" x14ac:dyDescent="0.45">
      <c r="A67" s="18">
        <v>65</v>
      </c>
      <c r="B67" s="4">
        <v>277.57889999999952</v>
      </c>
    </row>
    <row r="68" spans="1:2" x14ac:dyDescent="0.45">
      <c r="A68" s="18" t="s">
        <v>95</v>
      </c>
      <c r="B68" s="4">
        <v>63598.457199999997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B6D6-1FCF-41AB-9E26-B5200A6B5484}">
  <sheetPr codeName="Worksheet______3"/>
  <dimension ref="A1:AP377"/>
  <sheetViews>
    <sheetView topLeftCell="U4" zoomScaleNormal="100" workbookViewId="0">
      <selection activeCell="Z13" sqref="Z13"/>
    </sheetView>
  </sheetViews>
  <sheetFormatPr defaultRowHeight="14.25" x14ac:dyDescent="0.45"/>
  <cols>
    <col min="1" max="1" width="22.1328125" bestFit="1" customWidth="1"/>
    <col min="16" max="16" width="10.59765625" bestFit="1" customWidth="1"/>
    <col min="17" max="17" width="10.59765625" customWidth="1"/>
    <col min="18" max="23" width="10.59765625" bestFit="1" customWidth="1"/>
    <col min="26" max="26" width="11.73046875" bestFit="1" customWidth="1"/>
    <col min="27" max="27" width="16.265625" bestFit="1" customWidth="1"/>
    <col min="28" max="28" width="21.3984375" bestFit="1" customWidth="1"/>
    <col min="29" max="29" width="11.73046875" bestFit="1" customWidth="1"/>
    <col min="30" max="30" width="16.265625" bestFit="1" customWidth="1"/>
    <col min="38" max="38" width="11.73046875" bestFit="1" customWidth="1"/>
    <col min="39" max="39" width="26.86328125" bestFit="1" customWidth="1"/>
    <col min="40" max="83" width="12.59765625" bestFit="1" customWidth="1"/>
    <col min="84" max="84" width="8.59765625" bestFit="1" customWidth="1"/>
  </cols>
  <sheetData>
    <row r="1" spans="1:42" x14ac:dyDescent="0.45">
      <c r="A1" t="s">
        <v>58</v>
      </c>
      <c r="B1" t="s">
        <v>58</v>
      </c>
      <c r="C1" t="s">
        <v>17</v>
      </c>
      <c r="D1" t="s">
        <v>19</v>
      </c>
      <c r="E1" t="s">
        <v>20</v>
      </c>
      <c r="F1" t="s">
        <v>23</v>
      </c>
      <c r="G1" t="s">
        <v>15</v>
      </c>
      <c r="H1" t="s">
        <v>32</v>
      </c>
      <c r="I1" t="s">
        <v>14</v>
      </c>
      <c r="J1" t="s">
        <v>138</v>
      </c>
      <c r="K1" t="s">
        <v>128</v>
      </c>
      <c r="L1" t="s">
        <v>76</v>
      </c>
      <c r="M1" t="s">
        <v>90</v>
      </c>
      <c r="O1" t="s">
        <v>63</v>
      </c>
      <c r="P1" t="s">
        <v>2</v>
      </c>
      <c r="R1" t="s">
        <v>63</v>
      </c>
    </row>
    <row r="2" spans="1:42" ht="14.65" thickBot="1" x14ac:dyDescent="0.5">
      <c r="A2" s="1" t="s">
        <v>60</v>
      </c>
      <c r="B2" s="1" t="s">
        <v>59</v>
      </c>
      <c r="C2" t="s">
        <v>18</v>
      </c>
      <c r="D2" t="s">
        <v>21</v>
      </c>
      <c r="E2" t="b">
        <v>0</v>
      </c>
      <c r="F2" t="s">
        <v>24</v>
      </c>
      <c r="G2" t="s">
        <v>28</v>
      </c>
      <c r="H2" t="s">
        <v>70</v>
      </c>
      <c r="I2" t="s">
        <v>62</v>
      </c>
      <c r="J2" t="s">
        <v>135</v>
      </c>
      <c r="K2" t="s">
        <v>84</v>
      </c>
      <c r="L2" t="s">
        <v>77</v>
      </c>
      <c r="M2" t="b">
        <v>1</v>
      </c>
      <c r="O2" t="str">
        <f>"=WINNER"</f>
        <v>=WINNER</v>
      </c>
      <c r="P2" s="29">
        <f ca="1">TODAY()</f>
        <v>44215</v>
      </c>
    </row>
    <row r="3" spans="1:42" x14ac:dyDescent="0.45">
      <c r="A3" s="1"/>
      <c r="C3" t="s">
        <v>127</v>
      </c>
      <c r="D3" t="s">
        <v>22</v>
      </c>
      <c r="E3" t="b">
        <v>1</v>
      </c>
      <c r="F3" t="s">
        <v>25</v>
      </c>
      <c r="G3" t="s">
        <v>29</v>
      </c>
      <c r="H3" t="s">
        <v>71</v>
      </c>
      <c r="I3" t="s">
        <v>41</v>
      </c>
      <c r="J3" t="s">
        <v>137</v>
      </c>
      <c r="K3" t="s">
        <v>131</v>
      </c>
      <c r="L3" t="s">
        <v>78</v>
      </c>
      <c r="M3" t="b">
        <v>0</v>
      </c>
      <c r="P3" s="10"/>
      <c r="AO3" s="51"/>
      <c r="AP3" s="51"/>
    </row>
    <row r="4" spans="1:42" x14ac:dyDescent="0.45">
      <c r="A4" s="1"/>
      <c r="F4" t="s">
        <v>26</v>
      </c>
      <c r="G4" t="s">
        <v>30</v>
      </c>
      <c r="H4" t="s">
        <v>40</v>
      </c>
      <c r="I4" t="s">
        <v>42</v>
      </c>
      <c r="J4" t="s">
        <v>139</v>
      </c>
      <c r="K4" t="s">
        <v>132</v>
      </c>
      <c r="L4" t="s">
        <v>79</v>
      </c>
      <c r="O4" t="s">
        <v>63</v>
      </c>
      <c r="P4" s="10" t="s">
        <v>2</v>
      </c>
      <c r="Q4" s="10" t="s">
        <v>2</v>
      </c>
      <c r="R4" s="10" t="s">
        <v>2</v>
      </c>
      <c r="S4" s="10" t="s">
        <v>2</v>
      </c>
      <c r="T4" s="10" t="s">
        <v>2</v>
      </c>
      <c r="U4" s="10" t="s">
        <v>2</v>
      </c>
      <c r="V4" s="10" t="s">
        <v>2</v>
      </c>
      <c r="W4" s="10"/>
      <c r="Z4" s="16" t="s">
        <v>94</v>
      </c>
      <c r="AA4" t="s">
        <v>96</v>
      </c>
      <c r="AC4" s="16" t="s">
        <v>94</v>
      </c>
      <c r="AD4" t="s">
        <v>96</v>
      </c>
      <c r="AF4" s="10"/>
      <c r="AO4" s="49"/>
      <c r="AP4" s="49"/>
    </row>
    <row r="5" spans="1:42" x14ac:dyDescent="0.45">
      <c r="A5" s="1"/>
      <c r="F5" t="s">
        <v>27</v>
      </c>
      <c r="G5" t="s">
        <v>31</v>
      </c>
      <c r="H5" t="s">
        <v>33</v>
      </c>
      <c r="I5" t="s">
        <v>43</v>
      </c>
      <c r="J5" t="s">
        <v>140</v>
      </c>
      <c r="K5" t="s">
        <v>130</v>
      </c>
      <c r="N5" t="s">
        <v>97</v>
      </c>
      <c r="O5" t="str">
        <f>"=WINNER"</f>
        <v>=WINNER</v>
      </c>
      <c r="P5" s="10">
        <f ca="1">TODAY()</f>
        <v>44215</v>
      </c>
      <c r="Q5" s="10"/>
      <c r="Z5" s="18">
        <v>1</v>
      </c>
      <c r="AA5" s="4">
        <v>-103.09</v>
      </c>
      <c r="AC5" s="18">
        <v>1</v>
      </c>
      <c r="AD5" s="4">
        <v>232</v>
      </c>
      <c r="AF5" s="10"/>
      <c r="AO5" s="49"/>
      <c r="AP5" s="49"/>
    </row>
    <row r="6" spans="1:42" x14ac:dyDescent="0.45">
      <c r="A6" s="1"/>
      <c r="F6" t="s">
        <v>129</v>
      </c>
      <c r="H6" t="s">
        <v>34</v>
      </c>
      <c r="I6" t="s">
        <v>44</v>
      </c>
      <c r="K6" t="s">
        <v>133</v>
      </c>
      <c r="O6" t="s">
        <v>63</v>
      </c>
      <c r="P6" s="10" t="s">
        <v>2</v>
      </c>
      <c r="Q6" s="10" t="s">
        <v>2</v>
      </c>
      <c r="R6" s="10" t="s">
        <v>2</v>
      </c>
      <c r="S6" s="10" t="s">
        <v>2</v>
      </c>
      <c r="T6" s="10" t="s">
        <v>2</v>
      </c>
      <c r="U6" s="10" t="s">
        <v>2</v>
      </c>
      <c r="V6" s="10" t="s">
        <v>2</v>
      </c>
      <c r="Z6" s="18">
        <v>2</v>
      </c>
      <c r="AA6" s="4">
        <v>216.82000000000002</v>
      </c>
      <c r="AC6" s="18">
        <v>2</v>
      </c>
      <c r="AD6" s="4">
        <v>232</v>
      </c>
      <c r="AF6" s="10"/>
      <c r="AG6" s="10"/>
      <c r="AO6" s="49"/>
      <c r="AP6" s="49"/>
    </row>
    <row r="7" spans="1:42" x14ac:dyDescent="0.45">
      <c r="A7" s="1"/>
      <c r="H7" t="s">
        <v>35</v>
      </c>
      <c r="I7" t="s">
        <v>45</v>
      </c>
      <c r="N7" t="s">
        <v>98</v>
      </c>
      <c r="O7" t="str">
        <f t="shared" ref="O7" si="0">"=WINNER"</f>
        <v>=WINNER</v>
      </c>
      <c r="P7" s="10">
        <f t="shared" ref="P7" ca="1" si="1">TODAY()</f>
        <v>44215</v>
      </c>
      <c r="Q7" s="10">
        <f t="shared" ref="Q7" ca="1" si="2">TODAY()-1</f>
        <v>44214</v>
      </c>
      <c r="R7" s="10"/>
      <c r="Z7" s="18">
        <v>3</v>
      </c>
      <c r="AA7" s="4">
        <v>86.730000000000018</v>
      </c>
      <c r="AC7" s="18">
        <v>3</v>
      </c>
      <c r="AD7" s="4">
        <v>232</v>
      </c>
      <c r="AF7" s="10"/>
      <c r="AG7" s="10"/>
      <c r="AH7" s="10"/>
      <c r="AO7" s="49"/>
      <c r="AP7" s="49"/>
    </row>
    <row r="8" spans="1:42" x14ac:dyDescent="0.45">
      <c r="A8" s="1"/>
      <c r="H8" t="s">
        <v>36</v>
      </c>
      <c r="I8" t="s">
        <v>46</v>
      </c>
      <c r="O8" t="s">
        <v>63</v>
      </c>
      <c r="P8" s="10" t="s">
        <v>2</v>
      </c>
      <c r="Q8" s="10" t="s">
        <v>2</v>
      </c>
      <c r="R8" s="10" t="s">
        <v>2</v>
      </c>
      <c r="S8" s="10" t="s">
        <v>2</v>
      </c>
      <c r="T8" s="10" t="s">
        <v>2</v>
      </c>
      <c r="U8" s="10" t="s">
        <v>2</v>
      </c>
      <c r="V8" s="10" t="s">
        <v>2</v>
      </c>
      <c r="Z8" s="18">
        <v>4</v>
      </c>
      <c r="AA8" s="4">
        <v>171.69</v>
      </c>
      <c r="AC8" s="18">
        <v>4</v>
      </c>
      <c r="AD8" s="4">
        <v>232</v>
      </c>
      <c r="AF8" s="10"/>
      <c r="AG8" s="10"/>
      <c r="AH8" s="10"/>
      <c r="AI8" s="10"/>
      <c r="AO8" s="49"/>
      <c r="AP8" s="49"/>
    </row>
    <row r="9" spans="1:42" x14ac:dyDescent="0.45">
      <c r="A9" s="1"/>
      <c r="H9" t="s">
        <v>37</v>
      </c>
      <c r="I9" t="s">
        <v>47</v>
      </c>
      <c r="N9" t="s">
        <v>99</v>
      </c>
      <c r="O9" t="str">
        <f t="shared" ref="O9" si="3">"=WINNER"</f>
        <v>=WINNER</v>
      </c>
      <c r="P9" s="10">
        <f t="shared" ref="P9" ca="1" si="4">TODAY()</f>
        <v>44215</v>
      </c>
      <c r="Q9" s="10">
        <f t="shared" ref="Q9" ca="1" si="5">TODAY()-1</f>
        <v>44214</v>
      </c>
      <c r="R9" s="10">
        <f ca="1">TODAY()-2</f>
        <v>44213</v>
      </c>
      <c r="S9" s="10"/>
      <c r="T9" s="10"/>
      <c r="Z9" s="18">
        <v>5</v>
      </c>
      <c r="AA9" s="4">
        <v>308.44</v>
      </c>
      <c r="AC9" s="18">
        <v>5</v>
      </c>
      <c r="AD9" s="4">
        <v>232</v>
      </c>
      <c r="AF9" s="10"/>
      <c r="AG9" s="10"/>
      <c r="AH9" s="10"/>
      <c r="AI9" s="10"/>
      <c r="AJ9" s="10"/>
      <c r="AO9" s="49"/>
      <c r="AP9" s="49"/>
    </row>
    <row r="10" spans="1:42" x14ac:dyDescent="0.45">
      <c r="H10" t="s">
        <v>38</v>
      </c>
      <c r="I10" t="s">
        <v>48</v>
      </c>
      <c r="O10" t="s">
        <v>63</v>
      </c>
      <c r="P10" s="10" t="s">
        <v>2</v>
      </c>
      <c r="Q10" s="10" t="s">
        <v>2</v>
      </c>
      <c r="R10" s="10" t="s">
        <v>2</v>
      </c>
      <c r="S10" s="10" t="s">
        <v>2</v>
      </c>
      <c r="T10" s="10" t="s">
        <v>2</v>
      </c>
      <c r="U10" s="10" t="s">
        <v>2</v>
      </c>
      <c r="V10" s="10" t="s">
        <v>2</v>
      </c>
      <c r="Z10" s="18">
        <v>6</v>
      </c>
      <c r="AA10" s="4">
        <v>258.31</v>
      </c>
      <c r="AC10" s="18">
        <v>6</v>
      </c>
      <c r="AD10" s="4">
        <v>232</v>
      </c>
      <c r="AF10" s="10"/>
      <c r="AG10" s="10"/>
      <c r="AH10" s="10"/>
      <c r="AI10" s="10"/>
      <c r="AJ10" s="10"/>
      <c r="AK10" s="10"/>
      <c r="AO10" s="49"/>
      <c r="AP10" s="49"/>
    </row>
    <row r="11" spans="1:42" x14ac:dyDescent="0.45">
      <c r="H11" t="s">
        <v>39</v>
      </c>
      <c r="I11" t="s">
        <v>49</v>
      </c>
      <c r="N11" t="s">
        <v>100</v>
      </c>
      <c r="O11" t="str">
        <f t="shared" ref="O11" si="6">"=WINNER"</f>
        <v>=WINNER</v>
      </c>
      <c r="P11" s="10">
        <f t="shared" ref="P11" ca="1" si="7">TODAY()</f>
        <v>44215</v>
      </c>
      <c r="Q11" s="10">
        <f t="shared" ref="Q11" ca="1" si="8">TODAY()-1</f>
        <v>44214</v>
      </c>
      <c r="R11" s="10">
        <f ca="1">TODAY()-2</f>
        <v>44213</v>
      </c>
      <c r="S11" s="10">
        <f ca="1">TODAY()-3</f>
        <v>44212</v>
      </c>
      <c r="T11" s="10"/>
      <c r="U11" s="10"/>
      <c r="V11" s="10"/>
      <c r="W11" s="10"/>
      <c r="Z11" s="18">
        <v>7</v>
      </c>
      <c r="AA11" s="4">
        <v>259.74</v>
      </c>
      <c r="AC11" s="18">
        <v>7</v>
      </c>
      <c r="AD11" s="4">
        <v>232</v>
      </c>
      <c r="AO11" s="49"/>
      <c r="AP11" s="49"/>
    </row>
    <row r="12" spans="1:42" x14ac:dyDescent="0.45">
      <c r="I12" t="s">
        <v>50</v>
      </c>
      <c r="O12" t="s">
        <v>63</v>
      </c>
      <c r="P12" s="10" t="s">
        <v>2</v>
      </c>
      <c r="Q12" s="10" t="s">
        <v>2</v>
      </c>
      <c r="R12" s="10" t="s">
        <v>2</v>
      </c>
      <c r="S12" s="10" t="s">
        <v>2</v>
      </c>
      <c r="T12" s="10" t="s">
        <v>2</v>
      </c>
      <c r="U12" s="10" t="s">
        <v>2</v>
      </c>
      <c r="V12" s="10" t="s">
        <v>2</v>
      </c>
      <c r="Z12" s="18">
        <v>8</v>
      </c>
      <c r="AA12" s="4">
        <v>259.54000000000002</v>
      </c>
      <c r="AC12" s="18">
        <v>8</v>
      </c>
      <c r="AD12" s="4">
        <v>232</v>
      </c>
      <c r="AO12" s="49"/>
      <c r="AP12" s="49"/>
    </row>
    <row r="13" spans="1:42" x14ac:dyDescent="0.45">
      <c r="I13" t="s">
        <v>51</v>
      </c>
      <c r="N13" t="s">
        <v>101</v>
      </c>
      <c r="O13" t="str">
        <f t="shared" ref="O13" si="9">"=WINNER"</f>
        <v>=WINNER</v>
      </c>
      <c r="P13" s="10">
        <f t="shared" ref="P13" ca="1" si="10">TODAY()</f>
        <v>44215</v>
      </c>
      <c r="Q13" s="10">
        <f t="shared" ref="Q13" ca="1" si="11">TODAY()-1</f>
        <v>44214</v>
      </c>
      <c r="R13" s="10">
        <f ca="1">TODAY()-2</f>
        <v>44213</v>
      </c>
      <c r="S13" s="10">
        <f ca="1">TODAY()-3</f>
        <v>44212</v>
      </c>
      <c r="T13" s="10">
        <f ca="1">TODAY()-4</f>
        <v>44211</v>
      </c>
      <c r="Z13" s="18">
        <v>9</v>
      </c>
      <c r="AA13" s="4">
        <v>526.99</v>
      </c>
      <c r="AC13" s="18">
        <v>9</v>
      </c>
      <c r="AD13" s="4">
        <v>232</v>
      </c>
      <c r="AO13" s="49"/>
      <c r="AP13" s="49"/>
    </row>
    <row r="14" spans="1:42" x14ac:dyDescent="0.45">
      <c r="I14" t="s">
        <v>52</v>
      </c>
      <c r="O14" t="s">
        <v>63</v>
      </c>
      <c r="P14" s="10" t="s">
        <v>2</v>
      </c>
      <c r="Q14" s="10" t="s">
        <v>2</v>
      </c>
      <c r="R14" s="10" t="s">
        <v>2</v>
      </c>
      <c r="S14" s="10" t="s">
        <v>2</v>
      </c>
      <c r="T14" s="10" t="s">
        <v>2</v>
      </c>
      <c r="U14" s="10" t="s">
        <v>2</v>
      </c>
      <c r="V14" s="10" t="s">
        <v>2</v>
      </c>
      <c r="Z14" s="18">
        <v>10</v>
      </c>
      <c r="AA14" s="4">
        <v>413.54</v>
      </c>
      <c r="AC14" s="18">
        <v>10</v>
      </c>
      <c r="AD14" s="4">
        <v>232</v>
      </c>
      <c r="AO14" s="49"/>
      <c r="AP14" s="49"/>
    </row>
    <row r="15" spans="1:42" x14ac:dyDescent="0.45">
      <c r="I15" t="s">
        <v>53</v>
      </c>
      <c r="N15" t="s">
        <v>102</v>
      </c>
      <c r="O15" t="str">
        <f t="shared" ref="O15" si="12">"=WINNER"</f>
        <v>=WINNER</v>
      </c>
      <c r="P15" s="10">
        <f t="shared" ref="P15" ca="1" si="13">TODAY()</f>
        <v>44215</v>
      </c>
      <c r="Q15" s="10">
        <f t="shared" ref="Q15" ca="1" si="14">TODAY()-1</f>
        <v>44214</v>
      </c>
      <c r="R15" s="10">
        <f ca="1">TODAY()-2</f>
        <v>44213</v>
      </c>
      <c r="S15" s="10">
        <f ca="1">TODAY()-3</f>
        <v>44212</v>
      </c>
      <c r="T15" s="10">
        <f ca="1">TODAY()-4</f>
        <v>44211</v>
      </c>
      <c r="U15" s="10">
        <f ca="1">TODAY()-5</f>
        <v>44210</v>
      </c>
      <c r="Z15" s="18">
        <v>11</v>
      </c>
      <c r="AA15" s="4">
        <v>653.19000000000005</v>
      </c>
      <c r="AC15" s="18" t="s">
        <v>95</v>
      </c>
      <c r="AD15" s="4">
        <v>2320</v>
      </c>
      <c r="AO15" s="49"/>
      <c r="AP15" s="49"/>
    </row>
    <row r="16" spans="1:42" x14ac:dyDescent="0.45">
      <c r="I16" t="s">
        <v>54</v>
      </c>
      <c r="O16" t="s">
        <v>63</v>
      </c>
      <c r="P16" s="10" t="s">
        <v>2</v>
      </c>
      <c r="Q16" s="10" t="s">
        <v>2</v>
      </c>
      <c r="R16" s="10" t="s">
        <v>2</v>
      </c>
      <c r="S16" s="10" t="s">
        <v>2</v>
      </c>
      <c r="T16" s="10" t="s">
        <v>2</v>
      </c>
      <c r="U16" s="10" t="s">
        <v>2</v>
      </c>
      <c r="V16" s="10" t="s">
        <v>2</v>
      </c>
      <c r="Z16" s="18">
        <v>12</v>
      </c>
      <c r="AA16" s="4">
        <v>653.19000000000005</v>
      </c>
      <c r="AO16" s="49"/>
      <c r="AP16" s="49"/>
    </row>
    <row r="17" spans="1:42" x14ac:dyDescent="0.45">
      <c r="I17" t="s">
        <v>55</v>
      </c>
      <c r="N17" t="s">
        <v>103</v>
      </c>
      <c r="O17" t="str">
        <f>"=WINNER"</f>
        <v>=WINNER</v>
      </c>
      <c r="P17" s="10" t="str">
        <f>"=TODAY()"</f>
        <v>=TODAY()</v>
      </c>
      <c r="Q17" s="10">
        <f t="shared" ref="Q17" ca="1" si="15">TODAY()-1</f>
        <v>44214</v>
      </c>
      <c r="R17" s="10">
        <f ca="1">TODAY()-2</f>
        <v>44213</v>
      </c>
      <c r="S17" s="10" t="str">
        <f>"=(TODAY()-3)"</f>
        <v>=(TODAY()-3)</v>
      </c>
      <c r="T17" s="10">
        <f ca="1">TODAY()-4</f>
        <v>44211</v>
      </c>
      <c r="U17" s="10">
        <f ca="1">TODAY()-5</f>
        <v>44210</v>
      </c>
      <c r="V17" s="10">
        <f ca="1">TODAY()-6</f>
        <v>44209</v>
      </c>
      <c r="Z17" s="18">
        <v>13</v>
      </c>
      <c r="AA17" s="4">
        <v>661.30000000000007</v>
      </c>
      <c r="AB17" s="10"/>
      <c r="AF17" s="10"/>
      <c r="AG17" s="10"/>
      <c r="AH17" s="10"/>
      <c r="AO17" s="49"/>
      <c r="AP17" s="49"/>
    </row>
    <row r="18" spans="1:42" ht="14.65" thickBot="1" x14ac:dyDescent="0.5">
      <c r="I18" t="s">
        <v>89</v>
      </c>
      <c r="S18" s="10" t="s">
        <v>2</v>
      </c>
      <c r="Z18" s="18">
        <v>14</v>
      </c>
      <c r="AA18" s="4">
        <v>692.67000000000007</v>
      </c>
      <c r="AB18" s="10"/>
      <c r="AO18" s="50"/>
      <c r="AP18" s="50"/>
    </row>
    <row r="19" spans="1:42" x14ac:dyDescent="0.45">
      <c r="S19" s="10" t="str">
        <f ca="1">CONCATENATE("=",S21)</f>
        <v>=44212</v>
      </c>
      <c r="Z19" s="18">
        <v>15</v>
      </c>
      <c r="AA19" s="4">
        <v>582.30000000000007</v>
      </c>
    </row>
    <row r="20" spans="1:42" x14ac:dyDescent="0.45">
      <c r="S20" s="10" t="s">
        <v>104</v>
      </c>
      <c r="Z20" s="18">
        <v>16</v>
      </c>
      <c r="AA20" s="4">
        <v>479.28000000000009</v>
      </c>
    </row>
    <row r="21" spans="1:42" x14ac:dyDescent="0.45">
      <c r="A21" t="s">
        <v>74</v>
      </c>
      <c r="S21" s="10">
        <f ca="1">TODAY()-3</f>
        <v>44212</v>
      </c>
      <c r="Z21" s="18">
        <v>17</v>
      </c>
      <c r="AA21" s="4">
        <v>373.44890000000009</v>
      </c>
    </row>
    <row r="22" spans="1:42" x14ac:dyDescent="0.45">
      <c r="A22" t="s">
        <v>110</v>
      </c>
      <c r="Z22" s="18">
        <v>18</v>
      </c>
      <c r="AA22" s="4">
        <v>423.32890000000009</v>
      </c>
    </row>
    <row r="23" spans="1:42" x14ac:dyDescent="0.45">
      <c r="A23" t="s">
        <v>75</v>
      </c>
      <c r="Z23" s="18">
        <v>19</v>
      </c>
      <c r="AA23" s="4">
        <v>695.76890000000003</v>
      </c>
      <c r="AN23" t="str">
        <f t="shared" ref="AN23:AN69" si="16">IF(AND(AL22&gt;0, AL22&lt;1000000), AM22,"")</f>
        <v/>
      </c>
    </row>
    <row r="24" spans="1:42" x14ac:dyDescent="0.45">
      <c r="A24" t="s">
        <v>134</v>
      </c>
      <c r="Z24" s="18">
        <v>20</v>
      </c>
      <c r="AA24" s="4">
        <v>573.89890000000003</v>
      </c>
      <c r="AN24" t="str">
        <f t="shared" si="16"/>
        <v/>
      </c>
    </row>
    <row r="25" spans="1:42" x14ac:dyDescent="0.45">
      <c r="A25" t="s">
        <v>136</v>
      </c>
      <c r="Z25" s="18">
        <v>21</v>
      </c>
      <c r="AA25" s="4">
        <v>499.91890000000001</v>
      </c>
      <c r="AN25" t="str">
        <f t="shared" si="16"/>
        <v/>
      </c>
    </row>
    <row r="26" spans="1:42" x14ac:dyDescent="0.45">
      <c r="Z26" s="18">
        <v>22</v>
      </c>
      <c r="AA26" s="4">
        <v>746.83889999999997</v>
      </c>
      <c r="AN26" t="str">
        <f t="shared" si="16"/>
        <v/>
      </c>
    </row>
    <row r="27" spans="1:42" x14ac:dyDescent="0.45">
      <c r="A27" t="s">
        <v>111</v>
      </c>
      <c r="Z27" s="18">
        <v>23</v>
      </c>
      <c r="AA27" s="4">
        <v>768.75889999999993</v>
      </c>
      <c r="AN27" t="str">
        <f t="shared" si="16"/>
        <v/>
      </c>
    </row>
    <row r="28" spans="1:42" x14ac:dyDescent="0.45">
      <c r="A28" t="s">
        <v>113</v>
      </c>
      <c r="Z28" s="18">
        <v>24</v>
      </c>
      <c r="AA28" s="4">
        <v>634.6588999999999</v>
      </c>
      <c r="AN28" t="str">
        <f t="shared" si="16"/>
        <v/>
      </c>
    </row>
    <row r="29" spans="1:42" x14ac:dyDescent="0.45">
      <c r="A29" t="s">
        <v>114</v>
      </c>
      <c r="Z29" s="18">
        <v>25</v>
      </c>
      <c r="AA29" s="4">
        <v>871.98889999999994</v>
      </c>
      <c r="AN29" t="str">
        <f t="shared" si="16"/>
        <v/>
      </c>
    </row>
    <row r="30" spans="1:42" x14ac:dyDescent="0.45">
      <c r="A30" t="s">
        <v>115</v>
      </c>
      <c r="Z30" s="18">
        <v>26</v>
      </c>
      <c r="AA30" s="4">
        <v>909.5388999999999</v>
      </c>
      <c r="AN30" t="str">
        <f t="shared" si="16"/>
        <v/>
      </c>
    </row>
    <row r="31" spans="1:42" x14ac:dyDescent="0.45">
      <c r="A31" t="s">
        <v>116</v>
      </c>
      <c r="Z31" s="18">
        <v>27</v>
      </c>
      <c r="AA31" s="4">
        <v>820.31889999999987</v>
      </c>
      <c r="AN31" t="str">
        <f t="shared" si="16"/>
        <v/>
      </c>
    </row>
    <row r="32" spans="1:42" x14ac:dyDescent="0.45">
      <c r="A32" t="s">
        <v>120</v>
      </c>
      <c r="Z32" s="18">
        <v>28</v>
      </c>
      <c r="AA32" s="4">
        <v>1067.2088999999999</v>
      </c>
      <c r="AN32" t="str">
        <f t="shared" si="16"/>
        <v/>
      </c>
    </row>
    <row r="33" spans="1:40" x14ac:dyDescent="0.45">
      <c r="A33" t="s">
        <v>119</v>
      </c>
      <c r="Z33" s="18">
        <v>29</v>
      </c>
      <c r="AA33" s="4">
        <v>1029.0989</v>
      </c>
      <c r="AN33" t="str">
        <f t="shared" si="16"/>
        <v/>
      </c>
    </row>
    <row r="34" spans="1:40" x14ac:dyDescent="0.45">
      <c r="A34" t="s">
        <v>121</v>
      </c>
      <c r="Z34" s="18">
        <v>30</v>
      </c>
      <c r="AA34" s="4">
        <v>924.00889999999993</v>
      </c>
      <c r="AN34" t="str">
        <f t="shared" si="16"/>
        <v/>
      </c>
    </row>
    <row r="35" spans="1:40" x14ac:dyDescent="0.45">
      <c r="Z35" s="18">
        <v>31</v>
      </c>
      <c r="AA35" s="4">
        <v>1053.0088999999998</v>
      </c>
      <c r="AN35" t="str">
        <f t="shared" si="16"/>
        <v/>
      </c>
    </row>
    <row r="36" spans="1:40" x14ac:dyDescent="0.45">
      <c r="Z36" s="18">
        <v>32</v>
      </c>
      <c r="AA36" s="4">
        <v>1061.8488999999997</v>
      </c>
      <c r="AN36" t="str">
        <f t="shared" si="16"/>
        <v/>
      </c>
    </row>
    <row r="37" spans="1:40" x14ac:dyDescent="0.45">
      <c r="Z37" s="18">
        <v>33</v>
      </c>
      <c r="AA37" s="4">
        <v>1061.6988999999996</v>
      </c>
      <c r="AN37" t="str">
        <f t="shared" si="16"/>
        <v/>
      </c>
    </row>
    <row r="38" spans="1:40" x14ac:dyDescent="0.45">
      <c r="A38" t="s">
        <v>141</v>
      </c>
      <c r="Z38" s="18">
        <v>34</v>
      </c>
      <c r="AA38" s="4">
        <v>935.58889999999963</v>
      </c>
      <c r="AN38" t="str">
        <f t="shared" si="16"/>
        <v/>
      </c>
    </row>
    <row r="39" spans="1:40" x14ac:dyDescent="0.45">
      <c r="A39" t="s">
        <v>142</v>
      </c>
      <c r="Z39" s="18">
        <v>35</v>
      </c>
      <c r="AA39" s="4">
        <v>1149.2688999999996</v>
      </c>
      <c r="AN39" t="str">
        <f t="shared" si="16"/>
        <v/>
      </c>
    </row>
    <row r="40" spans="1:40" x14ac:dyDescent="0.45">
      <c r="A40" t="s">
        <v>143</v>
      </c>
      <c r="Z40" s="18">
        <v>36</v>
      </c>
      <c r="AA40" s="4">
        <v>1395.8388999999995</v>
      </c>
      <c r="AN40" t="str">
        <f t="shared" si="16"/>
        <v/>
      </c>
    </row>
    <row r="41" spans="1:40" x14ac:dyDescent="0.45">
      <c r="A41" t="s">
        <v>145</v>
      </c>
      <c r="Z41" s="18">
        <v>37</v>
      </c>
      <c r="AA41" s="4">
        <v>1415.7788999999996</v>
      </c>
      <c r="AN41" t="str">
        <f t="shared" si="16"/>
        <v/>
      </c>
    </row>
    <row r="42" spans="1:40" x14ac:dyDescent="0.45">
      <c r="A42" t="s">
        <v>157</v>
      </c>
      <c r="Z42" s="18">
        <v>38</v>
      </c>
      <c r="AA42" s="4">
        <v>1448.8588999999995</v>
      </c>
      <c r="AN42" t="str">
        <f t="shared" si="16"/>
        <v/>
      </c>
    </row>
    <row r="43" spans="1:40" x14ac:dyDescent="0.45">
      <c r="Z43" s="18">
        <v>39</v>
      </c>
      <c r="AA43" s="4">
        <v>1451.6188999999995</v>
      </c>
      <c r="AN43" t="str">
        <f t="shared" si="16"/>
        <v/>
      </c>
    </row>
    <row r="44" spans="1:40" x14ac:dyDescent="0.45">
      <c r="Z44" s="18">
        <v>40</v>
      </c>
      <c r="AA44" s="4">
        <v>1343.9988999999996</v>
      </c>
      <c r="AN44" t="str">
        <f t="shared" si="16"/>
        <v/>
      </c>
    </row>
    <row r="45" spans="1:40" x14ac:dyDescent="0.45">
      <c r="Z45" s="18">
        <v>41</v>
      </c>
      <c r="AA45" s="4">
        <v>1676.9788999999996</v>
      </c>
      <c r="AN45" t="str">
        <f t="shared" si="16"/>
        <v/>
      </c>
    </row>
    <row r="46" spans="1:40" x14ac:dyDescent="0.45">
      <c r="A46" t="s">
        <v>163</v>
      </c>
      <c r="Z46" s="18">
        <v>42</v>
      </c>
      <c r="AA46" s="4">
        <v>1843.3488999999995</v>
      </c>
      <c r="AN46" t="str">
        <f t="shared" si="16"/>
        <v/>
      </c>
    </row>
    <row r="47" spans="1:40" x14ac:dyDescent="0.45">
      <c r="A47" t="s">
        <v>164</v>
      </c>
      <c r="Z47" s="18">
        <v>43</v>
      </c>
      <c r="AA47" s="4">
        <v>1719.7488999999996</v>
      </c>
      <c r="AN47" t="str">
        <f t="shared" si="16"/>
        <v/>
      </c>
    </row>
    <row r="48" spans="1:40" x14ac:dyDescent="0.45">
      <c r="A48" t="s">
        <v>201</v>
      </c>
      <c r="Z48" s="18">
        <v>44</v>
      </c>
      <c r="AA48" s="4">
        <v>1614.2088999999996</v>
      </c>
      <c r="AN48" t="str">
        <f t="shared" si="16"/>
        <v/>
      </c>
    </row>
    <row r="49" spans="26:40" x14ac:dyDescent="0.45">
      <c r="Z49" s="18">
        <v>45</v>
      </c>
      <c r="AA49" s="4">
        <v>1515.6288999999997</v>
      </c>
      <c r="AN49" t="str">
        <f t="shared" si="16"/>
        <v/>
      </c>
    </row>
    <row r="50" spans="26:40" x14ac:dyDescent="0.45">
      <c r="Z50" s="18">
        <v>46</v>
      </c>
      <c r="AA50" s="4">
        <v>1595.6488999999997</v>
      </c>
      <c r="AN50" t="str">
        <f t="shared" si="16"/>
        <v/>
      </c>
    </row>
    <row r="51" spans="26:40" x14ac:dyDescent="0.45">
      <c r="Z51" s="18">
        <v>47</v>
      </c>
      <c r="AA51" s="4">
        <v>1759.3888999999997</v>
      </c>
      <c r="AN51" t="str">
        <f t="shared" si="16"/>
        <v/>
      </c>
    </row>
    <row r="52" spans="26:40" x14ac:dyDescent="0.45">
      <c r="Z52" s="18">
        <v>48</v>
      </c>
      <c r="AA52" s="4">
        <v>1762.4288999999997</v>
      </c>
      <c r="AN52" t="str">
        <f t="shared" si="16"/>
        <v/>
      </c>
    </row>
    <row r="53" spans="26:40" x14ac:dyDescent="0.45">
      <c r="Z53" s="18">
        <v>49</v>
      </c>
      <c r="AA53" s="4">
        <v>1659.3388999999997</v>
      </c>
      <c r="AN53" t="str">
        <f t="shared" si="16"/>
        <v/>
      </c>
    </row>
    <row r="54" spans="26:40" x14ac:dyDescent="0.45">
      <c r="Z54" s="18">
        <v>50</v>
      </c>
      <c r="AA54" s="4">
        <v>1883.9688999999998</v>
      </c>
      <c r="AN54" t="str">
        <f t="shared" si="16"/>
        <v/>
      </c>
    </row>
    <row r="55" spans="26:40" x14ac:dyDescent="0.45">
      <c r="Z55" s="18">
        <v>51</v>
      </c>
      <c r="AA55" s="4">
        <v>1787.3388999999997</v>
      </c>
      <c r="AN55" t="str">
        <f t="shared" si="16"/>
        <v/>
      </c>
    </row>
    <row r="56" spans="26:40" x14ac:dyDescent="0.45">
      <c r="Z56" s="18">
        <v>52</v>
      </c>
      <c r="AA56" s="4">
        <v>2447.5388999999996</v>
      </c>
      <c r="AN56" t="str">
        <f t="shared" si="16"/>
        <v/>
      </c>
    </row>
    <row r="57" spans="26:40" x14ac:dyDescent="0.45">
      <c r="Z57" s="18">
        <v>53</v>
      </c>
      <c r="AA57" s="4">
        <v>2231.9088999999994</v>
      </c>
      <c r="AN57" t="str">
        <f t="shared" si="16"/>
        <v/>
      </c>
    </row>
    <row r="58" spans="26:40" x14ac:dyDescent="0.45">
      <c r="Z58" s="18">
        <v>54</v>
      </c>
      <c r="AA58" s="4">
        <v>2020.4588999999994</v>
      </c>
      <c r="AN58" t="str">
        <f t="shared" si="16"/>
        <v/>
      </c>
    </row>
    <row r="59" spans="26:40" x14ac:dyDescent="0.45">
      <c r="Z59" s="18">
        <v>56</v>
      </c>
      <c r="AA59" s="4">
        <v>1690.3288999999995</v>
      </c>
      <c r="AN59" t="str">
        <f t="shared" si="16"/>
        <v/>
      </c>
    </row>
    <row r="60" spans="26:40" x14ac:dyDescent="0.45">
      <c r="Z60" s="18">
        <v>57</v>
      </c>
      <c r="AA60" s="4">
        <v>1355.7988999999995</v>
      </c>
      <c r="AN60" t="str">
        <f t="shared" si="16"/>
        <v/>
      </c>
    </row>
    <row r="61" spans="26:40" x14ac:dyDescent="0.45">
      <c r="Z61" s="18">
        <v>58</v>
      </c>
      <c r="AA61" s="4">
        <v>979.79889999999955</v>
      </c>
      <c r="AN61" t="str">
        <f t="shared" si="16"/>
        <v/>
      </c>
    </row>
    <row r="62" spans="26:40" x14ac:dyDescent="0.45">
      <c r="Z62" s="18">
        <v>59</v>
      </c>
      <c r="AA62" s="4">
        <v>732.19889999999953</v>
      </c>
      <c r="AN62" t="str">
        <f t="shared" si="16"/>
        <v/>
      </c>
    </row>
    <row r="63" spans="26:40" x14ac:dyDescent="0.45">
      <c r="Z63" s="18">
        <v>60</v>
      </c>
      <c r="AA63" s="4">
        <v>1325.8788999999995</v>
      </c>
      <c r="AN63" t="str">
        <f t="shared" si="16"/>
        <v/>
      </c>
    </row>
    <row r="64" spans="26:40" x14ac:dyDescent="0.45">
      <c r="Z64" s="18">
        <v>61</v>
      </c>
      <c r="AA64" s="4">
        <v>1033.3388999999995</v>
      </c>
      <c r="AN64" t="str">
        <f t="shared" si="16"/>
        <v/>
      </c>
    </row>
    <row r="65" spans="26:40" x14ac:dyDescent="0.45">
      <c r="Z65" s="18">
        <v>62</v>
      </c>
      <c r="AA65" s="4">
        <v>785.21889999999951</v>
      </c>
      <c r="AN65" t="str">
        <f t="shared" si="16"/>
        <v/>
      </c>
    </row>
    <row r="66" spans="26:40" x14ac:dyDescent="0.45">
      <c r="Z66" s="18">
        <v>63</v>
      </c>
      <c r="AA66" s="4">
        <v>656.43889999999953</v>
      </c>
      <c r="AN66" t="str">
        <f t="shared" si="16"/>
        <v/>
      </c>
    </row>
    <row r="67" spans="26:40" x14ac:dyDescent="0.45">
      <c r="Z67" s="18">
        <v>64</v>
      </c>
      <c r="AA67" s="4">
        <v>467.00889999999953</v>
      </c>
      <c r="AN67" t="str">
        <f t="shared" si="16"/>
        <v/>
      </c>
    </row>
    <row r="68" spans="26:40" x14ac:dyDescent="0.45">
      <c r="Z68" s="18">
        <v>65</v>
      </c>
      <c r="AA68" s="4">
        <v>277.57889999999952</v>
      </c>
      <c r="AN68" t="str">
        <f t="shared" si="16"/>
        <v/>
      </c>
    </row>
    <row r="69" spans="26:40" x14ac:dyDescent="0.45">
      <c r="Z69" s="18" t="s">
        <v>95</v>
      </c>
      <c r="AA69" s="4">
        <v>63598.457199999997</v>
      </c>
      <c r="AN69" t="str">
        <f t="shared" si="16"/>
        <v/>
      </c>
    </row>
    <row r="70" spans="26:40" x14ac:dyDescent="0.45">
      <c r="AN70" t="str">
        <f t="shared" ref="AN70:AN133" si="17">IF(AND(AL69&gt;0, AL69&lt;1000000), AM69,"")</f>
        <v/>
      </c>
    </row>
    <row r="71" spans="26:40" x14ac:dyDescent="0.45">
      <c r="AN71" t="str">
        <f t="shared" si="17"/>
        <v/>
      </c>
    </row>
    <row r="72" spans="26:40" x14ac:dyDescent="0.45">
      <c r="AN72" t="str">
        <f t="shared" si="17"/>
        <v/>
      </c>
    </row>
    <row r="73" spans="26:40" x14ac:dyDescent="0.45">
      <c r="AN73" t="str">
        <f t="shared" si="17"/>
        <v/>
      </c>
    </row>
    <row r="74" spans="26:40" x14ac:dyDescent="0.45">
      <c r="AN74" t="str">
        <f t="shared" si="17"/>
        <v/>
      </c>
    </row>
    <row r="75" spans="26:40" x14ac:dyDescent="0.45">
      <c r="AN75" t="str">
        <f t="shared" si="17"/>
        <v/>
      </c>
    </row>
    <row r="76" spans="26:40" x14ac:dyDescent="0.45">
      <c r="AN76" t="str">
        <f t="shared" si="17"/>
        <v/>
      </c>
    </row>
    <row r="77" spans="26:40" x14ac:dyDescent="0.45">
      <c r="AN77" t="str">
        <f t="shared" si="17"/>
        <v/>
      </c>
    </row>
    <row r="78" spans="26:40" x14ac:dyDescent="0.45">
      <c r="AN78" t="str">
        <f t="shared" si="17"/>
        <v/>
      </c>
    </row>
    <row r="79" spans="26:40" x14ac:dyDescent="0.45">
      <c r="AN79" t="str">
        <f t="shared" si="17"/>
        <v/>
      </c>
    </row>
    <row r="80" spans="26:40" x14ac:dyDescent="0.45">
      <c r="AN80" t="str">
        <f t="shared" si="17"/>
        <v/>
      </c>
    </row>
    <row r="81" spans="40:40" x14ac:dyDescent="0.45">
      <c r="AN81" t="str">
        <f t="shared" si="17"/>
        <v/>
      </c>
    </row>
    <row r="82" spans="40:40" x14ac:dyDescent="0.45">
      <c r="AN82" t="str">
        <f t="shared" si="17"/>
        <v/>
      </c>
    </row>
    <row r="83" spans="40:40" x14ac:dyDescent="0.45">
      <c r="AN83" t="str">
        <f t="shared" si="17"/>
        <v/>
      </c>
    </row>
    <row r="84" spans="40:40" x14ac:dyDescent="0.45">
      <c r="AN84" t="str">
        <f t="shared" si="17"/>
        <v/>
      </c>
    </row>
    <row r="85" spans="40:40" x14ac:dyDescent="0.45">
      <c r="AN85" t="str">
        <f t="shared" si="17"/>
        <v/>
      </c>
    </row>
    <row r="86" spans="40:40" x14ac:dyDescent="0.45">
      <c r="AN86" t="str">
        <f t="shared" si="17"/>
        <v/>
      </c>
    </row>
    <row r="87" spans="40:40" x14ac:dyDescent="0.45">
      <c r="AN87" t="str">
        <f t="shared" si="17"/>
        <v/>
      </c>
    </row>
    <row r="88" spans="40:40" x14ac:dyDescent="0.45">
      <c r="AN88" t="str">
        <f t="shared" si="17"/>
        <v/>
      </c>
    </row>
    <row r="89" spans="40:40" x14ac:dyDescent="0.45">
      <c r="AN89" t="str">
        <f t="shared" si="17"/>
        <v/>
      </c>
    </row>
    <row r="90" spans="40:40" x14ac:dyDescent="0.45">
      <c r="AN90" t="str">
        <f t="shared" si="17"/>
        <v/>
      </c>
    </row>
    <row r="91" spans="40:40" x14ac:dyDescent="0.45">
      <c r="AN91" t="str">
        <f t="shared" si="17"/>
        <v/>
      </c>
    </row>
    <row r="92" spans="40:40" x14ac:dyDescent="0.45">
      <c r="AN92" t="str">
        <f t="shared" si="17"/>
        <v/>
      </c>
    </row>
    <row r="93" spans="40:40" x14ac:dyDescent="0.45">
      <c r="AN93" t="str">
        <f t="shared" si="17"/>
        <v/>
      </c>
    </row>
    <row r="94" spans="40:40" x14ac:dyDescent="0.45">
      <c r="AN94" t="str">
        <f t="shared" si="17"/>
        <v/>
      </c>
    </row>
    <row r="95" spans="40:40" x14ac:dyDescent="0.45">
      <c r="AN95" t="str">
        <f t="shared" si="17"/>
        <v/>
      </c>
    </row>
    <row r="96" spans="40:40" x14ac:dyDescent="0.45">
      <c r="AN96" t="str">
        <f t="shared" si="17"/>
        <v/>
      </c>
    </row>
    <row r="97" spans="40:40" x14ac:dyDescent="0.45">
      <c r="AN97" t="str">
        <f t="shared" si="17"/>
        <v/>
      </c>
    </row>
    <row r="98" spans="40:40" x14ac:dyDescent="0.45">
      <c r="AN98" t="str">
        <f t="shared" si="17"/>
        <v/>
      </c>
    </row>
    <row r="99" spans="40:40" x14ac:dyDescent="0.45">
      <c r="AN99" t="str">
        <f t="shared" si="17"/>
        <v/>
      </c>
    </row>
    <row r="100" spans="40:40" x14ac:dyDescent="0.45">
      <c r="AN100" t="str">
        <f t="shared" si="17"/>
        <v/>
      </c>
    </row>
    <row r="101" spans="40:40" x14ac:dyDescent="0.45">
      <c r="AN101" t="str">
        <f t="shared" si="17"/>
        <v/>
      </c>
    </row>
    <row r="102" spans="40:40" x14ac:dyDescent="0.45">
      <c r="AN102" t="str">
        <f t="shared" si="17"/>
        <v/>
      </c>
    </row>
    <row r="103" spans="40:40" x14ac:dyDescent="0.45">
      <c r="AN103" t="str">
        <f t="shared" si="17"/>
        <v/>
      </c>
    </row>
    <row r="104" spans="40:40" x14ac:dyDescent="0.45">
      <c r="AN104" t="str">
        <f t="shared" si="17"/>
        <v/>
      </c>
    </row>
    <row r="105" spans="40:40" x14ac:dyDescent="0.45">
      <c r="AN105" t="str">
        <f t="shared" si="17"/>
        <v/>
      </c>
    </row>
    <row r="106" spans="40:40" x14ac:dyDescent="0.45">
      <c r="AN106" t="str">
        <f t="shared" si="17"/>
        <v/>
      </c>
    </row>
    <row r="107" spans="40:40" x14ac:dyDescent="0.45">
      <c r="AN107" t="str">
        <f t="shared" si="17"/>
        <v/>
      </c>
    </row>
    <row r="108" spans="40:40" x14ac:dyDescent="0.45">
      <c r="AN108" t="str">
        <f t="shared" si="17"/>
        <v/>
      </c>
    </row>
    <row r="109" spans="40:40" x14ac:dyDescent="0.45">
      <c r="AN109" t="str">
        <f t="shared" si="17"/>
        <v/>
      </c>
    </row>
    <row r="110" spans="40:40" x14ac:dyDescent="0.45">
      <c r="AN110" t="str">
        <f t="shared" si="17"/>
        <v/>
      </c>
    </row>
    <row r="111" spans="40:40" x14ac:dyDescent="0.45">
      <c r="AN111" t="str">
        <f t="shared" si="17"/>
        <v/>
      </c>
    </row>
    <row r="112" spans="40:40" x14ac:dyDescent="0.45">
      <c r="AN112" t="str">
        <f t="shared" si="17"/>
        <v/>
      </c>
    </row>
    <row r="113" spans="40:40" x14ac:dyDescent="0.45">
      <c r="AN113" t="str">
        <f t="shared" si="17"/>
        <v/>
      </c>
    </row>
    <row r="114" spans="40:40" x14ac:dyDescent="0.45">
      <c r="AN114" t="str">
        <f t="shared" si="17"/>
        <v/>
      </c>
    </row>
    <row r="115" spans="40:40" x14ac:dyDescent="0.45">
      <c r="AN115" t="str">
        <f t="shared" si="17"/>
        <v/>
      </c>
    </row>
    <row r="116" spans="40:40" x14ac:dyDescent="0.45">
      <c r="AN116" t="str">
        <f t="shared" si="17"/>
        <v/>
      </c>
    </row>
    <row r="117" spans="40:40" x14ac:dyDescent="0.45">
      <c r="AN117" t="str">
        <f t="shared" si="17"/>
        <v/>
      </c>
    </row>
    <row r="118" spans="40:40" x14ac:dyDescent="0.45">
      <c r="AN118" t="str">
        <f t="shared" si="17"/>
        <v/>
      </c>
    </row>
    <row r="119" spans="40:40" x14ac:dyDescent="0.45">
      <c r="AN119" t="str">
        <f t="shared" si="17"/>
        <v/>
      </c>
    </row>
    <row r="120" spans="40:40" x14ac:dyDescent="0.45">
      <c r="AN120" t="str">
        <f t="shared" si="17"/>
        <v/>
      </c>
    </row>
    <row r="121" spans="40:40" x14ac:dyDescent="0.45">
      <c r="AN121" t="str">
        <f t="shared" si="17"/>
        <v/>
      </c>
    </row>
    <row r="122" spans="40:40" x14ac:dyDescent="0.45">
      <c r="AN122" t="str">
        <f t="shared" si="17"/>
        <v/>
      </c>
    </row>
    <row r="123" spans="40:40" x14ac:dyDescent="0.45">
      <c r="AN123" t="str">
        <f t="shared" si="17"/>
        <v/>
      </c>
    </row>
    <row r="124" spans="40:40" x14ac:dyDescent="0.45">
      <c r="AN124" t="str">
        <f t="shared" si="17"/>
        <v/>
      </c>
    </row>
    <row r="125" spans="40:40" x14ac:dyDescent="0.45">
      <c r="AN125" t="str">
        <f t="shared" si="17"/>
        <v/>
      </c>
    </row>
    <row r="126" spans="40:40" x14ac:dyDescent="0.45">
      <c r="AN126" t="str">
        <f t="shared" si="17"/>
        <v/>
      </c>
    </row>
    <row r="127" spans="40:40" x14ac:dyDescent="0.45">
      <c r="AN127" t="str">
        <f t="shared" si="17"/>
        <v/>
      </c>
    </row>
    <row r="128" spans="40:40" x14ac:dyDescent="0.45">
      <c r="AN128" t="str">
        <f t="shared" si="17"/>
        <v/>
      </c>
    </row>
    <row r="129" spans="40:40" x14ac:dyDescent="0.45">
      <c r="AN129" t="str">
        <f t="shared" si="17"/>
        <v/>
      </c>
    </row>
    <row r="130" spans="40:40" x14ac:dyDescent="0.45">
      <c r="AN130" t="str">
        <f t="shared" si="17"/>
        <v/>
      </c>
    </row>
    <row r="131" spans="40:40" x14ac:dyDescent="0.45">
      <c r="AN131" t="str">
        <f t="shared" si="17"/>
        <v/>
      </c>
    </row>
    <row r="132" spans="40:40" x14ac:dyDescent="0.45">
      <c r="AN132" t="str">
        <f t="shared" si="17"/>
        <v/>
      </c>
    </row>
    <row r="133" spans="40:40" x14ac:dyDescent="0.45">
      <c r="AN133" t="str">
        <f t="shared" si="17"/>
        <v/>
      </c>
    </row>
    <row r="134" spans="40:40" x14ac:dyDescent="0.45">
      <c r="AN134" t="str">
        <f t="shared" ref="AN134:AN197" si="18">IF(AND(AL133&gt;0, AL133&lt;1000000), AM133,"")</f>
        <v/>
      </c>
    </row>
    <row r="135" spans="40:40" x14ac:dyDescent="0.45">
      <c r="AN135" t="str">
        <f t="shared" si="18"/>
        <v/>
      </c>
    </row>
    <row r="136" spans="40:40" x14ac:dyDescent="0.45">
      <c r="AN136" t="str">
        <f t="shared" si="18"/>
        <v/>
      </c>
    </row>
    <row r="137" spans="40:40" x14ac:dyDescent="0.45">
      <c r="AN137" t="str">
        <f t="shared" si="18"/>
        <v/>
      </c>
    </row>
    <row r="138" spans="40:40" x14ac:dyDescent="0.45">
      <c r="AN138" t="str">
        <f t="shared" si="18"/>
        <v/>
      </c>
    </row>
    <row r="139" spans="40:40" x14ac:dyDescent="0.45">
      <c r="AN139" t="str">
        <f t="shared" si="18"/>
        <v/>
      </c>
    </row>
    <row r="140" spans="40:40" x14ac:dyDescent="0.45">
      <c r="AN140" t="str">
        <f t="shared" si="18"/>
        <v/>
      </c>
    </row>
    <row r="141" spans="40:40" x14ac:dyDescent="0.45">
      <c r="AN141" t="str">
        <f t="shared" si="18"/>
        <v/>
      </c>
    </row>
    <row r="142" spans="40:40" x14ac:dyDescent="0.45">
      <c r="AN142" t="str">
        <f t="shared" si="18"/>
        <v/>
      </c>
    </row>
    <row r="143" spans="40:40" x14ac:dyDescent="0.45">
      <c r="AN143" t="str">
        <f t="shared" si="18"/>
        <v/>
      </c>
    </row>
    <row r="144" spans="40:40" x14ac:dyDescent="0.45">
      <c r="AN144" t="str">
        <f t="shared" si="18"/>
        <v/>
      </c>
    </row>
    <row r="145" spans="40:40" x14ac:dyDescent="0.45">
      <c r="AN145" t="str">
        <f t="shared" si="18"/>
        <v/>
      </c>
    </row>
    <row r="146" spans="40:40" x14ac:dyDescent="0.45">
      <c r="AN146" t="str">
        <f t="shared" si="18"/>
        <v/>
      </c>
    </row>
    <row r="147" spans="40:40" x14ac:dyDescent="0.45">
      <c r="AN147" t="str">
        <f t="shared" si="18"/>
        <v/>
      </c>
    </row>
    <row r="148" spans="40:40" x14ac:dyDescent="0.45">
      <c r="AN148" t="str">
        <f t="shared" si="18"/>
        <v/>
      </c>
    </row>
    <row r="149" spans="40:40" x14ac:dyDescent="0.45">
      <c r="AN149" t="str">
        <f t="shared" si="18"/>
        <v/>
      </c>
    </row>
    <row r="150" spans="40:40" x14ac:dyDescent="0.45">
      <c r="AN150" t="str">
        <f t="shared" si="18"/>
        <v/>
      </c>
    </row>
    <row r="151" spans="40:40" x14ac:dyDescent="0.45">
      <c r="AN151" t="str">
        <f t="shared" si="18"/>
        <v/>
      </c>
    </row>
    <row r="152" spans="40:40" x14ac:dyDescent="0.45">
      <c r="AN152" t="str">
        <f t="shared" si="18"/>
        <v/>
      </c>
    </row>
    <row r="153" spans="40:40" x14ac:dyDescent="0.45">
      <c r="AN153" t="str">
        <f t="shared" si="18"/>
        <v/>
      </c>
    </row>
    <row r="154" spans="40:40" x14ac:dyDescent="0.45">
      <c r="AN154" t="str">
        <f t="shared" si="18"/>
        <v/>
      </c>
    </row>
    <row r="155" spans="40:40" x14ac:dyDescent="0.45">
      <c r="AN155" t="str">
        <f t="shared" si="18"/>
        <v/>
      </c>
    </row>
    <row r="156" spans="40:40" x14ac:dyDescent="0.45">
      <c r="AN156" t="str">
        <f t="shared" si="18"/>
        <v/>
      </c>
    </row>
    <row r="157" spans="40:40" x14ac:dyDescent="0.45">
      <c r="AN157" t="str">
        <f t="shared" si="18"/>
        <v/>
      </c>
    </row>
    <row r="158" spans="40:40" x14ac:dyDescent="0.45">
      <c r="AN158" t="str">
        <f t="shared" si="18"/>
        <v/>
      </c>
    </row>
    <row r="159" spans="40:40" x14ac:dyDescent="0.45">
      <c r="AN159" t="str">
        <f t="shared" si="18"/>
        <v/>
      </c>
    </row>
    <row r="160" spans="40:40" x14ac:dyDescent="0.45">
      <c r="AN160" t="str">
        <f t="shared" si="18"/>
        <v/>
      </c>
    </row>
    <row r="161" spans="40:40" x14ac:dyDescent="0.45">
      <c r="AN161" t="str">
        <f t="shared" si="18"/>
        <v/>
      </c>
    </row>
    <row r="162" spans="40:40" x14ac:dyDescent="0.45">
      <c r="AN162" t="str">
        <f t="shared" si="18"/>
        <v/>
      </c>
    </row>
    <row r="163" spans="40:40" x14ac:dyDescent="0.45">
      <c r="AN163" t="str">
        <f t="shared" si="18"/>
        <v/>
      </c>
    </row>
    <row r="164" spans="40:40" x14ac:dyDescent="0.45">
      <c r="AN164" t="str">
        <f t="shared" si="18"/>
        <v/>
      </c>
    </row>
    <row r="165" spans="40:40" x14ac:dyDescent="0.45">
      <c r="AN165" t="str">
        <f t="shared" si="18"/>
        <v/>
      </c>
    </row>
    <row r="166" spans="40:40" x14ac:dyDescent="0.45">
      <c r="AN166" t="str">
        <f t="shared" si="18"/>
        <v/>
      </c>
    </row>
    <row r="167" spans="40:40" x14ac:dyDescent="0.45">
      <c r="AN167" t="str">
        <f t="shared" si="18"/>
        <v/>
      </c>
    </row>
    <row r="168" spans="40:40" x14ac:dyDescent="0.45">
      <c r="AN168" t="str">
        <f t="shared" si="18"/>
        <v/>
      </c>
    </row>
    <row r="169" spans="40:40" x14ac:dyDescent="0.45">
      <c r="AN169" t="str">
        <f t="shared" si="18"/>
        <v/>
      </c>
    </row>
    <row r="170" spans="40:40" x14ac:dyDescent="0.45">
      <c r="AN170" t="str">
        <f t="shared" si="18"/>
        <v/>
      </c>
    </row>
    <row r="171" spans="40:40" x14ac:dyDescent="0.45">
      <c r="AN171" t="str">
        <f t="shared" si="18"/>
        <v/>
      </c>
    </row>
    <row r="172" spans="40:40" x14ac:dyDescent="0.45">
      <c r="AN172" t="str">
        <f t="shared" si="18"/>
        <v/>
      </c>
    </row>
    <row r="173" spans="40:40" x14ac:dyDescent="0.45">
      <c r="AN173" t="str">
        <f t="shared" si="18"/>
        <v/>
      </c>
    </row>
    <row r="174" spans="40:40" x14ac:dyDescent="0.45">
      <c r="AN174" t="str">
        <f t="shared" si="18"/>
        <v/>
      </c>
    </row>
    <row r="175" spans="40:40" x14ac:dyDescent="0.45">
      <c r="AN175" t="str">
        <f t="shared" si="18"/>
        <v/>
      </c>
    </row>
    <row r="176" spans="40:40" x14ac:dyDescent="0.45">
      <c r="AN176" t="str">
        <f t="shared" si="18"/>
        <v/>
      </c>
    </row>
    <row r="177" spans="40:40" x14ac:dyDescent="0.45">
      <c r="AN177" t="str">
        <f t="shared" si="18"/>
        <v/>
      </c>
    </row>
    <row r="178" spans="40:40" x14ac:dyDescent="0.45">
      <c r="AN178" t="str">
        <f t="shared" si="18"/>
        <v/>
      </c>
    </row>
    <row r="179" spans="40:40" x14ac:dyDescent="0.45">
      <c r="AN179" t="str">
        <f t="shared" si="18"/>
        <v/>
      </c>
    </row>
    <row r="180" spans="40:40" x14ac:dyDescent="0.45">
      <c r="AN180" t="str">
        <f t="shared" si="18"/>
        <v/>
      </c>
    </row>
    <row r="181" spans="40:40" x14ac:dyDescent="0.45">
      <c r="AN181" t="str">
        <f t="shared" si="18"/>
        <v/>
      </c>
    </row>
    <row r="182" spans="40:40" x14ac:dyDescent="0.45">
      <c r="AN182" t="str">
        <f t="shared" si="18"/>
        <v/>
      </c>
    </row>
    <row r="183" spans="40:40" x14ac:dyDescent="0.45">
      <c r="AN183" t="str">
        <f t="shared" si="18"/>
        <v/>
      </c>
    </row>
    <row r="184" spans="40:40" x14ac:dyDescent="0.45">
      <c r="AN184" t="str">
        <f t="shared" si="18"/>
        <v/>
      </c>
    </row>
    <row r="185" spans="40:40" x14ac:dyDescent="0.45">
      <c r="AN185" t="str">
        <f t="shared" si="18"/>
        <v/>
      </c>
    </row>
    <row r="186" spans="40:40" x14ac:dyDescent="0.45">
      <c r="AN186" t="str">
        <f t="shared" si="18"/>
        <v/>
      </c>
    </row>
    <row r="187" spans="40:40" x14ac:dyDescent="0.45">
      <c r="AN187" t="str">
        <f t="shared" si="18"/>
        <v/>
      </c>
    </row>
    <row r="188" spans="40:40" x14ac:dyDescent="0.45">
      <c r="AN188" t="str">
        <f t="shared" si="18"/>
        <v/>
      </c>
    </row>
    <row r="189" spans="40:40" x14ac:dyDescent="0.45">
      <c r="AN189" t="str">
        <f t="shared" si="18"/>
        <v/>
      </c>
    </row>
    <row r="190" spans="40:40" x14ac:dyDescent="0.45">
      <c r="AN190" t="str">
        <f t="shared" si="18"/>
        <v/>
      </c>
    </row>
    <row r="191" spans="40:40" x14ac:dyDescent="0.45">
      <c r="AN191" t="str">
        <f t="shared" si="18"/>
        <v/>
      </c>
    </row>
    <row r="192" spans="40:40" x14ac:dyDescent="0.45">
      <c r="AN192" t="str">
        <f t="shared" si="18"/>
        <v/>
      </c>
    </row>
    <row r="193" spans="40:40" x14ac:dyDescent="0.45">
      <c r="AN193" t="str">
        <f t="shared" si="18"/>
        <v/>
      </c>
    </row>
    <row r="194" spans="40:40" x14ac:dyDescent="0.45">
      <c r="AN194" t="str">
        <f t="shared" si="18"/>
        <v/>
      </c>
    </row>
    <row r="195" spans="40:40" x14ac:dyDescent="0.45">
      <c r="AN195" t="str">
        <f t="shared" si="18"/>
        <v/>
      </c>
    </row>
    <row r="196" spans="40:40" x14ac:dyDescent="0.45">
      <c r="AN196" t="str">
        <f t="shared" si="18"/>
        <v/>
      </c>
    </row>
    <row r="197" spans="40:40" x14ac:dyDescent="0.45">
      <c r="AN197" t="str">
        <f t="shared" si="18"/>
        <v/>
      </c>
    </row>
    <row r="198" spans="40:40" x14ac:dyDescent="0.45">
      <c r="AN198" t="str">
        <f t="shared" ref="AN198:AN261" si="19">IF(AND(AL197&gt;0, AL197&lt;1000000), AM197,"")</f>
        <v/>
      </c>
    </row>
    <row r="199" spans="40:40" x14ac:dyDescent="0.45">
      <c r="AN199" t="str">
        <f t="shared" si="19"/>
        <v/>
      </c>
    </row>
    <row r="200" spans="40:40" x14ac:dyDescent="0.45">
      <c r="AN200" t="str">
        <f t="shared" si="19"/>
        <v/>
      </c>
    </row>
    <row r="201" spans="40:40" x14ac:dyDescent="0.45">
      <c r="AN201" t="str">
        <f t="shared" si="19"/>
        <v/>
      </c>
    </row>
    <row r="202" spans="40:40" x14ac:dyDescent="0.45">
      <c r="AN202" t="str">
        <f t="shared" si="19"/>
        <v/>
      </c>
    </row>
    <row r="203" spans="40:40" x14ac:dyDescent="0.45">
      <c r="AN203" t="str">
        <f t="shared" si="19"/>
        <v/>
      </c>
    </row>
    <row r="204" spans="40:40" x14ac:dyDescent="0.45">
      <c r="AN204" t="str">
        <f t="shared" si="19"/>
        <v/>
      </c>
    </row>
    <row r="205" spans="40:40" x14ac:dyDescent="0.45">
      <c r="AN205" t="str">
        <f t="shared" si="19"/>
        <v/>
      </c>
    </row>
    <row r="206" spans="40:40" x14ac:dyDescent="0.45">
      <c r="AN206" t="str">
        <f t="shared" si="19"/>
        <v/>
      </c>
    </row>
    <row r="207" spans="40:40" x14ac:dyDescent="0.45">
      <c r="AN207" t="str">
        <f t="shared" si="19"/>
        <v/>
      </c>
    </row>
    <row r="208" spans="40:40" x14ac:dyDescent="0.45">
      <c r="AN208" t="str">
        <f t="shared" si="19"/>
        <v/>
      </c>
    </row>
    <row r="209" spans="40:40" x14ac:dyDescent="0.45">
      <c r="AN209" t="str">
        <f t="shared" si="19"/>
        <v/>
      </c>
    </row>
    <row r="210" spans="40:40" x14ac:dyDescent="0.45">
      <c r="AN210" t="str">
        <f t="shared" si="19"/>
        <v/>
      </c>
    </row>
    <row r="211" spans="40:40" x14ac:dyDescent="0.45">
      <c r="AN211" t="str">
        <f t="shared" si="19"/>
        <v/>
      </c>
    </row>
    <row r="212" spans="40:40" x14ac:dyDescent="0.45">
      <c r="AN212" t="str">
        <f t="shared" si="19"/>
        <v/>
      </c>
    </row>
    <row r="213" spans="40:40" x14ac:dyDescent="0.45">
      <c r="AN213" t="str">
        <f t="shared" si="19"/>
        <v/>
      </c>
    </row>
    <row r="214" spans="40:40" x14ac:dyDescent="0.45">
      <c r="AN214" t="str">
        <f t="shared" si="19"/>
        <v/>
      </c>
    </row>
    <row r="215" spans="40:40" x14ac:dyDescent="0.45">
      <c r="AN215" t="str">
        <f t="shared" si="19"/>
        <v/>
      </c>
    </row>
    <row r="216" spans="40:40" x14ac:dyDescent="0.45">
      <c r="AN216" t="str">
        <f t="shared" si="19"/>
        <v/>
      </c>
    </row>
    <row r="217" spans="40:40" x14ac:dyDescent="0.45">
      <c r="AN217" t="str">
        <f t="shared" si="19"/>
        <v/>
      </c>
    </row>
    <row r="218" spans="40:40" x14ac:dyDescent="0.45">
      <c r="AN218" t="str">
        <f t="shared" si="19"/>
        <v/>
      </c>
    </row>
    <row r="219" spans="40:40" x14ac:dyDescent="0.45">
      <c r="AN219" t="str">
        <f t="shared" si="19"/>
        <v/>
      </c>
    </row>
    <row r="220" spans="40:40" x14ac:dyDescent="0.45">
      <c r="AN220" t="str">
        <f t="shared" si="19"/>
        <v/>
      </c>
    </row>
    <row r="221" spans="40:40" x14ac:dyDescent="0.45">
      <c r="AN221" t="str">
        <f t="shared" si="19"/>
        <v/>
      </c>
    </row>
    <row r="222" spans="40:40" x14ac:dyDescent="0.45">
      <c r="AN222" t="str">
        <f t="shared" si="19"/>
        <v/>
      </c>
    </row>
    <row r="223" spans="40:40" x14ac:dyDescent="0.45">
      <c r="AN223" t="str">
        <f t="shared" si="19"/>
        <v/>
      </c>
    </row>
    <row r="224" spans="40:40" x14ac:dyDescent="0.45">
      <c r="AN224" t="str">
        <f t="shared" si="19"/>
        <v/>
      </c>
    </row>
    <row r="225" spans="40:40" x14ac:dyDescent="0.45">
      <c r="AN225" t="str">
        <f t="shared" si="19"/>
        <v/>
      </c>
    </row>
    <row r="226" spans="40:40" x14ac:dyDescent="0.45">
      <c r="AN226" t="str">
        <f t="shared" si="19"/>
        <v/>
      </c>
    </row>
    <row r="227" spans="40:40" x14ac:dyDescent="0.45">
      <c r="AN227" t="str">
        <f t="shared" si="19"/>
        <v/>
      </c>
    </row>
    <row r="228" spans="40:40" x14ac:dyDescent="0.45">
      <c r="AN228" t="str">
        <f t="shared" si="19"/>
        <v/>
      </c>
    </row>
    <row r="229" spans="40:40" x14ac:dyDescent="0.45">
      <c r="AN229" t="str">
        <f t="shared" si="19"/>
        <v/>
      </c>
    </row>
    <row r="230" spans="40:40" x14ac:dyDescent="0.45">
      <c r="AN230" t="str">
        <f t="shared" si="19"/>
        <v/>
      </c>
    </row>
    <row r="231" spans="40:40" x14ac:dyDescent="0.45">
      <c r="AN231" t="str">
        <f t="shared" si="19"/>
        <v/>
      </c>
    </row>
    <row r="232" spans="40:40" x14ac:dyDescent="0.45">
      <c r="AN232" t="str">
        <f t="shared" si="19"/>
        <v/>
      </c>
    </row>
    <row r="233" spans="40:40" x14ac:dyDescent="0.45">
      <c r="AN233" t="str">
        <f t="shared" si="19"/>
        <v/>
      </c>
    </row>
    <row r="234" spans="40:40" x14ac:dyDescent="0.45">
      <c r="AN234" t="str">
        <f t="shared" si="19"/>
        <v/>
      </c>
    </row>
    <row r="235" spans="40:40" x14ac:dyDescent="0.45">
      <c r="AN235" t="str">
        <f t="shared" si="19"/>
        <v/>
      </c>
    </row>
    <row r="236" spans="40:40" x14ac:dyDescent="0.45">
      <c r="AN236" t="str">
        <f t="shared" si="19"/>
        <v/>
      </c>
    </row>
    <row r="237" spans="40:40" x14ac:dyDescent="0.45">
      <c r="AN237" t="str">
        <f t="shared" si="19"/>
        <v/>
      </c>
    </row>
    <row r="238" spans="40:40" x14ac:dyDescent="0.45">
      <c r="AN238" t="str">
        <f t="shared" si="19"/>
        <v/>
      </c>
    </row>
    <row r="239" spans="40:40" x14ac:dyDescent="0.45">
      <c r="AN239" t="str">
        <f t="shared" si="19"/>
        <v/>
      </c>
    </row>
    <row r="240" spans="40:40" x14ac:dyDescent="0.45">
      <c r="AN240" t="str">
        <f t="shared" si="19"/>
        <v/>
      </c>
    </row>
    <row r="241" spans="40:40" x14ac:dyDescent="0.45">
      <c r="AN241" t="str">
        <f t="shared" si="19"/>
        <v/>
      </c>
    </row>
    <row r="242" spans="40:40" x14ac:dyDescent="0.45">
      <c r="AN242" t="str">
        <f t="shared" si="19"/>
        <v/>
      </c>
    </row>
    <row r="243" spans="40:40" x14ac:dyDescent="0.45">
      <c r="AN243" t="str">
        <f t="shared" si="19"/>
        <v/>
      </c>
    </row>
    <row r="244" spans="40:40" x14ac:dyDescent="0.45">
      <c r="AN244" t="str">
        <f t="shared" si="19"/>
        <v/>
      </c>
    </row>
    <row r="245" spans="40:40" x14ac:dyDescent="0.45">
      <c r="AN245" t="str">
        <f t="shared" si="19"/>
        <v/>
      </c>
    </row>
    <row r="246" spans="40:40" x14ac:dyDescent="0.45">
      <c r="AN246" t="str">
        <f t="shared" si="19"/>
        <v/>
      </c>
    </row>
    <row r="247" spans="40:40" x14ac:dyDescent="0.45">
      <c r="AN247" t="str">
        <f t="shared" si="19"/>
        <v/>
      </c>
    </row>
    <row r="248" spans="40:40" x14ac:dyDescent="0.45">
      <c r="AN248" t="str">
        <f t="shared" si="19"/>
        <v/>
      </c>
    </row>
    <row r="249" spans="40:40" x14ac:dyDescent="0.45">
      <c r="AN249" t="str">
        <f t="shared" si="19"/>
        <v/>
      </c>
    </row>
    <row r="250" spans="40:40" x14ac:dyDescent="0.45">
      <c r="AN250" t="str">
        <f t="shared" si="19"/>
        <v/>
      </c>
    </row>
    <row r="251" spans="40:40" x14ac:dyDescent="0.45">
      <c r="AN251" t="str">
        <f t="shared" si="19"/>
        <v/>
      </c>
    </row>
    <row r="252" spans="40:40" x14ac:dyDescent="0.45">
      <c r="AN252" t="str">
        <f t="shared" si="19"/>
        <v/>
      </c>
    </row>
    <row r="253" spans="40:40" x14ac:dyDescent="0.45">
      <c r="AN253" t="str">
        <f t="shared" si="19"/>
        <v/>
      </c>
    </row>
    <row r="254" spans="40:40" x14ac:dyDescent="0.45">
      <c r="AN254" t="str">
        <f t="shared" si="19"/>
        <v/>
      </c>
    </row>
    <row r="255" spans="40:40" x14ac:dyDescent="0.45">
      <c r="AN255" t="str">
        <f t="shared" si="19"/>
        <v/>
      </c>
    </row>
    <row r="256" spans="40:40" x14ac:dyDescent="0.45">
      <c r="AN256" t="str">
        <f t="shared" si="19"/>
        <v/>
      </c>
    </row>
    <row r="257" spans="40:40" x14ac:dyDescent="0.45">
      <c r="AN257" t="str">
        <f t="shared" si="19"/>
        <v/>
      </c>
    </row>
    <row r="258" spans="40:40" x14ac:dyDescent="0.45">
      <c r="AN258" t="str">
        <f t="shared" si="19"/>
        <v/>
      </c>
    </row>
    <row r="259" spans="40:40" x14ac:dyDescent="0.45">
      <c r="AN259" t="str">
        <f t="shared" si="19"/>
        <v/>
      </c>
    </row>
    <row r="260" spans="40:40" x14ac:dyDescent="0.45">
      <c r="AN260" t="str">
        <f t="shared" si="19"/>
        <v/>
      </c>
    </row>
    <row r="261" spans="40:40" x14ac:dyDescent="0.45">
      <c r="AN261" t="str">
        <f t="shared" si="19"/>
        <v/>
      </c>
    </row>
    <row r="262" spans="40:40" x14ac:dyDescent="0.45">
      <c r="AN262" t="str">
        <f t="shared" ref="AN262:AN325" si="20">IF(AND(AL261&gt;0, AL261&lt;1000000), AM261,"")</f>
        <v/>
      </c>
    </row>
    <row r="263" spans="40:40" x14ac:dyDescent="0.45">
      <c r="AN263" t="str">
        <f t="shared" si="20"/>
        <v/>
      </c>
    </row>
    <row r="264" spans="40:40" x14ac:dyDescent="0.45">
      <c r="AN264" t="str">
        <f t="shared" si="20"/>
        <v/>
      </c>
    </row>
    <row r="265" spans="40:40" x14ac:dyDescent="0.45">
      <c r="AN265" t="str">
        <f t="shared" si="20"/>
        <v/>
      </c>
    </row>
    <row r="266" spans="40:40" x14ac:dyDescent="0.45">
      <c r="AN266" t="str">
        <f t="shared" si="20"/>
        <v/>
      </c>
    </row>
    <row r="267" spans="40:40" x14ac:dyDescent="0.45">
      <c r="AN267" t="str">
        <f t="shared" si="20"/>
        <v/>
      </c>
    </row>
    <row r="268" spans="40:40" x14ac:dyDescent="0.45">
      <c r="AN268" t="str">
        <f t="shared" si="20"/>
        <v/>
      </c>
    </row>
    <row r="269" spans="40:40" x14ac:dyDescent="0.45">
      <c r="AN269" t="str">
        <f t="shared" si="20"/>
        <v/>
      </c>
    </row>
    <row r="270" spans="40:40" x14ac:dyDescent="0.45">
      <c r="AN270" t="str">
        <f t="shared" si="20"/>
        <v/>
      </c>
    </row>
    <row r="271" spans="40:40" x14ac:dyDescent="0.45">
      <c r="AN271" t="str">
        <f t="shared" si="20"/>
        <v/>
      </c>
    </row>
    <row r="272" spans="40:40" x14ac:dyDescent="0.45">
      <c r="AN272" t="str">
        <f t="shared" si="20"/>
        <v/>
      </c>
    </row>
    <row r="273" spans="40:40" x14ac:dyDescent="0.45">
      <c r="AN273" t="str">
        <f t="shared" si="20"/>
        <v/>
      </c>
    </row>
    <row r="274" spans="40:40" x14ac:dyDescent="0.45">
      <c r="AN274" t="str">
        <f t="shared" si="20"/>
        <v/>
      </c>
    </row>
    <row r="275" spans="40:40" x14ac:dyDescent="0.45">
      <c r="AN275" t="str">
        <f t="shared" si="20"/>
        <v/>
      </c>
    </row>
    <row r="276" spans="40:40" x14ac:dyDescent="0.45">
      <c r="AN276" t="str">
        <f t="shared" si="20"/>
        <v/>
      </c>
    </row>
    <row r="277" spans="40:40" x14ac:dyDescent="0.45">
      <c r="AN277" t="str">
        <f t="shared" si="20"/>
        <v/>
      </c>
    </row>
    <row r="278" spans="40:40" x14ac:dyDescent="0.45">
      <c r="AN278" t="str">
        <f t="shared" si="20"/>
        <v/>
      </c>
    </row>
    <row r="279" spans="40:40" x14ac:dyDescent="0.45">
      <c r="AN279" t="str">
        <f t="shared" si="20"/>
        <v/>
      </c>
    </row>
    <row r="280" spans="40:40" x14ac:dyDescent="0.45">
      <c r="AN280" t="str">
        <f t="shared" si="20"/>
        <v/>
      </c>
    </row>
    <row r="281" spans="40:40" x14ac:dyDescent="0.45">
      <c r="AN281" t="str">
        <f t="shared" si="20"/>
        <v/>
      </c>
    </row>
    <row r="282" spans="40:40" x14ac:dyDescent="0.45">
      <c r="AN282" t="str">
        <f t="shared" si="20"/>
        <v/>
      </c>
    </row>
    <row r="283" spans="40:40" x14ac:dyDescent="0.45">
      <c r="AN283" t="str">
        <f t="shared" si="20"/>
        <v/>
      </c>
    </row>
    <row r="284" spans="40:40" x14ac:dyDescent="0.45">
      <c r="AN284" t="str">
        <f t="shared" si="20"/>
        <v/>
      </c>
    </row>
    <row r="285" spans="40:40" x14ac:dyDescent="0.45">
      <c r="AN285" t="str">
        <f t="shared" si="20"/>
        <v/>
      </c>
    </row>
    <row r="286" spans="40:40" x14ac:dyDescent="0.45">
      <c r="AN286" t="str">
        <f t="shared" si="20"/>
        <v/>
      </c>
    </row>
    <row r="287" spans="40:40" x14ac:dyDescent="0.45">
      <c r="AN287" t="str">
        <f t="shared" si="20"/>
        <v/>
      </c>
    </row>
    <row r="288" spans="40:40" x14ac:dyDescent="0.45">
      <c r="AN288" t="str">
        <f t="shared" si="20"/>
        <v/>
      </c>
    </row>
    <row r="289" spans="40:40" x14ac:dyDescent="0.45">
      <c r="AN289" t="str">
        <f t="shared" si="20"/>
        <v/>
      </c>
    </row>
    <row r="290" spans="40:40" x14ac:dyDescent="0.45">
      <c r="AN290" t="str">
        <f t="shared" si="20"/>
        <v/>
      </c>
    </row>
    <row r="291" spans="40:40" x14ac:dyDescent="0.45">
      <c r="AN291" t="str">
        <f t="shared" si="20"/>
        <v/>
      </c>
    </row>
    <row r="292" spans="40:40" x14ac:dyDescent="0.45">
      <c r="AN292" t="str">
        <f t="shared" si="20"/>
        <v/>
      </c>
    </row>
    <row r="293" spans="40:40" x14ac:dyDescent="0.45">
      <c r="AN293" t="str">
        <f t="shared" si="20"/>
        <v/>
      </c>
    </row>
    <row r="294" spans="40:40" x14ac:dyDescent="0.45">
      <c r="AN294" t="str">
        <f t="shared" si="20"/>
        <v/>
      </c>
    </row>
    <row r="295" spans="40:40" x14ac:dyDescent="0.45">
      <c r="AN295" t="str">
        <f t="shared" si="20"/>
        <v/>
      </c>
    </row>
    <row r="296" spans="40:40" x14ac:dyDescent="0.45">
      <c r="AN296" t="str">
        <f t="shared" si="20"/>
        <v/>
      </c>
    </row>
    <row r="297" spans="40:40" x14ac:dyDescent="0.45">
      <c r="AN297" t="str">
        <f t="shared" si="20"/>
        <v/>
      </c>
    </row>
    <row r="298" spans="40:40" x14ac:dyDescent="0.45">
      <c r="AN298" t="str">
        <f t="shared" si="20"/>
        <v/>
      </c>
    </row>
    <row r="299" spans="40:40" x14ac:dyDescent="0.45">
      <c r="AN299" t="str">
        <f t="shared" si="20"/>
        <v/>
      </c>
    </row>
    <row r="300" spans="40:40" x14ac:dyDescent="0.45">
      <c r="AN300" t="str">
        <f t="shared" si="20"/>
        <v/>
      </c>
    </row>
    <row r="301" spans="40:40" x14ac:dyDescent="0.45">
      <c r="AN301" t="str">
        <f t="shared" si="20"/>
        <v/>
      </c>
    </row>
    <row r="302" spans="40:40" x14ac:dyDescent="0.45">
      <c r="AN302" t="str">
        <f t="shared" si="20"/>
        <v/>
      </c>
    </row>
    <row r="303" spans="40:40" x14ac:dyDescent="0.45">
      <c r="AN303" t="str">
        <f t="shared" si="20"/>
        <v/>
      </c>
    </row>
    <row r="304" spans="40:40" x14ac:dyDescent="0.45">
      <c r="AN304" t="str">
        <f t="shared" si="20"/>
        <v/>
      </c>
    </row>
    <row r="305" spans="40:40" x14ac:dyDescent="0.45">
      <c r="AN305" t="str">
        <f t="shared" si="20"/>
        <v/>
      </c>
    </row>
    <row r="306" spans="40:40" x14ac:dyDescent="0.45">
      <c r="AN306" t="str">
        <f t="shared" si="20"/>
        <v/>
      </c>
    </row>
    <row r="307" spans="40:40" x14ac:dyDescent="0.45">
      <c r="AN307" t="str">
        <f t="shared" si="20"/>
        <v/>
      </c>
    </row>
    <row r="308" spans="40:40" x14ac:dyDescent="0.45">
      <c r="AN308" t="str">
        <f t="shared" si="20"/>
        <v/>
      </c>
    </row>
    <row r="309" spans="40:40" x14ac:dyDescent="0.45">
      <c r="AN309" t="str">
        <f t="shared" si="20"/>
        <v/>
      </c>
    </row>
    <row r="310" spans="40:40" x14ac:dyDescent="0.45">
      <c r="AN310" t="str">
        <f t="shared" si="20"/>
        <v/>
      </c>
    </row>
    <row r="311" spans="40:40" x14ac:dyDescent="0.45">
      <c r="AN311" t="str">
        <f t="shared" si="20"/>
        <v/>
      </c>
    </row>
    <row r="312" spans="40:40" x14ac:dyDescent="0.45">
      <c r="AN312" t="str">
        <f t="shared" si="20"/>
        <v/>
      </c>
    </row>
    <row r="313" spans="40:40" x14ac:dyDescent="0.45">
      <c r="AN313" t="str">
        <f t="shared" si="20"/>
        <v/>
      </c>
    </row>
    <row r="314" spans="40:40" x14ac:dyDescent="0.45">
      <c r="AN314" t="str">
        <f t="shared" si="20"/>
        <v/>
      </c>
    </row>
    <row r="315" spans="40:40" x14ac:dyDescent="0.45">
      <c r="AN315" t="str">
        <f t="shared" si="20"/>
        <v/>
      </c>
    </row>
    <row r="316" spans="40:40" x14ac:dyDescent="0.45">
      <c r="AN316" t="str">
        <f t="shared" si="20"/>
        <v/>
      </c>
    </row>
    <row r="317" spans="40:40" x14ac:dyDescent="0.45">
      <c r="AN317" t="str">
        <f t="shared" si="20"/>
        <v/>
      </c>
    </row>
    <row r="318" spans="40:40" x14ac:dyDescent="0.45">
      <c r="AN318" t="str">
        <f t="shared" si="20"/>
        <v/>
      </c>
    </row>
    <row r="319" spans="40:40" x14ac:dyDescent="0.45">
      <c r="AN319" t="str">
        <f t="shared" si="20"/>
        <v/>
      </c>
    </row>
    <row r="320" spans="40:40" x14ac:dyDescent="0.45">
      <c r="AN320" t="str">
        <f t="shared" si="20"/>
        <v/>
      </c>
    </row>
    <row r="321" spans="40:40" x14ac:dyDescent="0.45">
      <c r="AN321" t="str">
        <f t="shared" si="20"/>
        <v/>
      </c>
    </row>
    <row r="322" spans="40:40" x14ac:dyDescent="0.45">
      <c r="AN322" t="str">
        <f t="shared" si="20"/>
        <v/>
      </c>
    </row>
    <row r="323" spans="40:40" x14ac:dyDescent="0.45">
      <c r="AN323" t="str">
        <f t="shared" si="20"/>
        <v/>
      </c>
    </row>
    <row r="324" spans="40:40" x14ac:dyDescent="0.45">
      <c r="AN324" t="str">
        <f t="shared" si="20"/>
        <v/>
      </c>
    </row>
    <row r="325" spans="40:40" x14ac:dyDescent="0.45">
      <c r="AN325" t="str">
        <f t="shared" si="20"/>
        <v/>
      </c>
    </row>
    <row r="326" spans="40:40" x14ac:dyDescent="0.45">
      <c r="AN326" t="str">
        <f t="shared" ref="AN326:AN377" si="21">IF(AND(AL325&gt;0, AL325&lt;1000000), AM325,"")</f>
        <v/>
      </c>
    </row>
    <row r="327" spans="40:40" x14ac:dyDescent="0.45">
      <c r="AN327" t="str">
        <f t="shared" si="21"/>
        <v/>
      </c>
    </row>
    <row r="328" spans="40:40" x14ac:dyDescent="0.45">
      <c r="AN328" t="str">
        <f t="shared" si="21"/>
        <v/>
      </c>
    </row>
    <row r="329" spans="40:40" x14ac:dyDescent="0.45">
      <c r="AN329" t="str">
        <f t="shared" si="21"/>
        <v/>
      </c>
    </row>
    <row r="330" spans="40:40" x14ac:dyDescent="0.45">
      <c r="AN330" t="str">
        <f t="shared" si="21"/>
        <v/>
      </c>
    </row>
    <row r="331" spans="40:40" x14ac:dyDescent="0.45">
      <c r="AN331" t="str">
        <f t="shared" si="21"/>
        <v/>
      </c>
    </row>
    <row r="332" spans="40:40" x14ac:dyDescent="0.45">
      <c r="AN332" t="str">
        <f t="shared" si="21"/>
        <v/>
      </c>
    </row>
    <row r="333" spans="40:40" x14ac:dyDescent="0.45">
      <c r="AN333" t="str">
        <f t="shared" si="21"/>
        <v/>
      </c>
    </row>
    <row r="334" spans="40:40" x14ac:dyDescent="0.45">
      <c r="AN334" t="str">
        <f t="shared" si="21"/>
        <v/>
      </c>
    </row>
    <row r="335" spans="40:40" x14ac:dyDescent="0.45">
      <c r="AN335" t="str">
        <f t="shared" si="21"/>
        <v/>
      </c>
    </row>
    <row r="336" spans="40:40" x14ac:dyDescent="0.45">
      <c r="AN336" t="str">
        <f t="shared" si="21"/>
        <v/>
      </c>
    </row>
    <row r="337" spans="40:40" x14ac:dyDescent="0.45">
      <c r="AN337" t="str">
        <f t="shared" si="21"/>
        <v/>
      </c>
    </row>
    <row r="338" spans="40:40" x14ac:dyDescent="0.45">
      <c r="AN338" t="str">
        <f t="shared" si="21"/>
        <v/>
      </c>
    </row>
    <row r="339" spans="40:40" x14ac:dyDescent="0.45">
      <c r="AN339" t="str">
        <f t="shared" si="21"/>
        <v/>
      </c>
    </row>
    <row r="340" spans="40:40" x14ac:dyDescent="0.45">
      <c r="AN340" t="str">
        <f t="shared" si="21"/>
        <v/>
      </c>
    </row>
    <row r="341" spans="40:40" x14ac:dyDescent="0.45">
      <c r="AN341" t="str">
        <f t="shared" si="21"/>
        <v/>
      </c>
    </row>
    <row r="342" spans="40:40" x14ac:dyDescent="0.45">
      <c r="AN342" t="str">
        <f t="shared" si="21"/>
        <v/>
      </c>
    </row>
    <row r="343" spans="40:40" x14ac:dyDescent="0.45">
      <c r="AN343" t="str">
        <f t="shared" si="21"/>
        <v/>
      </c>
    </row>
    <row r="344" spans="40:40" x14ac:dyDescent="0.45">
      <c r="AN344" t="str">
        <f t="shared" si="21"/>
        <v/>
      </c>
    </row>
    <row r="345" spans="40:40" x14ac:dyDescent="0.45">
      <c r="AN345" t="str">
        <f t="shared" si="21"/>
        <v/>
      </c>
    </row>
    <row r="346" spans="40:40" x14ac:dyDescent="0.45">
      <c r="AN346" t="str">
        <f t="shared" si="21"/>
        <v/>
      </c>
    </row>
    <row r="347" spans="40:40" x14ac:dyDescent="0.45">
      <c r="AN347" t="str">
        <f t="shared" si="21"/>
        <v/>
      </c>
    </row>
    <row r="348" spans="40:40" x14ac:dyDescent="0.45">
      <c r="AN348" t="str">
        <f t="shared" si="21"/>
        <v/>
      </c>
    </row>
    <row r="349" spans="40:40" x14ac:dyDescent="0.45">
      <c r="AN349" t="str">
        <f t="shared" si="21"/>
        <v/>
      </c>
    </row>
    <row r="350" spans="40:40" x14ac:dyDescent="0.45">
      <c r="AN350" t="str">
        <f t="shared" si="21"/>
        <v/>
      </c>
    </row>
    <row r="351" spans="40:40" x14ac:dyDescent="0.45">
      <c r="AN351" t="str">
        <f t="shared" si="21"/>
        <v/>
      </c>
    </row>
    <row r="352" spans="40:40" x14ac:dyDescent="0.45">
      <c r="AN352" t="str">
        <f t="shared" si="21"/>
        <v/>
      </c>
    </row>
    <row r="353" spans="40:40" x14ac:dyDescent="0.45">
      <c r="AN353" t="str">
        <f t="shared" si="21"/>
        <v/>
      </c>
    </row>
    <row r="354" spans="40:40" x14ac:dyDescent="0.45">
      <c r="AN354" t="str">
        <f t="shared" si="21"/>
        <v/>
      </c>
    </row>
    <row r="355" spans="40:40" x14ac:dyDescent="0.45">
      <c r="AN355" t="str">
        <f t="shared" si="21"/>
        <v/>
      </c>
    </row>
    <row r="356" spans="40:40" x14ac:dyDescent="0.45">
      <c r="AN356" t="str">
        <f t="shared" si="21"/>
        <v/>
      </c>
    </row>
    <row r="357" spans="40:40" x14ac:dyDescent="0.45">
      <c r="AN357" t="str">
        <f t="shared" si="21"/>
        <v/>
      </c>
    </row>
    <row r="358" spans="40:40" x14ac:dyDescent="0.45">
      <c r="AN358" t="str">
        <f t="shared" si="21"/>
        <v/>
      </c>
    </row>
    <row r="359" spans="40:40" x14ac:dyDescent="0.45">
      <c r="AN359" t="str">
        <f t="shared" si="21"/>
        <v/>
      </c>
    </row>
    <row r="360" spans="40:40" x14ac:dyDescent="0.45">
      <c r="AN360" t="str">
        <f t="shared" si="21"/>
        <v/>
      </c>
    </row>
    <row r="361" spans="40:40" x14ac:dyDescent="0.45">
      <c r="AN361" t="str">
        <f t="shared" si="21"/>
        <v/>
      </c>
    </row>
    <row r="362" spans="40:40" x14ac:dyDescent="0.45">
      <c r="AN362" t="str">
        <f t="shared" si="21"/>
        <v/>
      </c>
    </row>
    <row r="363" spans="40:40" x14ac:dyDescent="0.45">
      <c r="AN363" t="str">
        <f t="shared" si="21"/>
        <v/>
      </c>
    </row>
    <row r="364" spans="40:40" x14ac:dyDescent="0.45">
      <c r="AN364" t="str">
        <f t="shared" si="21"/>
        <v/>
      </c>
    </row>
    <row r="365" spans="40:40" x14ac:dyDescent="0.45">
      <c r="AN365" t="str">
        <f t="shared" si="21"/>
        <v/>
      </c>
    </row>
    <row r="366" spans="40:40" x14ac:dyDescent="0.45">
      <c r="AN366" t="str">
        <f t="shared" si="21"/>
        <v/>
      </c>
    </row>
    <row r="367" spans="40:40" x14ac:dyDescent="0.45">
      <c r="AN367" t="str">
        <f t="shared" si="21"/>
        <v/>
      </c>
    </row>
    <row r="368" spans="40:40" x14ac:dyDescent="0.45">
      <c r="AN368" t="str">
        <f t="shared" si="21"/>
        <v/>
      </c>
    </row>
    <row r="369" spans="40:40" x14ac:dyDescent="0.45">
      <c r="AN369" t="str">
        <f t="shared" si="21"/>
        <v/>
      </c>
    </row>
    <row r="370" spans="40:40" x14ac:dyDescent="0.45">
      <c r="AN370" t="str">
        <f t="shared" si="21"/>
        <v/>
      </c>
    </row>
    <row r="371" spans="40:40" x14ac:dyDescent="0.45">
      <c r="AN371" t="str">
        <f t="shared" si="21"/>
        <v/>
      </c>
    </row>
    <row r="372" spans="40:40" x14ac:dyDescent="0.45">
      <c r="AN372" t="str">
        <f t="shared" si="21"/>
        <v/>
      </c>
    </row>
    <row r="373" spans="40:40" x14ac:dyDescent="0.45">
      <c r="AN373" t="str">
        <f t="shared" si="21"/>
        <v/>
      </c>
    </row>
    <row r="374" spans="40:40" x14ac:dyDescent="0.45">
      <c r="AN374" t="str">
        <f t="shared" si="21"/>
        <v/>
      </c>
    </row>
    <row r="375" spans="40:40" x14ac:dyDescent="0.45">
      <c r="AN375" t="str">
        <f t="shared" si="21"/>
        <v/>
      </c>
    </row>
    <row r="376" spans="40:40" x14ac:dyDescent="0.45">
      <c r="AN376" t="str">
        <f t="shared" si="21"/>
        <v/>
      </c>
    </row>
    <row r="377" spans="40:40" x14ac:dyDescent="0.45">
      <c r="AN377" t="str">
        <f t="shared" si="21"/>
        <v/>
      </c>
    </row>
  </sheetData>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FC78-D99F-4990-BFED-5EB7938A7BBD}">
  <dimension ref="B10:C75"/>
  <sheetViews>
    <sheetView workbookViewId="0">
      <selection activeCell="H1" sqref="H1"/>
    </sheetView>
  </sheetViews>
  <sheetFormatPr defaultRowHeight="14.25" x14ac:dyDescent="0.45"/>
  <cols>
    <col min="2" max="2" width="11.73046875" bestFit="1" customWidth="1"/>
    <col min="3" max="3" width="26.86328125" bestFit="1" customWidth="1"/>
    <col min="4" max="47" width="12.59765625" bestFit="1" customWidth="1"/>
    <col min="48" max="48" width="8.59765625" bestFit="1" customWidth="1"/>
  </cols>
  <sheetData>
    <row r="10" spans="2:3" x14ac:dyDescent="0.45">
      <c r="B10" s="16" t="s">
        <v>94</v>
      </c>
      <c r="C10" t="s">
        <v>156</v>
      </c>
    </row>
    <row r="11" spans="2:3" x14ac:dyDescent="0.45">
      <c r="B11" s="18">
        <v>1</v>
      </c>
      <c r="C11" s="4">
        <v>-0.97500000000000275</v>
      </c>
    </row>
    <row r="12" spans="2:3" x14ac:dyDescent="0.45">
      <c r="B12" s="18">
        <v>2</v>
      </c>
      <c r="C12" s="4">
        <v>-0.65000000000000258</v>
      </c>
    </row>
    <row r="13" spans="2:3" x14ac:dyDescent="0.45">
      <c r="B13" s="18">
        <v>3</v>
      </c>
      <c r="C13" s="4">
        <v>-1.150000000000001</v>
      </c>
    </row>
    <row r="14" spans="2:3" x14ac:dyDescent="0.45">
      <c r="B14" s="18">
        <v>4</v>
      </c>
      <c r="C14" s="4">
        <v>-5.0000000000001169E-2</v>
      </c>
    </row>
    <row r="15" spans="2:3" x14ac:dyDescent="0.45">
      <c r="B15" s="18">
        <v>5</v>
      </c>
      <c r="C15" s="4">
        <v>0</v>
      </c>
    </row>
    <row r="16" spans="2:3" x14ac:dyDescent="0.45">
      <c r="B16" s="18">
        <v>6</v>
      </c>
      <c r="C16" s="4">
        <v>-0.7</v>
      </c>
    </row>
    <row r="17" spans="2:3" x14ac:dyDescent="0.45">
      <c r="B17" s="18">
        <v>7</v>
      </c>
      <c r="C17" s="4">
        <v>-0.35</v>
      </c>
    </row>
    <row r="18" spans="2:3" x14ac:dyDescent="0.45">
      <c r="B18" s="18">
        <v>8</v>
      </c>
      <c r="C18" s="4">
        <v>-0.5</v>
      </c>
    </row>
    <row r="19" spans="2:3" x14ac:dyDescent="0.45">
      <c r="B19" s="18">
        <v>9</v>
      </c>
      <c r="C19" s="4">
        <v>-0.25641025641025511</v>
      </c>
    </row>
    <row r="20" spans="2:3" x14ac:dyDescent="0.45">
      <c r="B20" s="18">
        <v>10</v>
      </c>
      <c r="C20" s="4">
        <v>-1.1599999999999999</v>
      </c>
    </row>
    <row r="21" spans="2:3" x14ac:dyDescent="0.45">
      <c r="B21" s="18">
        <v>11</v>
      </c>
      <c r="C21" s="4">
        <v>-3.3333333333334075E-2</v>
      </c>
    </row>
    <row r="22" spans="2:3" x14ac:dyDescent="0.45">
      <c r="B22" s="18">
        <v>12</v>
      </c>
      <c r="C22" s="4">
        <v>-0.35999999999999716</v>
      </c>
    </row>
    <row r="23" spans="2:3" x14ac:dyDescent="0.45">
      <c r="B23" s="18">
        <v>13</v>
      </c>
      <c r="C23" s="4">
        <v>-5.7142857142857141E-2</v>
      </c>
    </row>
    <row r="24" spans="2:3" x14ac:dyDescent="0.45">
      <c r="B24" s="18">
        <v>14</v>
      </c>
      <c r="C24" s="4">
        <v>-0.89333333333333609</v>
      </c>
    </row>
    <row r="25" spans="2:3" x14ac:dyDescent="0.45">
      <c r="B25" s="18">
        <v>15</v>
      </c>
      <c r="C25" s="4">
        <v>-1.1250000000000027</v>
      </c>
    </row>
    <row r="26" spans="2:3" x14ac:dyDescent="0.45">
      <c r="B26" s="18">
        <v>16</v>
      </c>
      <c r="C26" s="4">
        <v>-1.0305343511450376</v>
      </c>
    </row>
    <row r="27" spans="2:3" x14ac:dyDescent="0.45">
      <c r="B27" s="18">
        <v>17</v>
      </c>
      <c r="C27" s="4">
        <v>-0.99999999999999634</v>
      </c>
    </row>
    <row r="28" spans="2:3" x14ac:dyDescent="0.45">
      <c r="B28" s="18">
        <v>18</v>
      </c>
      <c r="C28" s="4">
        <v>-0.7142857142857143</v>
      </c>
    </row>
    <row r="29" spans="2:3" x14ac:dyDescent="0.45">
      <c r="B29" s="18">
        <v>19</v>
      </c>
      <c r="C29" s="4">
        <v>-0.35333333333333361</v>
      </c>
    </row>
    <row r="30" spans="2:3" x14ac:dyDescent="0.45">
      <c r="B30" s="18">
        <v>20</v>
      </c>
      <c r="C30" s="4">
        <v>-1.049999999999998</v>
      </c>
    </row>
    <row r="31" spans="2:3" x14ac:dyDescent="0.45">
      <c r="B31" s="18">
        <v>21</v>
      </c>
      <c r="C31" s="4">
        <v>-0.55666666666666598</v>
      </c>
    </row>
    <row r="32" spans="2:3" x14ac:dyDescent="0.45">
      <c r="B32" s="18">
        <v>22</v>
      </c>
      <c r="C32" s="4">
        <v>-0.4499999999999999</v>
      </c>
    </row>
    <row r="33" spans="2:3" x14ac:dyDescent="0.45">
      <c r="B33" s="18">
        <v>23</v>
      </c>
      <c r="C33" s="4">
        <v>0</v>
      </c>
    </row>
    <row r="34" spans="2:3" x14ac:dyDescent="0.45">
      <c r="B34" s="18">
        <v>24</v>
      </c>
      <c r="C34" s="4">
        <v>-1.2857142857142898</v>
      </c>
    </row>
    <row r="35" spans="2:3" x14ac:dyDescent="0.45">
      <c r="B35" s="18">
        <v>25</v>
      </c>
      <c r="C35" s="4">
        <v>-0.35000000000000048</v>
      </c>
    </row>
    <row r="36" spans="2:3" x14ac:dyDescent="0.45">
      <c r="B36" s="18">
        <v>26</v>
      </c>
      <c r="C36" s="4">
        <v>-0.16666666666666682</v>
      </c>
    </row>
    <row r="37" spans="2:3" x14ac:dyDescent="0.45">
      <c r="B37" s="18">
        <v>27</v>
      </c>
      <c r="C37" s="4">
        <v>-0.86000000000000221</v>
      </c>
    </row>
    <row r="38" spans="2:3" x14ac:dyDescent="0.45">
      <c r="B38" s="18">
        <v>28</v>
      </c>
      <c r="C38" s="4">
        <v>-0.4500000000000009</v>
      </c>
    </row>
    <row r="39" spans="2:3" x14ac:dyDescent="0.45">
      <c r="B39" s="18">
        <v>29</v>
      </c>
      <c r="C39" s="4">
        <v>-0.50000000000000444</v>
      </c>
    </row>
    <row r="40" spans="2:3" x14ac:dyDescent="0.45">
      <c r="B40" s="18">
        <v>30</v>
      </c>
      <c r="C40" s="4">
        <v>-1</v>
      </c>
    </row>
    <row r="41" spans="2:3" x14ac:dyDescent="0.45">
      <c r="B41" s="18">
        <v>31</v>
      </c>
      <c r="C41" s="4">
        <v>-0.5</v>
      </c>
    </row>
    <row r="42" spans="2:3" x14ac:dyDescent="0.45">
      <c r="B42" s="18">
        <v>32</v>
      </c>
      <c r="C42" s="4">
        <v>-0.23000000000000145</v>
      </c>
    </row>
    <row r="43" spans="2:3" x14ac:dyDescent="0.45">
      <c r="B43" s="18">
        <v>33</v>
      </c>
      <c r="C43" s="4">
        <v>-0.6</v>
      </c>
    </row>
    <row r="44" spans="2:3" x14ac:dyDescent="0.45">
      <c r="B44" s="18">
        <v>34</v>
      </c>
      <c r="C44" s="4">
        <v>-1.1928571428571366</v>
      </c>
    </row>
    <row r="45" spans="2:3" x14ac:dyDescent="0.45">
      <c r="B45" s="18">
        <v>35</v>
      </c>
      <c r="C45" s="4">
        <v>-0.87500000000000255</v>
      </c>
    </row>
    <row r="46" spans="2:3" x14ac:dyDescent="0.45">
      <c r="B46" s="18">
        <v>36</v>
      </c>
      <c r="C46" s="4">
        <v>-0.10000000000000089</v>
      </c>
    </row>
    <row r="47" spans="2:3" x14ac:dyDescent="0.45">
      <c r="B47" s="18">
        <v>37</v>
      </c>
      <c r="C47" s="4">
        <v>-0.48148148148148018</v>
      </c>
    </row>
    <row r="48" spans="2:3" x14ac:dyDescent="0.45">
      <c r="B48" s="18">
        <v>38</v>
      </c>
      <c r="C48" s="4">
        <v>-0.66666666666666663</v>
      </c>
    </row>
    <row r="49" spans="2:3" x14ac:dyDescent="0.45">
      <c r="B49" s="18">
        <v>39</v>
      </c>
      <c r="C49" s="4">
        <v>-0.16666666666666666</v>
      </c>
    </row>
    <row r="50" spans="2:3" x14ac:dyDescent="0.45">
      <c r="B50" s="18">
        <v>40</v>
      </c>
      <c r="C50" s="4">
        <v>-1</v>
      </c>
    </row>
    <row r="51" spans="2:3" x14ac:dyDescent="0.45">
      <c r="B51" s="18">
        <v>41</v>
      </c>
      <c r="C51" s="4">
        <v>0</v>
      </c>
    </row>
    <row r="52" spans="2:3" x14ac:dyDescent="0.45">
      <c r="B52" s="18">
        <v>42</v>
      </c>
      <c r="C52" s="4">
        <v>-0.33333333333333331</v>
      </c>
    </row>
    <row r="53" spans="2:3" x14ac:dyDescent="0.45">
      <c r="B53" s="18">
        <v>43</v>
      </c>
      <c r="C53" s="4">
        <v>-1.325688073394498</v>
      </c>
    </row>
    <row r="54" spans="2:3" x14ac:dyDescent="0.45">
      <c r="B54" s="18">
        <v>44</v>
      </c>
      <c r="C54" s="4">
        <v>-0.9857142857142841</v>
      </c>
    </row>
    <row r="55" spans="2:3" x14ac:dyDescent="0.45">
      <c r="B55" s="18">
        <v>45</v>
      </c>
      <c r="C55" s="4">
        <v>-0.85714285714285399</v>
      </c>
    </row>
    <row r="56" spans="2:3" x14ac:dyDescent="0.45">
      <c r="B56" s="18">
        <v>46</v>
      </c>
      <c r="C56" s="4">
        <v>-0.10000000000000223</v>
      </c>
    </row>
    <row r="57" spans="2:3" x14ac:dyDescent="0.45">
      <c r="B57" s="18">
        <v>47</v>
      </c>
      <c r="C57" s="4">
        <v>-0.23333333333333334</v>
      </c>
    </row>
    <row r="58" spans="2:3" x14ac:dyDescent="0.45">
      <c r="B58" s="18">
        <v>48</v>
      </c>
      <c r="C58" s="4">
        <v>-0.73333333333333461</v>
      </c>
    </row>
    <row r="59" spans="2:3" x14ac:dyDescent="0.45">
      <c r="B59" s="18">
        <v>49</v>
      </c>
      <c r="C59" s="4">
        <v>-1</v>
      </c>
    </row>
    <row r="60" spans="2:3" x14ac:dyDescent="0.45">
      <c r="B60" s="18">
        <v>50</v>
      </c>
      <c r="C60" s="4">
        <v>-0.25</v>
      </c>
    </row>
    <row r="61" spans="2:3" x14ac:dyDescent="0.45">
      <c r="B61" s="18">
        <v>51</v>
      </c>
      <c r="C61" s="4">
        <v>-1.0333333333333341</v>
      </c>
    </row>
    <row r="62" spans="2:3" x14ac:dyDescent="0.45">
      <c r="B62" s="18">
        <v>52</v>
      </c>
      <c r="C62" s="4">
        <v>-0.19000000000000111</v>
      </c>
    </row>
    <row r="63" spans="2:3" x14ac:dyDescent="0.45">
      <c r="B63" s="18">
        <v>53</v>
      </c>
      <c r="C63" s="4">
        <v>-1.0499999999999989</v>
      </c>
    </row>
    <row r="64" spans="2:3" x14ac:dyDescent="0.45">
      <c r="B64" s="18">
        <v>54</v>
      </c>
      <c r="C64" s="4">
        <v>-0.97857142857142776</v>
      </c>
    </row>
    <row r="65" spans="2:3" x14ac:dyDescent="0.45">
      <c r="B65" s="18">
        <v>56</v>
      </c>
      <c r="C65" s="4">
        <v>-1.0833333333333346</v>
      </c>
    </row>
    <row r="66" spans="2:3" x14ac:dyDescent="0.45">
      <c r="B66" s="18">
        <v>57</v>
      </c>
      <c r="C66" s="4">
        <v>-1.2415094339622643</v>
      </c>
    </row>
    <row r="67" spans="2:3" x14ac:dyDescent="0.45">
      <c r="B67" s="18">
        <v>58</v>
      </c>
      <c r="C67" s="4">
        <v>-1</v>
      </c>
    </row>
    <row r="68" spans="2:3" x14ac:dyDescent="0.45">
      <c r="B68" s="18">
        <v>59</v>
      </c>
      <c r="C68" s="4">
        <v>-1.042499999999998</v>
      </c>
    </row>
    <row r="69" spans="2:3" x14ac:dyDescent="0.45">
      <c r="B69" s="18">
        <v>60</v>
      </c>
      <c r="C69" s="4">
        <v>-0.2</v>
      </c>
    </row>
    <row r="70" spans="2:3" x14ac:dyDescent="0.45">
      <c r="B70" s="18">
        <v>61</v>
      </c>
      <c r="C70" s="4">
        <v>-1.0979310344827586</v>
      </c>
    </row>
    <row r="71" spans="2:3" x14ac:dyDescent="0.45">
      <c r="B71" s="18">
        <v>62</v>
      </c>
      <c r="C71" s="4">
        <v>-1.0909090909090911</v>
      </c>
    </row>
    <row r="72" spans="2:3" x14ac:dyDescent="0.45">
      <c r="B72" s="18">
        <v>63</v>
      </c>
      <c r="C72" s="4">
        <v>-0.51500000000000068</v>
      </c>
    </row>
    <row r="73" spans="2:3" x14ac:dyDescent="0.45">
      <c r="B73" s="18">
        <v>64</v>
      </c>
      <c r="C73" s="4">
        <v>-0.99166666666666536</v>
      </c>
    </row>
    <row r="74" spans="2:3" x14ac:dyDescent="0.45">
      <c r="B74" s="18">
        <v>65</v>
      </c>
      <c r="C74" s="4">
        <v>-1</v>
      </c>
    </row>
    <row r="75" spans="2:3" x14ac:dyDescent="0.45">
      <c r="B75" s="18" t="s">
        <v>95</v>
      </c>
      <c r="C75" s="4">
        <v>-42.173392293213972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Overview</vt:lpstr>
      <vt:lpstr>TABLE1</vt:lpstr>
      <vt:lpstr>table2</vt:lpstr>
      <vt:lpstr>Pivot Table</vt:lpstr>
      <vt:lpstr>גיליון1</vt:lpstr>
      <vt:lpstr>גיליון2</vt:lpstr>
      <vt:lpstr>Notes</vt:lpstr>
      <vt:lpstr>lvl 2 Notes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liran nochumsohn</dc:creator>
  <cp:lastModifiedBy>liran nochumsohn</cp:lastModifiedBy>
  <dcterms:created xsi:type="dcterms:W3CDTF">2018-10-04T20:08:24Z</dcterms:created>
  <dcterms:modified xsi:type="dcterms:W3CDTF">2021-01-19T21:29:11Z</dcterms:modified>
</cp:coreProperties>
</file>